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ate1904="1" codeName="ThisWorkbook" hidePivotFieldList="1"/>
  <mc:AlternateContent xmlns:mc="http://schemas.openxmlformats.org/markup-compatibility/2006">
    <mc:Choice Requires="x15">
      <x15ac:absPath xmlns:x15ac="http://schemas.microsoft.com/office/spreadsheetml/2010/11/ac" url="Q:\Finances Communales\1. Péréquations\2023\Acomptes\Site internet\"/>
    </mc:Choice>
  </mc:AlternateContent>
  <xr:revisionPtr revIDLastSave="0" documentId="8_{3E1215A0-FD82-4D89-ACD0-E196FD8AEFF5}" xr6:coauthVersionLast="47" xr6:coauthVersionMax="47" xr10:uidLastSave="{00000000-0000-0000-0000-000000000000}"/>
  <bookViews>
    <workbookView xWindow="-120" yWindow="-120" windowWidth="29040" windowHeight="15840" tabRatio="923" activeTab="2" xr2:uid="{00000000-000D-0000-FFFF-FFFF00000000}"/>
  </bookViews>
  <sheets>
    <sheet name="Table des matières" sheetId="56" r:id="rId1"/>
    <sheet name="Paramètres" sheetId="40" r:id="rId2"/>
    <sheet name="Recherche" sheetId="48" r:id="rId3"/>
    <sheet name="Données" sheetId="42" r:id="rId4"/>
    <sheet name="VPI" sheetId="19" r:id="rId5"/>
    <sheet name="PCS" sheetId="9" r:id="rId6"/>
    <sheet name="Ecrêtage" sheetId="33" r:id="rId7"/>
    <sheet name="Péréquation directe" sheetId="34" r:id="rId8"/>
    <sheet name="Population" sheetId="36" r:id="rId9"/>
    <sheet name="Solidarité" sheetId="37" r:id="rId10"/>
    <sheet name="DT" sheetId="11" r:id="rId11"/>
    <sheet name="Effort" sheetId="12" r:id="rId12"/>
    <sheet name="Aide" sheetId="39" r:id="rId13"/>
    <sheet name="Taux" sheetId="13" r:id="rId14"/>
    <sheet name="Facture policière" sheetId="49" r:id="rId15"/>
    <sheet name="Synthèse" sheetId="25" r:id="rId16"/>
    <sheet name="Décompte vs acomptes" sheetId="54" r:id="rId17"/>
  </sheets>
  <definedNames>
    <definedName name="_xlnm._FilterDatabase" localSheetId="5" hidden="1">PCS!$A$10:$I$312</definedName>
    <definedName name="_xlnm._FilterDatabase" localSheetId="7" hidden="1">'Péréquation directe'!$A$10:$J$312</definedName>
    <definedName name="_xlnm._FilterDatabase" localSheetId="15" hidden="1">Synthèse!$A$4:$G$307</definedName>
    <definedName name="_xlnm.Database" localSheetId="16">#REF!</definedName>
    <definedName name="_xlnm.Database">#REF!</definedName>
    <definedName name="_xlnm.Print_Titles" localSheetId="10">DT!$4:$5</definedName>
    <definedName name="_xlnm.Print_Titles" localSheetId="11">Effort!$4:$5</definedName>
    <definedName name="_xlnm.Print_Titles" localSheetId="14">'Facture policière'!$4:$4</definedName>
    <definedName name="_xlnm.Print_Titles" localSheetId="5">PCS!$10:$11</definedName>
    <definedName name="_xlnm.Print_Titles" localSheetId="15">Synthèse!$4:$4</definedName>
    <definedName name="_xlnm.Print_Titles" localSheetId="13">Taux!$4:$5</definedName>
    <definedName name="ind">2</definedName>
    <definedName name="_xlnm.Print_Area" localSheetId="3">Données!#REF!</definedName>
    <definedName name="_xlnm.Print_Area" localSheetId="14">'Facture policière'!$A$1:$M$306</definedName>
    <definedName name="_xlnm.Print_Area" localSheetId="7">'Péréquation directe'!$303:$334</definedName>
    <definedName name="_xlnm.Print_Area" localSheetId="2">Recherche!$B$6:$F$68</definedName>
    <definedName name="_xlnm.Print_Area" localSheetId="15">Synthèse!$A$1:$J$305</definedName>
    <definedName name="_xlnm.Print_Area" localSheetId="13">Taux!$A$1:$P$307</definedName>
  </definedNames>
  <calcPr calcId="18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A7" i="11" l="1"/>
  <c r="B7" i="11"/>
  <c r="E7" i="11"/>
  <c r="J7" i="11"/>
  <c r="A8" i="11"/>
  <c r="B8" i="11"/>
  <c r="E8" i="11"/>
  <c r="J8" i="11"/>
  <c r="A9" i="11"/>
  <c r="B9" i="11"/>
  <c r="E9" i="11"/>
  <c r="J9" i="11"/>
  <c r="A10" i="11"/>
  <c r="B10" i="11"/>
  <c r="E10" i="11"/>
  <c r="J10" i="11"/>
  <c r="A11" i="11"/>
  <c r="B11" i="11"/>
  <c r="E11" i="11"/>
  <c r="J11" i="11"/>
  <c r="A12" i="11"/>
  <c r="B12" i="11"/>
  <c r="E12" i="11"/>
  <c r="J12" i="11"/>
  <c r="A13" i="11"/>
  <c r="B13" i="11"/>
  <c r="E13" i="11"/>
  <c r="J13" i="11"/>
  <c r="A14" i="11"/>
  <c r="B14" i="11"/>
  <c r="E14" i="11"/>
  <c r="J14" i="11"/>
  <c r="A15" i="11"/>
  <c r="B15" i="11"/>
  <c r="E15" i="11"/>
  <c r="J15" i="11"/>
  <c r="A16" i="11"/>
  <c r="B16" i="11"/>
  <c r="E16" i="11"/>
  <c r="J16" i="11"/>
  <c r="A17" i="11"/>
  <c r="B17" i="11"/>
  <c r="E17" i="11"/>
  <c r="J17" i="11"/>
  <c r="A18" i="11"/>
  <c r="B18" i="11"/>
  <c r="E18" i="11"/>
  <c r="J18" i="11"/>
  <c r="A19" i="11"/>
  <c r="B19" i="11"/>
  <c r="E19" i="11"/>
  <c r="J19" i="11"/>
  <c r="A20" i="11"/>
  <c r="B20" i="11"/>
  <c r="E20" i="11"/>
  <c r="J20" i="11"/>
  <c r="A21" i="11"/>
  <c r="B21" i="11"/>
  <c r="E21" i="11"/>
  <c r="J21" i="11"/>
  <c r="A22" i="11"/>
  <c r="B22" i="11"/>
  <c r="E22" i="11"/>
  <c r="J22" i="11"/>
  <c r="A23" i="11"/>
  <c r="B23" i="11"/>
  <c r="E23" i="11"/>
  <c r="J23" i="11"/>
  <c r="A24" i="11"/>
  <c r="B24" i="11"/>
  <c r="E24" i="11"/>
  <c r="J24" i="11"/>
  <c r="A25" i="11"/>
  <c r="B25" i="11"/>
  <c r="E25" i="11"/>
  <c r="J25" i="11"/>
  <c r="A26" i="11"/>
  <c r="B26" i="11"/>
  <c r="E26" i="11"/>
  <c r="J26" i="11"/>
  <c r="A27" i="11"/>
  <c r="B27" i="11"/>
  <c r="E27" i="11"/>
  <c r="J27" i="11"/>
  <c r="A28" i="11"/>
  <c r="B28" i="11"/>
  <c r="E28" i="11"/>
  <c r="J28" i="11"/>
  <c r="A29" i="11"/>
  <c r="B29" i="11"/>
  <c r="E29" i="11"/>
  <c r="J29" i="11"/>
  <c r="A30" i="11"/>
  <c r="B30" i="11"/>
  <c r="E30" i="11"/>
  <c r="J30" i="11"/>
  <c r="A31" i="11"/>
  <c r="B31" i="11"/>
  <c r="E31" i="11"/>
  <c r="J31" i="11"/>
  <c r="A32" i="11"/>
  <c r="B32" i="11"/>
  <c r="E32" i="11"/>
  <c r="J32" i="11"/>
  <c r="A33" i="11"/>
  <c r="B33" i="11"/>
  <c r="E33" i="11"/>
  <c r="J33" i="11"/>
  <c r="A34" i="11"/>
  <c r="B34" i="11"/>
  <c r="E34" i="11"/>
  <c r="J34" i="11"/>
  <c r="A35" i="11"/>
  <c r="B35" i="11"/>
  <c r="E35" i="11"/>
  <c r="J35" i="11"/>
  <c r="A36" i="11"/>
  <c r="B36" i="11"/>
  <c r="E36" i="11"/>
  <c r="J36" i="11"/>
  <c r="A37" i="11"/>
  <c r="B37" i="11"/>
  <c r="E37" i="11"/>
  <c r="J37" i="11"/>
  <c r="A38" i="11"/>
  <c r="B38" i="11"/>
  <c r="E38" i="11"/>
  <c r="J38" i="11"/>
  <c r="A39" i="11"/>
  <c r="B39" i="11"/>
  <c r="E39" i="11"/>
  <c r="J39" i="11"/>
  <c r="A40" i="11"/>
  <c r="B40" i="11"/>
  <c r="E40" i="11"/>
  <c r="J40" i="11"/>
  <c r="A41" i="11"/>
  <c r="B41" i="11"/>
  <c r="E41" i="11"/>
  <c r="J41" i="11"/>
  <c r="A42" i="11"/>
  <c r="B42" i="11"/>
  <c r="E42" i="11"/>
  <c r="J42" i="11"/>
  <c r="A43" i="11"/>
  <c r="B43" i="11"/>
  <c r="E43" i="11"/>
  <c r="J43" i="11"/>
  <c r="A44" i="11"/>
  <c r="B44" i="11"/>
  <c r="E44" i="11"/>
  <c r="J44" i="11"/>
  <c r="A45" i="11"/>
  <c r="B45" i="11"/>
  <c r="E45" i="11"/>
  <c r="J45" i="11"/>
  <c r="A46" i="11"/>
  <c r="B46" i="11"/>
  <c r="E46" i="11"/>
  <c r="J46" i="11"/>
  <c r="A47" i="11"/>
  <c r="B47" i="11"/>
  <c r="E47" i="11"/>
  <c r="J47" i="11"/>
  <c r="A48" i="11"/>
  <c r="B48" i="11"/>
  <c r="E48" i="11"/>
  <c r="J48" i="11"/>
  <c r="A49" i="11"/>
  <c r="B49" i="11"/>
  <c r="E49" i="11"/>
  <c r="J49" i="11"/>
  <c r="A50" i="11"/>
  <c r="B50" i="11"/>
  <c r="E50" i="11"/>
  <c r="J50" i="11"/>
  <c r="A51" i="11"/>
  <c r="B51" i="11"/>
  <c r="E51" i="11"/>
  <c r="J51" i="11"/>
  <c r="A52" i="11"/>
  <c r="B52" i="11"/>
  <c r="E52" i="11"/>
  <c r="J52" i="11"/>
  <c r="A53" i="11"/>
  <c r="B53" i="11"/>
  <c r="E53" i="11"/>
  <c r="J53" i="11"/>
  <c r="A54" i="11"/>
  <c r="B54" i="11"/>
  <c r="E54" i="11"/>
  <c r="J54" i="11"/>
  <c r="A55" i="11"/>
  <c r="B55" i="11"/>
  <c r="E55" i="11"/>
  <c r="J55" i="11"/>
  <c r="A56" i="11"/>
  <c r="B56" i="11"/>
  <c r="E56" i="11"/>
  <c r="J56" i="11"/>
  <c r="A57" i="11"/>
  <c r="B57" i="11"/>
  <c r="E57" i="11"/>
  <c r="J57" i="11"/>
  <c r="A58" i="11"/>
  <c r="B58" i="11"/>
  <c r="E58" i="11"/>
  <c r="J58" i="11"/>
  <c r="A59" i="11"/>
  <c r="B59" i="11"/>
  <c r="E59" i="11"/>
  <c r="J59" i="11"/>
  <c r="A60" i="11"/>
  <c r="B60" i="11"/>
  <c r="E60" i="11"/>
  <c r="J60" i="11"/>
  <c r="A61" i="11"/>
  <c r="B61" i="11"/>
  <c r="E61" i="11"/>
  <c r="J61" i="11"/>
  <c r="A62" i="11"/>
  <c r="B62" i="11"/>
  <c r="E62" i="11"/>
  <c r="J62" i="11"/>
  <c r="A63" i="11"/>
  <c r="B63" i="11"/>
  <c r="E63" i="11"/>
  <c r="J63" i="11"/>
  <c r="A64" i="11"/>
  <c r="B64" i="11"/>
  <c r="E64" i="11"/>
  <c r="J64" i="11"/>
  <c r="A65" i="11"/>
  <c r="B65" i="11"/>
  <c r="E65" i="11"/>
  <c r="J65" i="11"/>
  <c r="A66" i="11"/>
  <c r="B66" i="11"/>
  <c r="E66" i="11"/>
  <c r="J66" i="11"/>
  <c r="A67" i="11"/>
  <c r="B67" i="11"/>
  <c r="E67" i="11"/>
  <c r="J67" i="11"/>
  <c r="A68" i="11"/>
  <c r="B68" i="11"/>
  <c r="E68" i="11"/>
  <c r="J68" i="11"/>
  <c r="A69" i="11"/>
  <c r="B69" i="11"/>
  <c r="E69" i="11"/>
  <c r="J69" i="11"/>
  <c r="A70" i="11"/>
  <c r="B70" i="11"/>
  <c r="E70" i="11"/>
  <c r="J70" i="11"/>
  <c r="A71" i="11"/>
  <c r="B71" i="11"/>
  <c r="E71" i="11"/>
  <c r="J71" i="11"/>
  <c r="A72" i="11"/>
  <c r="B72" i="11"/>
  <c r="E72" i="11"/>
  <c r="J72" i="11"/>
  <c r="A73" i="11"/>
  <c r="B73" i="11"/>
  <c r="E73" i="11"/>
  <c r="J73" i="11"/>
  <c r="A74" i="11"/>
  <c r="B74" i="11"/>
  <c r="E74" i="11"/>
  <c r="J74" i="11"/>
  <c r="A75" i="11"/>
  <c r="B75" i="11"/>
  <c r="E75" i="11"/>
  <c r="J75" i="11"/>
  <c r="A76" i="11"/>
  <c r="B76" i="11"/>
  <c r="E76" i="11"/>
  <c r="J76" i="11"/>
  <c r="A77" i="11"/>
  <c r="B77" i="11"/>
  <c r="E77" i="11"/>
  <c r="J77" i="11"/>
  <c r="A78" i="11"/>
  <c r="B78" i="11"/>
  <c r="E78" i="11"/>
  <c r="J78" i="11"/>
  <c r="A79" i="11"/>
  <c r="B79" i="11"/>
  <c r="E79" i="11"/>
  <c r="J79" i="11"/>
  <c r="A80" i="11"/>
  <c r="B80" i="11"/>
  <c r="E80" i="11"/>
  <c r="J80" i="11"/>
  <c r="A81" i="11"/>
  <c r="B81" i="11"/>
  <c r="E81" i="11"/>
  <c r="J81" i="11"/>
  <c r="A82" i="11"/>
  <c r="B82" i="11"/>
  <c r="E82" i="11"/>
  <c r="J82" i="11"/>
  <c r="A83" i="11"/>
  <c r="B83" i="11"/>
  <c r="E83" i="11"/>
  <c r="J83" i="11"/>
  <c r="A84" i="11"/>
  <c r="B84" i="11"/>
  <c r="E84" i="11"/>
  <c r="J84" i="11"/>
  <c r="A85" i="11"/>
  <c r="B85" i="11"/>
  <c r="E85" i="11"/>
  <c r="J85" i="11"/>
  <c r="A86" i="11"/>
  <c r="B86" i="11"/>
  <c r="E86" i="11"/>
  <c r="J86" i="11"/>
  <c r="A87" i="11"/>
  <c r="B87" i="11"/>
  <c r="E87" i="11"/>
  <c r="J87" i="11"/>
  <c r="A88" i="11"/>
  <c r="B88" i="11"/>
  <c r="E88" i="11"/>
  <c r="J88" i="11"/>
  <c r="A89" i="11"/>
  <c r="B89" i="11"/>
  <c r="E89" i="11"/>
  <c r="J89" i="11"/>
  <c r="A90" i="11"/>
  <c r="B90" i="11"/>
  <c r="E90" i="11"/>
  <c r="J90" i="11"/>
  <c r="A91" i="11"/>
  <c r="B91" i="11"/>
  <c r="E91" i="11"/>
  <c r="J91" i="11"/>
  <c r="A92" i="11"/>
  <c r="B92" i="11"/>
  <c r="E92" i="11"/>
  <c r="J92" i="11"/>
  <c r="A93" i="11"/>
  <c r="B93" i="11"/>
  <c r="E93" i="11"/>
  <c r="J93" i="11"/>
  <c r="A94" i="11"/>
  <c r="B94" i="11"/>
  <c r="E94" i="11"/>
  <c r="J94" i="11"/>
  <c r="A95" i="11"/>
  <c r="B95" i="11"/>
  <c r="E95" i="11"/>
  <c r="J95" i="11"/>
  <c r="A96" i="11"/>
  <c r="B96" i="11"/>
  <c r="E96" i="11"/>
  <c r="J96" i="11"/>
  <c r="A97" i="11"/>
  <c r="B97" i="11"/>
  <c r="E97" i="11"/>
  <c r="J97" i="11"/>
  <c r="A98" i="11"/>
  <c r="B98" i="11"/>
  <c r="E98" i="11"/>
  <c r="J98" i="11"/>
  <c r="A99" i="11"/>
  <c r="B99" i="11"/>
  <c r="E99" i="11"/>
  <c r="J99" i="11"/>
  <c r="A100" i="11"/>
  <c r="B100" i="11"/>
  <c r="E100" i="11"/>
  <c r="J100" i="11"/>
  <c r="A101" i="11"/>
  <c r="B101" i="11"/>
  <c r="E101" i="11"/>
  <c r="J101" i="11"/>
  <c r="A102" i="11"/>
  <c r="B102" i="11"/>
  <c r="E102" i="11"/>
  <c r="J102" i="11"/>
  <c r="A103" i="11"/>
  <c r="B103" i="11"/>
  <c r="E103" i="11"/>
  <c r="J103" i="11"/>
  <c r="A104" i="11"/>
  <c r="B104" i="11"/>
  <c r="E104" i="11"/>
  <c r="J104" i="11"/>
  <c r="A105" i="11"/>
  <c r="B105" i="11"/>
  <c r="E105" i="11"/>
  <c r="J105" i="11"/>
  <c r="A106" i="11"/>
  <c r="B106" i="11"/>
  <c r="E106" i="11"/>
  <c r="J106" i="11"/>
  <c r="A107" i="11"/>
  <c r="B107" i="11"/>
  <c r="E107" i="11"/>
  <c r="J107" i="11"/>
  <c r="A108" i="11"/>
  <c r="B108" i="11"/>
  <c r="E108" i="11"/>
  <c r="J108" i="11"/>
  <c r="A109" i="11"/>
  <c r="B109" i="11"/>
  <c r="E109" i="11"/>
  <c r="J109" i="11"/>
  <c r="A110" i="11"/>
  <c r="B110" i="11"/>
  <c r="E110" i="11"/>
  <c r="J110" i="11"/>
  <c r="A111" i="11"/>
  <c r="B111" i="11"/>
  <c r="E111" i="11"/>
  <c r="J111" i="11"/>
  <c r="A112" i="11"/>
  <c r="B112" i="11"/>
  <c r="E112" i="11"/>
  <c r="J112" i="11"/>
  <c r="A113" i="11"/>
  <c r="B113" i="11"/>
  <c r="E113" i="11"/>
  <c r="J113" i="11"/>
  <c r="A114" i="11"/>
  <c r="B114" i="11"/>
  <c r="E114" i="11"/>
  <c r="J114" i="11"/>
  <c r="A115" i="11"/>
  <c r="B115" i="11"/>
  <c r="E115" i="11"/>
  <c r="J115" i="11"/>
  <c r="A116" i="11"/>
  <c r="B116" i="11"/>
  <c r="E116" i="11"/>
  <c r="J116" i="11"/>
  <c r="A117" i="11"/>
  <c r="B117" i="11"/>
  <c r="E117" i="11"/>
  <c r="J117" i="11"/>
  <c r="A118" i="11"/>
  <c r="B118" i="11"/>
  <c r="E118" i="11"/>
  <c r="J118" i="11"/>
  <c r="A119" i="11"/>
  <c r="B119" i="11"/>
  <c r="E119" i="11"/>
  <c r="J119" i="11"/>
  <c r="A120" i="11"/>
  <c r="B120" i="11"/>
  <c r="E120" i="11"/>
  <c r="J120" i="11"/>
  <c r="A121" i="11"/>
  <c r="B121" i="11"/>
  <c r="E121" i="11"/>
  <c r="J121" i="11"/>
  <c r="A122" i="11"/>
  <c r="B122" i="11"/>
  <c r="E122" i="11"/>
  <c r="J122" i="11"/>
  <c r="A123" i="11"/>
  <c r="B123" i="11"/>
  <c r="E123" i="11"/>
  <c r="J123" i="11"/>
  <c r="A124" i="11"/>
  <c r="B124" i="11"/>
  <c r="E124" i="11"/>
  <c r="J124" i="11"/>
  <c r="A125" i="11"/>
  <c r="B125" i="11"/>
  <c r="E125" i="11"/>
  <c r="J125" i="11"/>
  <c r="A126" i="11"/>
  <c r="B126" i="11"/>
  <c r="E126" i="11"/>
  <c r="J126" i="11"/>
  <c r="A127" i="11"/>
  <c r="B127" i="11"/>
  <c r="E127" i="11"/>
  <c r="J127" i="11"/>
  <c r="A128" i="11"/>
  <c r="B128" i="11"/>
  <c r="E128" i="11"/>
  <c r="J128" i="11"/>
  <c r="A129" i="11"/>
  <c r="B129" i="11"/>
  <c r="E129" i="11"/>
  <c r="J129" i="11"/>
  <c r="A130" i="11"/>
  <c r="B130" i="11"/>
  <c r="E130" i="11"/>
  <c r="J130" i="11"/>
  <c r="A131" i="11"/>
  <c r="B131" i="11"/>
  <c r="E131" i="11"/>
  <c r="J131" i="11"/>
  <c r="A132" i="11"/>
  <c r="B132" i="11"/>
  <c r="E132" i="11"/>
  <c r="J132" i="11"/>
  <c r="A133" i="11"/>
  <c r="B133" i="11"/>
  <c r="E133" i="11"/>
  <c r="J133" i="11"/>
  <c r="A134" i="11"/>
  <c r="B134" i="11"/>
  <c r="E134" i="11"/>
  <c r="J134" i="11"/>
  <c r="A135" i="11"/>
  <c r="B135" i="11"/>
  <c r="E135" i="11"/>
  <c r="J135" i="11"/>
  <c r="A136" i="11"/>
  <c r="B136" i="11"/>
  <c r="E136" i="11"/>
  <c r="J136" i="11"/>
  <c r="A137" i="11"/>
  <c r="B137" i="11"/>
  <c r="E137" i="11"/>
  <c r="J137" i="11"/>
  <c r="A138" i="11"/>
  <c r="B138" i="11"/>
  <c r="E138" i="11"/>
  <c r="J138" i="11"/>
  <c r="A139" i="11"/>
  <c r="B139" i="11"/>
  <c r="E139" i="11"/>
  <c r="J139" i="11"/>
  <c r="A140" i="11"/>
  <c r="B140" i="11"/>
  <c r="E140" i="11"/>
  <c r="J140" i="11"/>
  <c r="A141" i="11"/>
  <c r="B141" i="11"/>
  <c r="E141" i="11"/>
  <c r="J141" i="11"/>
  <c r="A142" i="11"/>
  <c r="B142" i="11"/>
  <c r="E142" i="11"/>
  <c r="J142" i="11"/>
  <c r="A143" i="11"/>
  <c r="B143" i="11"/>
  <c r="E143" i="11"/>
  <c r="J143" i="11"/>
  <c r="A144" i="11"/>
  <c r="B144" i="11"/>
  <c r="E144" i="11"/>
  <c r="J144" i="11"/>
  <c r="A145" i="11"/>
  <c r="B145" i="11"/>
  <c r="E145" i="11"/>
  <c r="J145" i="11"/>
  <c r="A146" i="11"/>
  <c r="B146" i="11"/>
  <c r="E146" i="11"/>
  <c r="J146" i="11"/>
  <c r="A147" i="11"/>
  <c r="B147" i="11"/>
  <c r="E147" i="11"/>
  <c r="J147" i="11"/>
  <c r="A148" i="11"/>
  <c r="B148" i="11"/>
  <c r="E148" i="11"/>
  <c r="J148" i="11"/>
  <c r="A149" i="11"/>
  <c r="B149" i="11"/>
  <c r="E149" i="11"/>
  <c r="J149" i="11"/>
  <c r="A150" i="11"/>
  <c r="B150" i="11"/>
  <c r="E150" i="11"/>
  <c r="J150" i="11"/>
  <c r="A151" i="11"/>
  <c r="B151" i="11"/>
  <c r="E151" i="11"/>
  <c r="J151" i="11"/>
  <c r="A152" i="11"/>
  <c r="B152" i="11"/>
  <c r="E152" i="11"/>
  <c r="J152" i="11"/>
  <c r="A153" i="11"/>
  <c r="B153" i="11"/>
  <c r="E153" i="11"/>
  <c r="J153" i="11"/>
  <c r="A154" i="11"/>
  <c r="B154" i="11"/>
  <c r="E154" i="11"/>
  <c r="J154" i="11"/>
  <c r="A155" i="11"/>
  <c r="B155" i="11"/>
  <c r="E155" i="11"/>
  <c r="J155" i="11"/>
  <c r="A156" i="11"/>
  <c r="B156" i="11"/>
  <c r="E156" i="11"/>
  <c r="J156" i="11"/>
  <c r="A157" i="11"/>
  <c r="B157" i="11"/>
  <c r="E157" i="11"/>
  <c r="J157" i="11"/>
  <c r="A158" i="11"/>
  <c r="B158" i="11"/>
  <c r="E158" i="11"/>
  <c r="J158" i="11"/>
  <c r="A159" i="11"/>
  <c r="B159" i="11"/>
  <c r="E159" i="11"/>
  <c r="J159" i="11"/>
  <c r="A160" i="11"/>
  <c r="B160" i="11"/>
  <c r="E160" i="11"/>
  <c r="J160" i="11"/>
  <c r="A161" i="11"/>
  <c r="B161" i="11"/>
  <c r="E161" i="11"/>
  <c r="J161" i="11"/>
  <c r="A162" i="11"/>
  <c r="B162" i="11"/>
  <c r="E162" i="11"/>
  <c r="J162" i="11"/>
  <c r="A163" i="11"/>
  <c r="B163" i="11"/>
  <c r="E163" i="11"/>
  <c r="J163" i="11"/>
  <c r="A164" i="11"/>
  <c r="B164" i="11"/>
  <c r="E164" i="11"/>
  <c r="J164" i="11"/>
  <c r="A165" i="11"/>
  <c r="B165" i="11"/>
  <c r="E165" i="11"/>
  <c r="J165" i="11"/>
  <c r="A166" i="11"/>
  <c r="B166" i="11"/>
  <c r="E166" i="11"/>
  <c r="J166" i="11"/>
  <c r="A167" i="11"/>
  <c r="B167" i="11"/>
  <c r="E167" i="11"/>
  <c r="J167" i="11"/>
  <c r="A168" i="11"/>
  <c r="B168" i="11"/>
  <c r="E168" i="11"/>
  <c r="J168" i="11"/>
  <c r="A169" i="11"/>
  <c r="B169" i="11"/>
  <c r="E169" i="11"/>
  <c r="J169" i="11"/>
  <c r="A170" i="11"/>
  <c r="B170" i="11"/>
  <c r="E170" i="11"/>
  <c r="J170" i="11"/>
  <c r="A171" i="11"/>
  <c r="B171" i="11"/>
  <c r="E171" i="11"/>
  <c r="J171" i="11"/>
  <c r="A172" i="11"/>
  <c r="B172" i="11"/>
  <c r="E172" i="11"/>
  <c r="J172" i="11"/>
  <c r="A173" i="11"/>
  <c r="B173" i="11"/>
  <c r="E173" i="11"/>
  <c r="J173" i="11"/>
  <c r="A174" i="11"/>
  <c r="B174" i="11"/>
  <c r="E174" i="11"/>
  <c r="J174" i="11"/>
  <c r="A175" i="11"/>
  <c r="B175" i="11"/>
  <c r="E175" i="11"/>
  <c r="J175" i="11"/>
  <c r="A176" i="11"/>
  <c r="B176" i="11"/>
  <c r="E176" i="11"/>
  <c r="J176" i="11"/>
  <c r="A177" i="11"/>
  <c r="B177" i="11"/>
  <c r="E177" i="11"/>
  <c r="J177" i="11"/>
  <c r="A178" i="11"/>
  <c r="B178" i="11"/>
  <c r="E178" i="11"/>
  <c r="J178" i="11"/>
  <c r="A179" i="11"/>
  <c r="B179" i="11"/>
  <c r="E179" i="11"/>
  <c r="J179" i="11"/>
  <c r="A180" i="11"/>
  <c r="B180" i="11"/>
  <c r="E180" i="11"/>
  <c r="J180" i="11"/>
  <c r="A181" i="11"/>
  <c r="B181" i="11"/>
  <c r="E181" i="11"/>
  <c r="J181" i="11"/>
  <c r="A182" i="11"/>
  <c r="B182" i="11"/>
  <c r="E182" i="11"/>
  <c r="J182" i="11"/>
  <c r="A183" i="11"/>
  <c r="B183" i="11"/>
  <c r="E183" i="11"/>
  <c r="J183" i="11"/>
  <c r="A184" i="11"/>
  <c r="B184" i="11"/>
  <c r="E184" i="11"/>
  <c r="J184" i="11"/>
  <c r="A185" i="11"/>
  <c r="B185" i="11"/>
  <c r="E185" i="11"/>
  <c r="J185" i="11"/>
  <c r="A186" i="11"/>
  <c r="B186" i="11"/>
  <c r="E186" i="11"/>
  <c r="J186" i="11"/>
  <c r="A187" i="11"/>
  <c r="B187" i="11"/>
  <c r="E187" i="11"/>
  <c r="J187" i="11"/>
  <c r="A188" i="11"/>
  <c r="B188" i="11"/>
  <c r="E188" i="11"/>
  <c r="J188" i="11"/>
  <c r="A189" i="11"/>
  <c r="B189" i="11"/>
  <c r="E189" i="11"/>
  <c r="J189" i="11"/>
  <c r="A190" i="11"/>
  <c r="B190" i="11"/>
  <c r="E190" i="11"/>
  <c r="J190" i="11"/>
  <c r="A191" i="11"/>
  <c r="B191" i="11"/>
  <c r="E191" i="11"/>
  <c r="J191" i="11"/>
  <c r="A192" i="11"/>
  <c r="B192" i="11"/>
  <c r="E192" i="11"/>
  <c r="J192" i="11"/>
  <c r="A193" i="11"/>
  <c r="B193" i="11"/>
  <c r="E193" i="11"/>
  <c r="J193" i="11"/>
  <c r="A194" i="11"/>
  <c r="B194" i="11"/>
  <c r="E194" i="11"/>
  <c r="J194" i="11"/>
  <c r="A195" i="11"/>
  <c r="B195" i="11"/>
  <c r="E195" i="11"/>
  <c r="J195" i="11"/>
  <c r="A196" i="11"/>
  <c r="B196" i="11"/>
  <c r="E196" i="11"/>
  <c r="J196" i="11"/>
  <c r="A197" i="11"/>
  <c r="B197" i="11"/>
  <c r="E197" i="11"/>
  <c r="J197" i="11"/>
  <c r="A198" i="11"/>
  <c r="B198" i="11"/>
  <c r="E198" i="11"/>
  <c r="J198" i="11"/>
  <c r="A199" i="11"/>
  <c r="B199" i="11"/>
  <c r="E199" i="11"/>
  <c r="J199" i="11"/>
  <c r="A200" i="11"/>
  <c r="B200" i="11"/>
  <c r="E200" i="11"/>
  <c r="J200" i="11"/>
  <c r="A201" i="11"/>
  <c r="B201" i="11"/>
  <c r="E201" i="11"/>
  <c r="J201" i="11"/>
  <c r="A202" i="11"/>
  <c r="B202" i="11"/>
  <c r="E202" i="11"/>
  <c r="J202" i="11"/>
  <c r="A203" i="11"/>
  <c r="B203" i="11"/>
  <c r="E203" i="11"/>
  <c r="J203" i="11"/>
  <c r="A204" i="11"/>
  <c r="B204" i="11"/>
  <c r="E204" i="11"/>
  <c r="J204" i="11"/>
  <c r="A205" i="11"/>
  <c r="B205" i="11"/>
  <c r="E205" i="11"/>
  <c r="J205" i="11"/>
  <c r="A206" i="11"/>
  <c r="B206" i="11"/>
  <c r="E206" i="11"/>
  <c r="J206" i="11"/>
  <c r="A207" i="11"/>
  <c r="B207" i="11"/>
  <c r="E207" i="11"/>
  <c r="J207" i="11"/>
  <c r="A208" i="11"/>
  <c r="B208" i="11"/>
  <c r="E208" i="11"/>
  <c r="J208" i="11"/>
  <c r="A209" i="11"/>
  <c r="B209" i="11"/>
  <c r="E209" i="11"/>
  <c r="J209" i="11"/>
  <c r="A210" i="11"/>
  <c r="B210" i="11"/>
  <c r="E210" i="11"/>
  <c r="J210" i="11"/>
  <c r="A211" i="11"/>
  <c r="B211" i="11"/>
  <c r="E211" i="11"/>
  <c r="J211" i="11"/>
  <c r="A212" i="11"/>
  <c r="B212" i="11"/>
  <c r="E212" i="11"/>
  <c r="J212" i="11"/>
  <c r="A213" i="11"/>
  <c r="B213" i="11"/>
  <c r="E213" i="11"/>
  <c r="J213" i="11"/>
  <c r="A214" i="11"/>
  <c r="B214" i="11"/>
  <c r="E214" i="11"/>
  <c r="J214" i="11"/>
  <c r="A215" i="11"/>
  <c r="B215" i="11"/>
  <c r="E215" i="11"/>
  <c r="J215" i="11"/>
  <c r="A216" i="11"/>
  <c r="B216" i="11"/>
  <c r="E216" i="11"/>
  <c r="J216" i="11"/>
  <c r="A217" i="11"/>
  <c r="B217" i="11"/>
  <c r="E217" i="11"/>
  <c r="J217" i="11"/>
  <c r="A218" i="11"/>
  <c r="B218" i="11"/>
  <c r="E218" i="11"/>
  <c r="J218" i="11"/>
  <c r="A219" i="11"/>
  <c r="B219" i="11"/>
  <c r="E219" i="11"/>
  <c r="J219" i="11"/>
  <c r="A220" i="11"/>
  <c r="B220" i="11"/>
  <c r="E220" i="11"/>
  <c r="J220" i="11"/>
  <c r="A221" i="11"/>
  <c r="B221" i="11"/>
  <c r="E221" i="11"/>
  <c r="J221" i="11"/>
  <c r="A222" i="11"/>
  <c r="B222" i="11"/>
  <c r="E222" i="11"/>
  <c r="J222" i="11"/>
  <c r="A223" i="11"/>
  <c r="B223" i="11"/>
  <c r="E223" i="11"/>
  <c r="J223" i="11"/>
  <c r="A224" i="11"/>
  <c r="B224" i="11"/>
  <c r="E224" i="11"/>
  <c r="J224" i="11"/>
  <c r="A225" i="11"/>
  <c r="B225" i="11"/>
  <c r="E225" i="11"/>
  <c r="J225" i="11"/>
  <c r="A226" i="11"/>
  <c r="B226" i="11"/>
  <c r="E226" i="11"/>
  <c r="J226" i="11"/>
  <c r="A227" i="11"/>
  <c r="B227" i="11"/>
  <c r="E227" i="11"/>
  <c r="J227" i="11"/>
  <c r="A228" i="11"/>
  <c r="B228" i="11"/>
  <c r="E228" i="11"/>
  <c r="J228" i="11"/>
  <c r="A229" i="11"/>
  <c r="B229" i="11"/>
  <c r="E229" i="11"/>
  <c r="J229" i="11"/>
  <c r="A230" i="11"/>
  <c r="B230" i="11"/>
  <c r="E230" i="11"/>
  <c r="J230" i="11"/>
  <c r="A231" i="11"/>
  <c r="B231" i="11"/>
  <c r="E231" i="11"/>
  <c r="J231" i="11"/>
  <c r="A232" i="11"/>
  <c r="B232" i="11"/>
  <c r="E232" i="11"/>
  <c r="J232" i="11"/>
  <c r="A233" i="11"/>
  <c r="B233" i="11"/>
  <c r="E233" i="11"/>
  <c r="J233" i="11"/>
  <c r="A234" i="11"/>
  <c r="B234" i="11"/>
  <c r="E234" i="11"/>
  <c r="J234" i="11"/>
  <c r="A235" i="11"/>
  <c r="B235" i="11"/>
  <c r="E235" i="11"/>
  <c r="J235" i="11"/>
  <c r="A236" i="11"/>
  <c r="B236" i="11"/>
  <c r="E236" i="11"/>
  <c r="J236" i="11"/>
  <c r="A237" i="11"/>
  <c r="B237" i="11"/>
  <c r="E237" i="11"/>
  <c r="J237" i="11"/>
  <c r="A238" i="11"/>
  <c r="B238" i="11"/>
  <c r="E238" i="11"/>
  <c r="J238" i="11"/>
  <c r="A239" i="11"/>
  <c r="B239" i="11"/>
  <c r="E239" i="11"/>
  <c r="J239" i="11"/>
  <c r="A240" i="11"/>
  <c r="B240" i="11"/>
  <c r="E240" i="11"/>
  <c r="J240" i="11"/>
  <c r="A241" i="11"/>
  <c r="B241" i="11"/>
  <c r="E241" i="11"/>
  <c r="J241" i="11"/>
  <c r="A242" i="11"/>
  <c r="B242" i="11"/>
  <c r="E242" i="11"/>
  <c r="J242" i="11"/>
  <c r="A243" i="11"/>
  <c r="B243" i="11"/>
  <c r="E243" i="11"/>
  <c r="J243" i="11"/>
  <c r="A244" i="11"/>
  <c r="B244" i="11"/>
  <c r="E244" i="11"/>
  <c r="J244" i="11"/>
  <c r="A245" i="11"/>
  <c r="B245" i="11"/>
  <c r="E245" i="11"/>
  <c r="J245" i="11"/>
  <c r="A246" i="11"/>
  <c r="B246" i="11"/>
  <c r="E246" i="11"/>
  <c r="J246" i="11"/>
  <c r="A247" i="11"/>
  <c r="B247" i="11"/>
  <c r="E247" i="11"/>
  <c r="J247" i="11"/>
  <c r="A248" i="11"/>
  <c r="B248" i="11"/>
  <c r="E248" i="11"/>
  <c r="J248" i="11"/>
  <c r="A249" i="11"/>
  <c r="B249" i="11"/>
  <c r="E249" i="11"/>
  <c r="J249" i="11"/>
  <c r="A250" i="11"/>
  <c r="B250" i="11"/>
  <c r="E250" i="11"/>
  <c r="J250" i="11"/>
  <c r="A251" i="11"/>
  <c r="B251" i="11"/>
  <c r="E251" i="11"/>
  <c r="J251" i="11"/>
  <c r="A252" i="11"/>
  <c r="B252" i="11"/>
  <c r="E252" i="11"/>
  <c r="J252" i="11"/>
  <c r="A253" i="11"/>
  <c r="B253" i="11"/>
  <c r="E253" i="11"/>
  <c r="J253" i="11"/>
  <c r="A254" i="11"/>
  <c r="B254" i="11"/>
  <c r="E254" i="11"/>
  <c r="J254" i="11"/>
  <c r="A255" i="11"/>
  <c r="B255" i="11"/>
  <c r="E255" i="11"/>
  <c r="J255" i="11"/>
  <c r="A256" i="11"/>
  <c r="B256" i="11"/>
  <c r="E256" i="11"/>
  <c r="J256" i="11"/>
  <c r="A257" i="11"/>
  <c r="B257" i="11"/>
  <c r="E257" i="11"/>
  <c r="J257" i="11"/>
  <c r="A258" i="11"/>
  <c r="B258" i="11"/>
  <c r="E258" i="11"/>
  <c r="J258" i="11"/>
  <c r="A259" i="11"/>
  <c r="B259" i="11"/>
  <c r="E259" i="11"/>
  <c r="J259" i="11"/>
  <c r="A260" i="11"/>
  <c r="B260" i="11"/>
  <c r="E260" i="11"/>
  <c r="J260" i="11"/>
  <c r="A261" i="11"/>
  <c r="B261" i="11"/>
  <c r="E261" i="11"/>
  <c r="J261" i="11"/>
  <c r="A262" i="11"/>
  <c r="B262" i="11"/>
  <c r="E262" i="11"/>
  <c r="J262" i="11"/>
  <c r="A263" i="11"/>
  <c r="B263" i="11"/>
  <c r="E263" i="11"/>
  <c r="J263" i="11"/>
  <c r="A264" i="11"/>
  <c r="B264" i="11"/>
  <c r="E264" i="11"/>
  <c r="J264" i="11"/>
  <c r="A265" i="11"/>
  <c r="B265" i="11"/>
  <c r="E265" i="11"/>
  <c r="J265" i="11"/>
  <c r="A266" i="11"/>
  <c r="B266" i="11"/>
  <c r="E266" i="11"/>
  <c r="J266" i="11"/>
  <c r="A267" i="11"/>
  <c r="B267" i="11"/>
  <c r="E267" i="11"/>
  <c r="J267" i="11"/>
  <c r="A268" i="11"/>
  <c r="B268" i="11"/>
  <c r="E268" i="11"/>
  <c r="J268" i="11"/>
  <c r="A269" i="11"/>
  <c r="B269" i="11"/>
  <c r="E269" i="11"/>
  <c r="J269" i="11"/>
  <c r="A270" i="11"/>
  <c r="B270" i="11"/>
  <c r="E270" i="11"/>
  <c r="J270" i="11"/>
  <c r="A271" i="11"/>
  <c r="B271" i="11"/>
  <c r="E271" i="11"/>
  <c r="J271" i="11"/>
  <c r="A272" i="11"/>
  <c r="B272" i="11"/>
  <c r="E272" i="11"/>
  <c r="J272" i="11"/>
  <c r="A273" i="11"/>
  <c r="B273" i="11"/>
  <c r="E273" i="11"/>
  <c r="J273" i="11"/>
  <c r="A274" i="11"/>
  <c r="B274" i="11"/>
  <c r="E274" i="11"/>
  <c r="J274" i="11"/>
  <c r="A275" i="11"/>
  <c r="B275" i="11"/>
  <c r="E275" i="11"/>
  <c r="J275" i="11"/>
  <c r="A276" i="11"/>
  <c r="B276" i="11"/>
  <c r="E276" i="11"/>
  <c r="J276" i="11"/>
  <c r="A277" i="11"/>
  <c r="B277" i="11"/>
  <c r="E277" i="11"/>
  <c r="J277" i="11"/>
  <c r="A278" i="11"/>
  <c r="B278" i="11"/>
  <c r="E278" i="11"/>
  <c r="J278" i="11"/>
  <c r="A279" i="11"/>
  <c r="B279" i="11"/>
  <c r="E279" i="11"/>
  <c r="J279" i="11"/>
  <c r="A280" i="11"/>
  <c r="B280" i="11"/>
  <c r="E280" i="11"/>
  <c r="J280" i="11"/>
  <c r="A281" i="11"/>
  <c r="B281" i="11"/>
  <c r="E281" i="11"/>
  <c r="J281" i="11"/>
  <c r="A282" i="11"/>
  <c r="B282" i="11"/>
  <c r="E282" i="11"/>
  <c r="J282" i="11"/>
  <c r="A283" i="11"/>
  <c r="B283" i="11"/>
  <c r="E283" i="11"/>
  <c r="J283" i="11"/>
  <c r="A284" i="11"/>
  <c r="B284" i="11"/>
  <c r="E284" i="11"/>
  <c r="J284" i="11"/>
  <c r="A285" i="11"/>
  <c r="B285" i="11"/>
  <c r="E285" i="11"/>
  <c r="J285" i="11"/>
  <c r="A286" i="11"/>
  <c r="B286" i="11"/>
  <c r="E286" i="11"/>
  <c r="J286" i="11"/>
  <c r="A287" i="11"/>
  <c r="B287" i="11"/>
  <c r="E287" i="11"/>
  <c r="J287" i="11"/>
  <c r="A288" i="11"/>
  <c r="B288" i="11"/>
  <c r="E288" i="11"/>
  <c r="J288" i="11"/>
  <c r="A289" i="11"/>
  <c r="B289" i="11"/>
  <c r="E289" i="11"/>
  <c r="J289" i="11"/>
  <c r="A290" i="11"/>
  <c r="B290" i="11"/>
  <c r="E290" i="11"/>
  <c r="J290" i="11"/>
  <c r="A291" i="11"/>
  <c r="B291" i="11"/>
  <c r="E291" i="11"/>
  <c r="J291" i="11"/>
  <c r="A292" i="11"/>
  <c r="B292" i="11"/>
  <c r="E292" i="11"/>
  <c r="J292" i="11"/>
  <c r="A293" i="11"/>
  <c r="B293" i="11"/>
  <c r="E293" i="11"/>
  <c r="J293" i="11"/>
  <c r="A294" i="11"/>
  <c r="B294" i="11"/>
  <c r="E294" i="11"/>
  <c r="J294" i="11"/>
  <c r="A295" i="11"/>
  <c r="B295" i="11"/>
  <c r="E295" i="11"/>
  <c r="J295" i="11"/>
  <c r="A296" i="11"/>
  <c r="B296" i="11"/>
  <c r="E296" i="11"/>
  <c r="J296" i="11"/>
  <c r="A297" i="11"/>
  <c r="B297" i="11"/>
  <c r="E297" i="11"/>
  <c r="J297" i="11"/>
  <c r="A298" i="11"/>
  <c r="B298" i="11"/>
  <c r="E298" i="11"/>
  <c r="J298" i="11"/>
  <c r="A299" i="11"/>
  <c r="B299" i="11"/>
  <c r="E299" i="11"/>
  <c r="J299" i="11"/>
  <c r="A300" i="11"/>
  <c r="B300" i="11"/>
  <c r="E300" i="11"/>
  <c r="J300" i="11"/>
  <c r="A301" i="11"/>
  <c r="B301" i="11"/>
  <c r="E301" i="11"/>
  <c r="J301" i="11"/>
  <c r="A302" i="11"/>
  <c r="B302" i="11"/>
  <c r="E302" i="11"/>
  <c r="J302" i="11"/>
  <c r="A303" i="11"/>
  <c r="B303" i="11"/>
  <c r="E303" i="11"/>
  <c r="J303" i="11"/>
  <c r="A304" i="11"/>
  <c r="B304" i="11"/>
  <c r="E304" i="11"/>
  <c r="J304" i="11"/>
  <c r="A305" i="11"/>
  <c r="B305" i="11"/>
  <c r="E305" i="11"/>
  <c r="J305" i="11"/>
  <c r="T68" i="42"/>
  <c r="M68" i="42"/>
  <c r="T155" i="42"/>
  <c r="M155" i="42"/>
  <c r="T235" i="42"/>
  <c r="M235" i="42"/>
  <c r="M275" i="42"/>
  <c r="T275" i="42"/>
  <c r="AU7" i="42"/>
  <c r="AU8" i="42"/>
  <c r="AU9" i="42"/>
  <c r="AU10" i="42"/>
  <c r="AU11" i="42"/>
  <c r="AU12" i="42"/>
  <c r="AU13" i="42"/>
  <c r="AU14" i="42"/>
  <c r="AU15" i="42"/>
  <c r="AU16" i="42"/>
  <c r="AU17" i="42"/>
  <c r="AU18" i="42"/>
  <c r="AU19" i="42"/>
  <c r="AU20" i="42"/>
  <c r="AU21" i="42"/>
  <c r="AU22" i="42"/>
  <c r="AU23" i="42"/>
  <c r="AU24" i="42"/>
  <c r="AU25" i="42"/>
  <c r="AU26" i="42"/>
  <c r="AU27" i="42"/>
  <c r="AU28" i="42"/>
  <c r="AU29" i="42"/>
  <c r="AU30" i="42"/>
  <c r="AU31" i="42"/>
  <c r="AU32" i="42"/>
  <c r="AU33" i="42"/>
  <c r="AU34" i="42"/>
  <c r="AU35" i="42"/>
  <c r="AU36" i="42"/>
  <c r="AU37" i="42"/>
  <c r="AU38" i="42"/>
  <c r="AU39" i="42"/>
  <c r="AU40" i="42"/>
  <c r="AU41" i="42"/>
  <c r="AU42" i="42"/>
  <c r="AU43" i="42"/>
  <c r="AU44" i="42"/>
  <c r="AU45" i="42"/>
  <c r="AU46" i="42"/>
  <c r="AU47" i="42"/>
  <c r="AU48" i="42"/>
  <c r="AU49" i="42"/>
  <c r="AU50" i="42"/>
  <c r="AU51" i="42"/>
  <c r="AU52" i="42"/>
  <c r="AU53" i="42"/>
  <c r="AU54" i="42"/>
  <c r="AU55" i="42"/>
  <c r="AU56" i="42"/>
  <c r="AU57" i="42"/>
  <c r="AU58" i="42"/>
  <c r="AU59" i="42"/>
  <c r="AU60" i="42"/>
  <c r="AU61" i="42"/>
  <c r="AU62" i="42"/>
  <c r="AU63" i="42"/>
  <c r="AU64" i="42"/>
  <c r="AU65" i="42"/>
  <c r="AU66" i="42"/>
  <c r="AU67" i="42"/>
  <c r="AU68" i="42"/>
  <c r="AU69" i="42"/>
  <c r="AU70" i="42"/>
  <c r="AU71" i="42"/>
  <c r="AU72" i="42"/>
  <c r="AU73" i="42"/>
  <c r="AU74" i="42"/>
  <c r="AU75" i="42"/>
  <c r="AU76" i="42"/>
  <c r="AU77" i="42"/>
  <c r="AU78" i="42"/>
  <c r="AU79" i="42"/>
  <c r="AU80" i="42"/>
  <c r="AU81" i="42"/>
  <c r="AU82" i="42"/>
  <c r="AU83" i="42"/>
  <c r="AU84" i="42"/>
  <c r="AU85" i="42"/>
  <c r="AU86" i="42"/>
  <c r="AU87" i="42"/>
  <c r="AU88" i="42"/>
  <c r="AU89" i="42"/>
  <c r="AU90" i="42"/>
  <c r="AU91" i="42"/>
  <c r="AU92" i="42"/>
  <c r="AU93" i="42"/>
  <c r="AU94" i="42"/>
  <c r="AU95" i="42"/>
  <c r="AU96" i="42"/>
  <c r="AU97" i="42"/>
  <c r="AU98" i="42"/>
  <c r="AU99" i="42"/>
  <c r="AU100" i="42"/>
  <c r="AU101" i="42"/>
  <c r="AU102" i="42"/>
  <c r="AU103" i="42"/>
  <c r="AU104" i="42"/>
  <c r="AU105" i="42"/>
  <c r="AU106" i="42"/>
  <c r="AU107" i="42"/>
  <c r="AU108" i="42"/>
  <c r="AU109" i="42"/>
  <c r="AU110" i="42"/>
  <c r="AU111" i="42"/>
  <c r="AU112" i="42"/>
  <c r="AU113" i="42"/>
  <c r="AU114" i="42"/>
  <c r="AU115" i="42"/>
  <c r="AU116" i="42"/>
  <c r="AU117" i="42"/>
  <c r="AU118" i="42"/>
  <c r="AU119" i="42"/>
  <c r="AU120" i="42"/>
  <c r="AU121" i="42"/>
  <c r="AU122" i="42"/>
  <c r="AU123" i="42"/>
  <c r="AU124" i="42"/>
  <c r="AU125" i="42"/>
  <c r="AU126" i="42"/>
  <c r="AU127" i="42"/>
  <c r="AU128" i="42"/>
  <c r="AU129" i="42"/>
  <c r="AU130" i="42"/>
  <c r="AU131" i="42"/>
  <c r="AU132" i="42"/>
  <c r="AU133" i="42"/>
  <c r="AU134" i="42"/>
  <c r="AU135" i="42"/>
  <c r="AU136" i="42"/>
  <c r="AU137" i="42"/>
  <c r="AU138" i="42"/>
  <c r="AU139" i="42"/>
  <c r="AU140" i="42"/>
  <c r="AU141" i="42"/>
  <c r="AU142" i="42"/>
  <c r="AU143" i="42"/>
  <c r="AU144" i="42"/>
  <c r="AU145" i="42"/>
  <c r="AU146" i="42"/>
  <c r="AU147" i="42"/>
  <c r="AU148" i="42"/>
  <c r="AU149" i="42"/>
  <c r="AU150" i="42"/>
  <c r="AU151" i="42"/>
  <c r="AU152" i="42"/>
  <c r="AU153" i="42"/>
  <c r="AU154" i="42"/>
  <c r="AU155" i="42"/>
  <c r="AU156" i="42"/>
  <c r="AU157" i="42"/>
  <c r="AU158" i="42"/>
  <c r="AU159" i="42"/>
  <c r="AU160" i="42"/>
  <c r="AU161" i="42"/>
  <c r="AU162" i="42"/>
  <c r="AU163" i="42"/>
  <c r="AU164" i="42"/>
  <c r="AU165" i="42"/>
  <c r="AU166" i="42"/>
  <c r="AU167" i="42"/>
  <c r="AU168" i="42"/>
  <c r="AU169" i="42"/>
  <c r="AU170" i="42"/>
  <c r="AU171" i="42"/>
  <c r="AU172" i="42"/>
  <c r="AU173" i="42"/>
  <c r="AU174" i="42"/>
  <c r="AU175" i="42"/>
  <c r="AU176" i="42"/>
  <c r="AU177" i="42"/>
  <c r="AU178" i="42"/>
  <c r="AU179" i="42"/>
  <c r="AU180" i="42"/>
  <c r="AU181" i="42"/>
  <c r="AU182" i="42"/>
  <c r="AU183" i="42"/>
  <c r="AU184" i="42"/>
  <c r="AU185" i="42"/>
  <c r="AU186" i="42"/>
  <c r="AU187" i="42"/>
  <c r="AU188" i="42"/>
  <c r="AU189" i="42"/>
  <c r="AU190" i="42"/>
  <c r="AU191" i="42"/>
  <c r="AU192" i="42"/>
  <c r="AU193" i="42"/>
  <c r="AU194" i="42"/>
  <c r="AU195" i="42"/>
  <c r="AU196" i="42"/>
  <c r="AU197" i="42"/>
  <c r="AU198" i="42"/>
  <c r="AU199" i="42"/>
  <c r="AU200" i="42"/>
  <c r="AU201" i="42"/>
  <c r="AU202" i="42"/>
  <c r="AU203" i="42"/>
  <c r="AU204" i="42"/>
  <c r="AU205" i="42"/>
  <c r="AU206" i="42"/>
  <c r="AU207" i="42"/>
  <c r="AU208" i="42"/>
  <c r="AU209" i="42"/>
  <c r="AU210" i="42"/>
  <c r="AU211" i="42"/>
  <c r="AU212" i="42"/>
  <c r="AU213" i="42"/>
  <c r="AU214" i="42"/>
  <c r="AU215" i="42"/>
  <c r="AU216" i="42"/>
  <c r="AU217" i="42"/>
  <c r="AU218" i="42"/>
  <c r="AU219" i="42"/>
  <c r="AU220" i="42"/>
  <c r="AU221" i="42"/>
  <c r="AU222" i="42"/>
  <c r="AU223" i="42"/>
  <c r="AU224" i="42"/>
  <c r="AU225" i="42"/>
  <c r="AU226" i="42"/>
  <c r="AU227" i="42"/>
  <c r="AU228" i="42"/>
  <c r="AU229" i="42"/>
  <c r="AU230" i="42"/>
  <c r="AU231" i="42"/>
  <c r="AU232" i="42"/>
  <c r="AU233" i="42"/>
  <c r="AU234" i="42"/>
  <c r="AU235" i="42"/>
  <c r="AU236" i="42"/>
  <c r="AU237" i="42"/>
  <c r="AU238" i="42"/>
  <c r="AU239" i="42"/>
  <c r="AU240" i="42"/>
  <c r="AU241" i="42"/>
  <c r="AU242" i="42"/>
  <c r="AU243" i="42"/>
  <c r="AU244" i="42"/>
  <c r="AU245" i="42"/>
  <c r="AU246" i="42"/>
  <c r="AU247" i="42"/>
  <c r="AU248" i="42"/>
  <c r="AU249" i="42"/>
  <c r="AU250" i="42"/>
  <c r="AU251" i="42"/>
  <c r="AU252" i="42"/>
  <c r="AU253" i="42"/>
  <c r="AU254" i="42"/>
  <c r="AU255" i="42"/>
  <c r="AU256" i="42"/>
  <c r="AU257" i="42"/>
  <c r="AU258" i="42"/>
  <c r="AU259" i="42"/>
  <c r="AU260" i="42"/>
  <c r="AU261" i="42"/>
  <c r="AU262" i="42"/>
  <c r="AU263" i="42"/>
  <c r="AU264" i="42"/>
  <c r="AU265" i="42"/>
  <c r="AU266" i="42"/>
  <c r="AU267" i="42"/>
  <c r="AU268" i="42"/>
  <c r="AU269" i="42"/>
  <c r="AU270" i="42"/>
  <c r="AU271" i="42"/>
  <c r="AU272" i="42"/>
  <c r="AU273" i="42"/>
  <c r="AU274" i="42"/>
  <c r="AU275" i="42"/>
  <c r="AU276" i="42"/>
  <c r="AU277" i="42"/>
  <c r="AU278" i="42"/>
  <c r="AU279" i="42"/>
  <c r="AU280" i="42"/>
  <c r="AU281" i="42"/>
  <c r="AU282" i="42"/>
  <c r="AU283" i="42"/>
  <c r="AU284" i="42"/>
  <c r="AU285" i="42"/>
  <c r="AU286" i="42"/>
  <c r="AU287" i="42"/>
  <c r="AU288" i="42"/>
  <c r="AU289" i="42"/>
  <c r="AU290" i="42"/>
  <c r="AU291" i="42"/>
  <c r="AU292" i="42"/>
  <c r="AU293" i="42"/>
  <c r="AU294" i="42"/>
  <c r="AU295" i="42"/>
  <c r="AU296" i="42"/>
  <c r="AU297" i="42"/>
  <c r="AU298" i="42"/>
  <c r="AU299" i="42"/>
  <c r="AU300" i="42"/>
  <c r="AU301" i="42"/>
  <c r="AU302" i="42"/>
  <c r="AU303" i="42"/>
  <c r="AU304" i="42"/>
  <c r="AU305" i="42"/>
  <c r="AU6" i="42"/>
  <c r="AT306" i="42"/>
  <c r="AT7" i="42"/>
  <c r="AT8" i="42"/>
  <c r="AT9" i="42"/>
  <c r="AT10" i="42"/>
  <c r="AT11" i="42"/>
  <c r="AT12" i="42"/>
  <c r="AT13" i="42"/>
  <c r="AT14" i="42"/>
  <c r="AT15" i="42"/>
  <c r="AT16" i="42"/>
  <c r="AT17" i="42"/>
  <c r="AT18" i="42"/>
  <c r="AT19" i="42"/>
  <c r="AT20" i="42"/>
  <c r="AT21" i="42"/>
  <c r="AT22" i="42"/>
  <c r="AT23" i="42"/>
  <c r="AT24" i="42"/>
  <c r="AT25" i="42"/>
  <c r="AT26" i="42"/>
  <c r="AT27" i="42"/>
  <c r="AT28" i="42"/>
  <c r="AT29" i="42"/>
  <c r="AT30" i="42"/>
  <c r="AT31" i="42"/>
  <c r="AT32" i="42"/>
  <c r="AT33" i="42"/>
  <c r="AT34" i="42"/>
  <c r="AT35" i="42"/>
  <c r="AT36" i="42"/>
  <c r="AT37" i="42"/>
  <c r="AT38" i="42"/>
  <c r="AT39" i="42"/>
  <c r="AT40" i="42"/>
  <c r="AT41" i="42"/>
  <c r="AT42" i="42"/>
  <c r="AT43" i="42"/>
  <c r="AT44" i="42"/>
  <c r="AT45" i="42"/>
  <c r="AT46" i="42"/>
  <c r="AT47" i="42"/>
  <c r="AT48" i="42"/>
  <c r="AT49" i="42"/>
  <c r="AT50" i="42"/>
  <c r="AT51" i="42"/>
  <c r="AT52" i="42"/>
  <c r="AT53" i="42"/>
  <c r="AT54" i="42"/>
  <c r="AT55" i="42"/>
  <c r="AT56" i="42"/>
  <c r="AT57" i="42"/>
  <c r="AT58" i="42"/>
  <c r="AT59" i="42"/>
  <c r="AT60" i="42"/>
  <c r="AT61" i="42"/>
  <c r="AT62" i="42"/>
  <c r="AT63" i="42"/>
  <c r="AT64" i="42"/>
  <c r="AT65" i="42"/>
  <c r="AT66" i="42"/>
  <c r="AT67" i="42"/>
  <c r="AT68" i="42"/>
  <c r="AT69" i="42"/>
  <c r="AT70" i="42"/>
  <c r="AT71" i="42"/>
  <c r="AT72" i="42"/>
  <c r="AT73" i="42"/>
  <c r="AT74" i="42"/>
  <c r="AT75" i="42"/>
  <c r="AT76" i="42"/>
  <c r="AT77" i="42"/>
  <c r="AT78" i="42"/>
  <c r="AT79" i="42"/>
  <c r="AT80" i="42"/>
  <c r="AT81" i="42"/>
  <c r="AT82" i="42"/>
  <c r="AT83" i="42"/>
  <c r="AT84" i="42"/>
  <c r="AT85" i="42"/>
  <c r="AT86" i="42"/>
  <c r="AT87" i="42"/>
  <c r="AT88" i="42"/>
  <c r="AT89" i="42"/>
  <c r="AT90" i="42"/>
  <c r="AT91" i="42"/>
  <c r="AT92" i="42"/>
  <c r="AT93" i="42"/>
  <c r="AT94" i="42"/>
  <c r="AT95" i="42"/>
  <c r="AT96" i="42"/>
  <c r="AT97" i="42"/>
  <c r="AT98" i="42"/>
  <c r="AT99" i="42"/>
  <c r="AT100" i="42"/>
  <c r="AT101" i="42"/>
  <c r="AT102" i="42"/>
  <c r="AT103" i="42"/>
  <c r="AT104" i="42"/>
  <c r="AT105" i="42"/>
  <c r="AT106" i="42"/>
  <c r="AT107" i="42"/>
  <c r="AT108" i="42"/>
  <c r="AT109" i="42"/>
  <c r="AT110" i="42"/>
  <c r="AT111" i="42"/>
  <c r="AT112" i="42"/>
  <c r="AT113" i="42"/>
  <c r="AT114" i="42"/>
  <c r="AT115" i="42"/>
  <c r="AT116" i="42"/>
  <c r="AT117" i="42"/>
  <c r="AT118" i="42"/>
  <c r="AT119" i="42"/>
  <c r="AT120" i="42"/>
  <c r="AT121" i="42"/>
  <c r="AT122" i="42"/>
  <c r="AT123" i="42"/>
  <c r="AT124" i="42"/>
  <c r="AT125" i="42"/>
  <c r="AT126" i="42"/>
  <c r="AT127" i="42"/>
  <c r="AT128" i="42"/>
  <c r="AT129" i="42"/>
  <c r="AT130" i="42"/>
  <c r="AT131" i="42"/>
  <c r="AT132" i="42"/>
  <c r="AT133" i="42"/>
  <c r="AT134" i="42"/>
  <c r="AT135" i="42"/>
  <c r="AT136" i="42"/>
  <c r="AT137" i="42"/>
  <c r="AT138" i="42"/>
  <c r="AT139" i="42"/>
  <c r="AT140" i="42"/>
  <c r="AT141" i="42"/>
  <c r="AT142" i="42"/>
  <c r="AT143" i="42"/>
  <c r="AT144" i="42"/>
  <c r="AT145" i="42"/>
  <c r="AT146" i="42"/>
  <c r="AT147" i="42"/>
  <c r="AT148" i="42"/>
  <c r="AT149" i="42"/>
  <c r="AT150" i="42"/>
  <c r="AT151" i="42"/>
  <c r="AT152" i="42"/>
  <c r="AT153" i="42"/>
  <c r="AT154" i="42"/>
  <c r="AT155" i="42"/>
  <c r="AT156" i="42"/>
  <c r="AT157" i="42"/>
  <c r="AT158" i="42"/>
  <c r="AT159" i="42"/>
  <c r="AT160" i="42"/>
  <c r="AT161" i="42"/>
  <c r="AT162" i="42"/>
  <c r="AT163" i="42"/>
  <c r="AT164" i="42"/>
  <c r="AT165" i="42"/>
  <c r="AT166" i="42"/>
  <c r="AT167" i="42"/>
  <c r="AT168" i="42"/>
  <c r="AT169" i="42"/>
  <c r="AT170" i="42"/>
  <c r="AT171" i="42"/>
  <c r="AT172" i="42"/>
  <c r="AT173" i="42"/>
  <c r="AT174" i="42"/>
  <c r="AT175" i="42"/>
  <c r="AT176" i="42"/>
  <c r="AT177" i="42"/>
  <c r="AT178" i="42"/>
  <c r="AT179" i="42"/>
  <c r="AT180" i="42"/>
  <c r="AT181" i="42"/>
  <c r="AT182" i="42"/>
  <c r="AT183" i="42"/>
  <c r="AT184" i="42"/>
  <c r="AT185" i="42"/>
  <c r="AT186" i="42"/>
  <c r="AT187" i="42"/>
  <c r="AT188" i="42"/>
  <c r="AT189" i="42"/>
  <c r="AT190" i="42"/>
  <c r="AT191" i="42"/>
  <c r="AT192" i="42"/>
  <c r="AT193" i="42"/>
  <c r="AT194" i="42"/>
  <c r="AT195" i="42"/>
  <c r="AT196" i="42"/>
  <c r="AT197" i="42"/>
  <c r="AT198" i="42"/>
  <c r="AT199" i="42"/>
  <c r="AT200" i="42"/>
  <c r="AT201" i="42"/>
  <c r="AT202" i="42"/>
  <c r="AT203" i="42"/>
  <c r="AT204" i="42"/>
  <c r="AT205" i="42"/>
  <c r="AT206" i="42"/>
  <c r="AT207" i="42"/>
  <c r="AT208" i="42"/>
  <c r="AT209" i="42"/>
  <c r="AT210" i="42"/>
  <c r="AT211" i="42"/>
  <c r="AT212" i="42"/>
  <c r="AT213" i="42"/>
  <c r="AT214" i="42"/>
  <c r="AT215" i="42"/>
  <c r="AT216" i="42"/>
  <c r="AT217" i="42"/>
  <c r="AT218" i="42"/>
  <c r="AT219" i="42"/>
  <c r="AT220" i="42"/>
  <c r="AT221" i="42"/>
  <c r="AT222" i="42"/>
  <c r="AT223" i="42"/>
  <c r="AT224" i="42"/>
  <c r="AT225" i="42"/>
  <c r="AT226" i="42"/>
  <c r="AT227" i="42"/>
  <c r="AT228" i="42"/>
  <c r="AT229" i="42"/>
  <c r="AT230" i="42"/>
  <c r="AT231" i="42"/>
  <c r="AT232" i="42"/>
  <c r="AT233" i="42"/>
  <c r="AT234" i="42"/>
  <c r="AT235" i="42"/>
  <c r="AT236" i="42"/>
  <c r="AT237" i="42"/>
  <c r="AT238" i="42"/>
  <c r="AT239" i="42"/>
  <c r="AT240" i="42"/>
  <c r="AT241" i="42"/>
  <c r="AT242" i="42"/>
  <c r="AT243" i="42"/>
  <c r="AT244" i="42"/>
  <c r="AT245" i="42"/>
  <c r="AT246" i="42"/>
  <c r="AT247" i="42"/>
  <c r="AT248" i="42"/>
  <c r="AT249" i="42"/>
  <c r="AT250" i="42"/>
  <c r="AT251" i="42"/>
  <c r="AT252" i="42"/>
  <c r="AT253" i="42"/>
  <c r="AT254" i="42"/>
  <c r="AT255" i="42"/>
  <c r="AT256" i="42"/>
  <c r="AT257" i="42"/>
  <c r="AT258" i="42"/>
  <c r="AT259" i="42"/>
  <c r="AT260" i="42"/>
  <c r="AT261" i="42"/>
  <c r="AT262" i="42"/>
  <c r="AT263" i="42"/>
  <c r="AT264" i="42"/>
  <c r="AT265" i="42"/>
  <c r="AT266" i="42"/>
  <c r="AT267" i="42"/>
  <c r="AT268" i="42"/>
  <c r="AT269" i="42"/>
  <c r="AT270" i="42"/>
  <c r="AT271" i="42"/>
  <c r="AT272" i="42"/>
  <c r="AT273" i="42"/>
  <c r="AT274" i="42"/>
  <c r="AT275" i="42"/>
  <c r="AT276" i="42"/>
  <c r="AT277" i="42"/>
  <c r="AT278" i="42"/>
  <c r="AT279" i="42"/>
  <c r="AT280" i="42"/>
  <c r="AT281" i="42"/>
  <c r="AT282" i="42"/>
  <c r="AT283" i="42"/>
  <c r="AT284" i="42"/>
  <c r="AT285" i="42"/>
  <c r="AT286" i="42"/>
  <c r="AT287" i="42"/>
  <c r="AT288" i="42"/>
  <c r="AT289" i="42"/>
  <c r="AT290" i="42"/>
  <c r="AT291" i="42"/>
  <c r="AT292" i="42"/>
  <c r="AT293" i="42"/>
  <c r="AT294" i="42"/>
  <c r="AT295" i="42"/>
  <c r="AT296" i="42"/>
  <c r="AT297" i="42"/>
  <c r="AT298" i="42"/>
  <c r="AT299" i="42"/>
  <c r="AT300" i="42"/>
  <c r="AT301" i="42"/>
  <c r="AT302" i="42"/>
  <c r="AT303" i="42"/>
  <c r="AT304" i="42"/>
  <c r="AT305" i="42"/>
  <c r="AT6" i="42"/>
  <c r="AU306" i="42" l="1"/>
  <c r="K45" i="40" l="1"/>
  <c r="C5" i="9"/>
  <c r="B16" i="40"/>
  <c r="A6" i="25"/>
  <c r="B6" i="25"/>
  <c r="D6" i="25"/>
  <c r="A7" i="25"/>
  <c r="B7" i="25"/>
  <c r="D7" i="25"/>
  <c r="A8" i="25"/>
  <c r="B8" i="25"/>
  <c r="D8" i="25"/>
  <c r="A9" i="25"/>
  <c r="B9" i="25"/>
  <c r="D9" i="25"/>
  <c r="A10" i="25"/>
  <c r="B10" i="25"/>
  <c r="D10" i="25"/>
  <c r="A11" i="25"/>
  <c r="B11" i="25"/>
  <c r="D11" i="25"/>
  <c r="A12" i="25"/>
  <c r="B12" i="25"/>
  <c r="D12" i="25"/>
  <c r="A13" i="25"/>
  <c r="B13" i="25"/>
  <c r="D13" i="25"/>
  <c r="A14" i="25"/>
  <c r="B14" i="25"/>
  <c r="D14" i="25"/>
  <c r="A15" i="25"/>
  <c r="B15" i="25"/>
  <c r="D15" i="25"/>
  <c r="A16" i="25"/>
  <c r="B16" i="25"/>
  <c r="D16" i="25"/>
  <c r="A17" i="25"/>
  <c r="B17" i="25"/>
  <c r="D17" i="25"/>
  <c r="A18" i="25"/>
  <c r="B18" i="25"/>
  <c r="D18" i="25"/>
  <c r="A19" i="25"/>
  <c r="B19" i="25"/>
  <c r="D19" i="25"/>
  <c r="A20" i="25"/>
  <c r="B20" i="25"/>
  <c r="D20" i="25"/>
  <c r="A21" i="25"/>
  <c r="B21" i="25"/>
  <c r="D21" i="25"/>
  <c r="A22" i="25"/>
  <c r="B22" i="25"/>
  <c r="D22" i="25"/>
  <c r="A23" i="25"/>
  <c r="B23" i="25"/>
  <c r="D23" i="25"/>
  <c r="A24" i="25"/>
  <c r="B24" i="25"/>
  <c r="D24" i="25"/>
  <c r="A25" i="25"/>
  <c r="B25" i="25"/>
  <c r="D25" i="25"/>
  <c r="A26" i="25"/>
  <c r="B26" i="25"/>
  <c r="D26" i="25"/>
  <c r="A27" i="25"/>
  <c r="B27" i="25"/>
  <c r="D27" i="25"/>
  <c r="A28" i="25"/>
  <c r="B28" i="25"/>
  <c r="D28" i="25"/>
  <c r="A29" i="25"/>
  <c r="B29" i="25"/>
  <c r="D29" i="25"/>
  <c r="A30" i="25"/>
  <c r="B30" i="25"/>
  <c r="D30" i="25"/>
  <c r="A31" i="25"/>
  <c r="B31" i="25"/>
  <c r="D31" i="25"/>
  <c r="A32" i="25"/>
  <c r="B32" i="25"/>
  <c r="D32" i="25"/>
  <c r="A33" i="25"/>
  <c r="B33" i="25"/>
  <c r="D33" i="25"/>
  <c r="A34" i="25"/>
  <c r="B34" i="25"/>
  <c r="D34" i="25"/>
  <c r="A35" i="25"/>
  <c r="B35" i="25"/>
  <c r="D35" i="25"/>
  <c r="A36" i="25"/>
  <c r="B36" i="25"/>
  <c r="D36" i="25"/>
  <c r="A37" i="25"/>
  <c r="B37" i="25"/>
  <c r="D37" i="25"/>
  <c r="A38" i="25"/>
  <c r="B38" i="25"/>
  <c r="D38" i="25"/>
  <c r="A39" i="25"/>
  <c r="B39" i="25"/>
  <c r="D39" i="25"/>
  <c r="A40" i="25"/>
  <c r="B40" i="25"/>
  <c r="D40" i="25"/>
  <c r="A41" i="25"/>
  <c r="B41" i="25"/>
  <c r="D41" i="25"/>
  <c r="A42" i="25"/>
  <c r="B42" i="25"/>
  <c r="D42" i="25"/>
  <c r="A43" i="25"/>
  <c r="B43" i="25"/>
  <c r="D43" i="25"/>
  <c r="A44" i="25"/>
  <c r="B44" i="25"/>
  <c r="D44" i="25"/>
  <c r="A45" i="25"/>
  <c r="B45" i="25"/>
  <c r="D45" i="25"/>
  <c r="A46" i="25"/>
  <c r="B46" i="25"/>
  <c r="D46" i="25"/>
  <c r="A47" i="25"/>
  <c r="B47" i="25"/>
  <c r="D47" i="25"/>
  <c r="A48" i="25"/>
  <c r="B48" i="25"/>
  <c r="D48" i="25"/>
  <c r="A49" i="25"/>
  <c r="B49" i="25"/>
  <c r="D49" i="25"/>
  <c r="A50" i="25"/>
  <c r="B50" i="25"/>
  <c r="D50" i="25"/>
  <c r="A51" i="25"/>
  <c r="B51" i="25"/>
  <c r="D51" i="25"/>
  <c r="A52" i="25"/>
  <c r="B52" i="25"/>
  <c r="D52" i="25"/>
  <c r="A53" i="25"/>
  <c r="B53" i="25"/>
  <c r="D53" i="25"/>
  <c r="A54" i="25"/>
  <c r="B54" i="25"/>
  <c r="D54" i="25"/>
  <c r="A55" i="25"/>
  <c r="B55" i="25"/>
  <c r="D55" i="25"/>
  <c r="A56" i="25"/>
  <c r="B56" i="25"/>
  <c r="D56" i="25"/>
  <c r="A57" i="25"/>
  <c r="B57" i="25"/>
  <c r="D57" i="25"/>
  <c r="A58" i="25"/>
  <c r="B58" i="25"/>
  <c r="D58" i="25"/>
  <c r="A59" i="25"/>
  <c r="B59" i="25"/>
  <c r="D59" i="25"/>
  <c r="A60" i="25"/>
  <c r="B60" i="25"/>
  <c r="D60" i="25"/>
  <c r="A61" i="25"/>
  <c r="B61" i="25"/>
  <c r="D61" i="25"/>
  <c r="A62" i="25"/>
  <c r="B62" i="25"/>
  <c r="D62" i="25"/>
  <c r="A63" i="25"/>
  <c r="B63" i="25"/>
  <c r="D63" i="25"/>
  <c r="A64" i="25"/>
  <c r="B64" i="25"/>
  <c r="D64" i="25"/>
  <c r="A65" i="25"/>
  <c r="B65" i="25"/>
  <c r="D65" i="25"/>
  <c r="A66" i="25"/>
  <c r="B66" i="25"/>
  <c r="D66" i="25"/>
  <c r="A67" i="25"/>
  <c r="B67" i="25"/>
  <c r="D67" i="25"/>
  <c r="A68" i="25"/>
  <c r="B68" i="25"/>
  <c r="D68" i="25"/>
  <c r="A69" i="25"/>
  <c r="B69" i="25"/>
  <c r="D69" i="25"/>
  <c r="A70" i="25"/>
  <c r="B70" i="25"/>
  <c r="D70" i="25"/>
  <c r="A71" i="25"/>
  <c r="B71" i="25"/>
  <c r="D71" i="25"/>
  <c r="A72" i="25"/>
  <c r="B72" i="25"/>
  <c r="D72" i="25"/>
  <c r="A73" i="25"/>
  <c r="B73" i="25"/>
  <c r="D73" i="25"/>
  <c r="A74" i="25"/>
  <c r="B74" i="25"/>
  <c r="D74" i="25"/>
  <c r="A75" i="25"/>
  <c r="B75" i="25"/>
  <c r="D75" i="25"/>
  <c r="A76" i="25"/>
  <c r="B76" i="25"/>
  <c r="D76" i="25"/>
  <c r="A77" i="25"/>
  <c r="B77" i="25"/>
  <c r="D77" i="25"/>
  <c r="A78" i="25"/>
  <c r="B78" i="25"/>
  <c r="D78" i="25"/>
  <c r="A79" i="25"/>
  <c r="B79" i="25"/>
  <c r="D79" i="25"/>
  <c r="A80" i="25"/>
  <c r="B80" i="25"/>
  <c r="D80" i="25"/>
  <c r="A81" i="25"/>
  <c r="B81" i="25"/>
  <c r="D81" i="25"/>
  <c r="A82" i="25"/>
  <c r="B82" i="25"/>
  <c r="D82" i="25"/>
  <c r="A83" i="25"/>
  <c r="B83" i="25"/>
  <c r="D83" i="25"/>
  <c r="A84" i="25"/>
  <c r="B84" i="25"/>
  <c r="D84" i="25"/>
  <c r="A85" i="25"/>
  <c r="B85" i="25"/>
  <c r="D85" i="25"/>
  <c r="A86" i="25"/>
  <c r="B86" i="25"/>
  <c r="D86" i="25"/>
  <c r="A87" i="25"/>
  <c r="B87" i="25"/>
  <c r="D87" i="25"/>
  <c r="A88" i="25"/>
  <c r="B88" i="25"/>
  <c r="D88" i="25"/>
  <c r="A89" i="25"/>
  <c r="B89" i="25"/>
  <c r="D89" i="25"/>
  <c r="A90" i="25"/>
  <c r="B90" i="25"/>
  <c r="D90" i="25"/>
  <c r="A91" i="25"/>
  <c r="B91" i="25"/>
  <c r="D91" i="25"/>
  <c r="A92" i="25"/>
  <c r="B92" i="25"/>
  <c r="D92" i="25"/>
  <c r="A93" i="25"/>
  <c r="B93" i="25"/>
  <c r="D93" i="25"/>
  <c r="A94" i="25"/>
  <c r="B94" i="25"/>
  <c r="D94" i="25"/>
  <c r="A95" i="25"/>
  <c r="B95" i="25"/>
  <c r="D95" i="25"/>
  <c r="A96" i="25"/>
  <c r="B96" i="25"/>
  <c r="D96" i="25"/>
  <c r="A97" i="25"/>
  <c r="B97" i="25"/>
  <c r="D97" i="25"/>
  <c r="A98" i="25"/>
  <c r="B98" i="25"/>
  <c r="D98" i="25"/>
  <c r="A99" i="25"/>
  <c r="B99" i="25"/>
  <c r="D99" i="25"/>
  <c r="A100" i="25"/>
  <c r="B100" i="25"/>
  <c r="D100" i="25"/>
  <c r="A101" i="25"/>
  <c r="B101" i="25"/>
  <c r="D101" i="25"/>
  <c r="A102" i="25"/>
  <c r="B102" i="25"/>
  <c r="D102" i="25"/>
  <c r="A103" i="25"/>
  <c r="B103" i="25"/>
  <c r="D103" i="25"/>
  <c r="A104" i="25"/>
  <c r="B104" i="25"/>
  <c r="D104" i="25"/>
  <c r="A105" i="25"/>
  <c r="B105" i="25"/>
  <c r="D105" i="25"/>
  <c r="A106" i="25"/>
  <c r="B106" i="25"/>
  <c r="D106" i="25"/>
  <c r="A107" i="25"/>
  <c r="B107" i="25"/>
  <c r="D107" i="25"/>
  <c r="A108" i="25"/>
  <c r="B108" i="25"/>
  <c r="D108" i="25"/>
  <c r="A109" i="25"/>
  <c r="B109" i="25"/>
  <c r="D109" i="25"/>
  <c r="A110" i="25"/>
  <c r="B110" i="25"/>
  <c r="D110" i="25"/>
  <c r="A111" i="25"/>
  <c r="B111" i="25"/>
  <c r="D111" i="25"/>
  <c r="A112" i="25"/>
  <c r="B112" i="25"/>
  <c r="D112" i="25"/>
  <c r="A113" i="25"/>
  <c r="B113" i="25"/>
  <c r="D113" i="25"/>
  <c r="A114" i="25"/>
  <c r="B114" i="25"/>
  <c r="D114" i="25"/>
  <c r="A115" i="25"/>
  <c r="B115" i="25"/>
  <c r="D115" i="25"/>
  <c r="A116" i="25"/>
  <c r="B116" i="25"/>
  <c r="D116" i="25"/>
  <c r="A117" i="25"/>
  <c r="B117" i="25"/>
  <c r="D117" i="25"/>
  <c r="A118" i="25"/>
  <c r="B118" i="25"/>
  <c r="D118" i="25"/>
  <c r="A119" i="25"/>
  <c r="B119" i="25"/>
  <c r="D119" i="25"/>
  <c r="A120" i="25"/>
  <c r="B120" i="25"/>
  <c r="D120" i="25"/>
  <c r="A121" i="25"/>
  <c r="B121" i="25"/>
  <c r="D121" i="25"/>
  <c r="A122" i="25"/>
  <c r="B122" i="25"/>
  <c r="D122" i="25"/>
  <c r="A123" i="25"/>
  <c r="B123" i="25"/>
  <c r="D123" i="25"/>
  <c r="A124" i="25"/>
  <c r="B124" i="25"/>
  <c r="D124" i="25"/>
  <c r="A125" i="25"/>
  <c r="B125" i="25"/>
  <c r="D125" i="25"/>
  <c r="A126" i="25"/>
  <c r="B126" i="25"/>
  <c r="D126" i="25"/>
  <c r="A127" i="25"/>
  <c r="B127" i="25"/>
  <c r="D127" i="25"/>
  <c r="A128" i="25"/>
  <c r="B128" i="25"/>
  <c r="D128" i="25"/>
  <c r="A129" i="25"/>
  <c r="B129" i="25"/>
  <c r="D129" i="25"/>
  <c r="A130" i="25"/>
  <c r="B130" i="25"/>
  <c r="D130" i="25"/>
  <c r="A131" i="25"/>
  <c r="B131" i="25"/>
  <c r="D131" i="25"/>
  <c r="A132" i="25"/>
  <c r="B132" i="25"/>
  <c r="D132" i="25"/>
  <c r="A133" i="25"/>
  <c r="B133" i="25"/>
  <c r="D133" i="25"/>
  <c r="A134" i="25"/>
  <c r="B134" i="25"/>
  <c r="D134" i="25"/>
  <c r="A135" i="25"/>
  <c r="B135" i="25"/>
  <c r="D135" i="25"/>
  <c r="A136" i="25"/>
  <c r="B136" i="25"/>
  <c r="D136" i="25"/>
  <c r="A137" i="25"/>
  <c r="B137" i="25"/>
  <c r="D137" i="25"/>
  <c r="A138" i="25"/>
  <c r="B138" i="25"/>
  <c r="D138" i="25"/>
  <c r="A139" i="25"/>
  <c r="B139" i="25"/>
  <c r="D139" i="25"/>
  <c r="A140" i="25"/>
  <c r="B140" i="25"/>
  <c r="D140" i="25"/>
  <c r="A141" i="25"/>
  <c r="B141" i="25"/>
  <c r="D141" i="25"/>
  <c r="A142" i="25"/>
  <c r="B142" i="25"/>
  <c r="D142" i="25"/>
  <c r="A143" i="25"/>
  <c r="B143" i="25"/>
  <c r="D143" i="25"/>
  <c r="A144" i="25"/>
  <c r="B144" i="25"/>
  <c r="D144" i="25"/>
  <c r="A145" i="25"/>
  <c r="B145" i="25"/>
  <c r="D145" i="25"/>
  <c r="A146" i="25"/>
  <c r="B146" i="25"/>
  <c r="D146" i="25"/>
  <c r="A147" i="25"/>
  <c r="B147" i="25"/>
  <c r="D147" i="25"/>
  <c r="A148" i="25"/>
  <c r="B148" i="25"/>
  <c r="D148" i="25"/>
  <c r="A149" i="25"/>
  <c r="B149" i="25"/>
  <c r="D149" i="25"/>
  <c r="A150" i="25"/>
  <c r="B150" i="25"/>
  <c r="D150" i="25"/>
  <c r="A151" i="25"/>
  <c r="B151" i="25"/>
  <c r="D151" i="25"/>
  <c r="A152" i="25"/>
  <c r="B152" i="25"/>
  <c r="D152" i="25"/>
  <c r="A153" i="25"/>
  <c r="B153" i="25"/>
  <c r="D153" i="25"/>
  <c r="A154" i="25"/>
  <c r="B154" i="25"/>
  <c r="D154" i="25"/>
  <c r="A155" i="25"/>
  <c r="B155" i="25"/>
  <c r="D155" i="25"/>
  <c r="A156" i="25"/>
  <c r="B156" i="25"/>
  <c r="D156" i="25"/>
  <c r="A157" i="25"/>
  <c r="B157" i="25"/>
  <c r="D157" i="25"/>
  <c r="A158" i="25"/>
  <c r="B158" i="25"/>
  <c r="D158" i="25"/>
  <c r="A159" i="25"/>
  <c r="B159" i="25"/>
  <c r="D159" i="25"/>
  <c r="A160" i="25"/>
  <c r="B160" i="25"/>
  <c r="D160" i="25"/>
  <c r="A161" i="25"/>
  <c r="B161" i="25"/>
  <c r="D161" i="25"/>
  <c r="A162" i="25"/>
  <c r="B162" i="25"/>
  <c r="D162" i="25"/>
  <c r="A163" i="25"/>
  <c r="B163" i="25"/>
  <c r="D163" i="25"/>
  <c r="A164" i="25"/>
  <c r="B164" i="25"/>
  <c r="D164" i="25"/>
  <c r="A165" i="25"/>
  <c r="B165" i="25"/>
  <c r="D165" i="25"/>
  <c r="A166" i="25"/>
  <c r="B166" i="25"/>
  <c r="D166" i="25"/>
  <c r="A167" i="25"/>
  <c r="B167" i="25"/>
  <c r="D167" i="25"/>
  <c r="A168" i="25"/>
  <c r="B168" i="25"/>
  <c r="D168" i="25"/>
  <c r="A169" i="25"/>
  <c r="B169" i="25"/>
  <c r="D169" i="25"/>
  <c r="A170" i="25"/>
  <c r="B170" i="25"/>
  <c r="D170" i="25"/>
  <c r="A171" i="25"/>
  <c r="B171" i="25"/>
  <c r="D171" i="25"/>
  <c r="A172" i="25"/>
  <c r="B172" i="25"/>
  <c r="D172" i="25"/>
  <c r="A173" i="25"/>
  <c r="B173" i="25"/>
  <c r="D173" i="25"/>
  <c r="A174" i="25"/>
  <c r="B174" i="25"/>
  <c r="D174" i="25"/>
  <c r="A175" i="25"/>
  <c r="B175" i="25"/>
  <c r="D175" i="25"/>
  <c r="A176" i="25"/>
  <c r="B176" i="25"/>
  <c r="D176" i="25"/>
  <c r="A177" i="25"/>
  <c r="B177" i="25"/>
  <c r="D177" i="25"/>
  <c r="A178" i="25"/>
  <c r="B178" i="25"/>
  <c r="D178" i="25"/>
  <c r="A179" i="25"/>
  <c r="B179" i="25"/>
  <c r="D179" i="25"/>
  <c r="A180" i="25"/>
  <c r="B180" i="25"/>
  <c r="D180" i="25"/>
  <c r="A181" i="25"/>
  <c r="B181" i="25"/>
  <c r="D181" i="25"/>
  <c r="A182" i="25"/>
  <c r="B182" i="25"/>
  <c r="D182" i="25"/>
  <c r="A183" i="25"/>
  <c r="B183" i="25"/>
  <c r="D183" i="25"/>
  <c r="A184" i="25"/>
  <c r="B184" i="25"/>
  <c r="D184" i="25"/>
  <c r="A185" i="25"/>
  <c r="B185" i="25"/>
  <c r="D185" i="25"/>
  <c r="A186" i="25"/>
  <c r="B186" i="25"/>
  <c r="D186" i="25"/>
  <c r="A187" i="25"/>
  <c r="B187" i="25"/>
  <c r="D187" i="25"/>
  <c r="A188" i="25"/>
  <c r="B188" i="25"/>
  <c r="D188" i="25"/>
  <c r="A189" i="25"/>
  <c r="B189" i="25"/>
  <c r="D189" i="25"/>
  <c r="A190" i="25"/>
  <c r="B190" i="25"/>
  <c r="D190" i="25"/>
  <c r="A191" i="25"/>
  <c r="B191" i="25"/>
  <c r="D191" i="25"/>
  <c r="A192" i="25"/>
  <c r="B192" i="25"/>
  <c r="D192" i="25"/>
  <c r="A193" i="25"/>
  <c r="B193" i="25"/>
  <c r="D193" i="25"/>
  <c r="A194" i="25"/>
  <c r="B194" i="25"/>
  <c r="D194" i="25"/>
  <c r="A195" i="25"/>
  <c r="B195" i="25"/>
  <c r="D195" i="25"/>
  <c r="A196" i="25"/>
  <c r="B196" i="25"/>
  <c r="D196" i="25"/>
  <c r="A197" i="25"/>
  <c r="B197" i="25"/>
  <c r="D197" i="25"/>
  <c r="A198" i="25"/>
  <c r="B198" i="25"/>
  <c r="D198" i="25"/>
  <c r="A199" i="25"/>
  <c r="B199" i="25"/>
  <c r="D199" i="25"/>
  <c r="A200" i="25"/>
  <c r="B200" i="25"/>
  <c r="D200" i="25"/>
  <c r="A201" i="25"/>
  <c r="B201" i="25"/>
  <c r="D201" i="25"/>
  <c r="A202" i="25"/>
  <c r="B202" i="25"/>
  <c r="D202" i="25"/>
  <c r="A203" i="25"/>
  <c r="B203" i="25"/>
  <c r="D203" i="25"/>
  <c r="A204" i="25"/>
  <c r="B204" i="25"/>
  <c r="D204" i="25"/>
  <c r="A205" i="25"/>
  <c r="B205" i="25"/>
  <c r="D205" i="25"/>
  <c r="A206" i="25"/>
  <c r="B206" i="25"/>
  <c r="D206" i="25"/>
  <c r="A207" i="25"/>
  <c r="B207" i="25"/>
  <c r="D207" i="25"/>
  <c r="A208" i="25"/>
  <c r="B208" i="25"/>
  <c r="D208" i="25"/>
  <c r="A209" i="25"/>
  <c r="B209" i="25"/>
  <c r="D209" i="25"/>
  <c r="A210" i="25"/>
  <c r="B210" i="25"/>
  <c r="D210" i="25"/>
  <c r="A211" i="25"/>
  <c r="B211" i="25"/>
  <c r="D211" i="25"/>
  <c r="A212" i="25"/>
  <c r="B212" i="25"/>
  <c r="D212" i="25"/>
  <c r="A213" i="25"/>
  <c r="B213" i="25"/>
  <c r="D213" i="25"/>
  <c r="A214" i="25"/>
  <c r="B214" i="25"/>
  <c r="D214" i="25"/>
  <c r="A215" i="25"/>
  <c r="B215" i="25"/>
  <c r="D215" i="25"/>
  <c r="A216" i="25"/>
  <c r="B216" i="25"/>
  <c r="D216" i="25"/>
  <c r="A217" i="25"/>
  <c r="B217" i="25"/>
  <c r="D217" i="25"/>
  <c r="A218" i="25"/>
  <c r="B218" i="25"/>
  <c r="D218" i="25"/>
  <c r="A219" i="25"/>
  <c r="B219" i="25"/>
  <c r="D219" i="25"/>
  <c r="A220" i="25"/>
  <c r="B220" i="25"/>
  <c r="D220" i="25"/>
  <c r="A221" i="25"/>
  <c r="B221" i="25"/>
  <c r="D221" i="25"/>
  <c r="A222" i="25"/>
  <c r="B222" i="25"/>
  <c r="D222" i="25"/>
  <c r="A223" i="25"/>
  <c r="B223" i="25"/>
  <c r="D223" i="25"/>
  <c r="A224" i="25"/>
  <c r="B224" i="25"/>
  <c r="D224" i="25"/>
  <c r="A225" i="25"/>
  <c r="B225" i="25"/>
  <c r="D225" i="25"/>
  <c r="A226" i="25"/>
  <c r="B226" i="25"/>
  <c r="D226" i="25"/>
  <c r="A227" i="25"/>
  <c r="B227" i="25"/>
  <c r="D227" i="25"/>
  <c r="A228" i="25"/>
  <c r="B228" i="25"/>
  <c r="D228" i="25"/>
  <c r="A229" i="25"/>
  <c r="B229" i="25"/>
  <c r="D229" i="25"/>
  <c r="A230" i="25"/>
  <c r="B230" i="25"/>
  <c r="D230" i="25"/>
  <c r="A231" i="25"/>
  <c r="B231" i="25"/>
  <c r="D231" i="25"/>
  <c r="A232" i="25"/>
  <c r="B232" i="25"/>
  <c r="D232" i="25"/>
  <c r="A233" i="25"/>
  <c r="B233" i="25"/>
  <c r="D233" i="25"/>
  <c r="A234" i="25"/>
  <c r="B234" i="25"/>
  <c r="D234" i="25"/>
  <c r="A235" i="25"/>
  <c r="B235" i="25"/>
  <c r="D235" i="25"/>
  <c r="A236" i="25"/>
  <c r="B236" i="25"/>
  <c r="D236" i="25"/>
  <c r="A237" i="25"/>
  <c r="B237" i="25"/>
  <c r="D237" i="25"/>
  <c r="A238" i="25"/>
  <c r="B238" i="25"/>
  <c r="D238" i="25"/>
  <c r="A239" i="25"/>
  <c r="B239" i="25"/>
  <c r="D239" i="25"/>
  <c r="A240" i="25"/>
  <c r="B240" i="25"/>
  <c r="D240" i="25"/>
  <c r="A241" i="25"/>
  <c r="B241" i="25"/>
  <c r="D241" i="25"/>
  <c r="A242" i="25"/>
  <c r="B242" i="25"/>
  <c r="D242" i="25"/>
  <c r="A243" i="25"/>
  <c r="B243" i="25"/>
  <c r="D243" i="25"/>
  <c r="A244" i="25"/>
  <c r="B244" i="25"/>
  <c r="D244" i="25"/>
  <c r="A245" i="25"/>
  <c r="B245" i="25"/>
  <c r="D245" i="25"/>
  <c r="A246" i="25"/>
  <c r="B246" i="25"/>
  <c r="D246" i="25"/>
  <c r="A247" i="25"/>
  <c r="B247" i="25"/>
  <c r="D247" i="25"/>
  <c r="A248" i="25"/>
  <c r="B248" i="25"/>
  <c r="D248" i="25"/>
  <c r="A249" i="25"/>
  <c r="B249" i="25"/>
  <c r="D249" i="25"/>
  <c r="A250" i="25"/>
  <c r="B250" i="25"/>
  <c r="D250" i="25"/>
  <c r="A251" i="25"/>
  <c r="B251" i="25"/>
  <c r="D251" i="25"/>
  <c r="A252" i="25"/>
  <c r="B252" i="25"/>
  <c r="D252" i="25"/>
  <c r="A253" i="25"/>
  <c r="B253" i="25"/>
  <c r="D253" i="25"/>
  <c r="A254" i="25"/>
  <c r="B254" i="25"/>
  <c r="D254" i="25"/>
  <c r="A255" i="25"/>
  <c r="B255" i="25"/>
  <c r="D255" i="25"/>
  <c r="A256" i="25"/>
  <c r="B256" i="25"/>
  <c r="D256" i="25"/>
  <c r="A257" i="25"/>
  <c r="B257" i="25"/>
  <c r="D257" i="25"/>
  <c r="A258" i="25"/>
  <c r="B258" i="25"/>
  <c r="D258" i="25"/>
  <c r="A259" i="25"/>
  <c r="B259" i="25"/>
  <c r="D259" i="25"/>
  <c r="A260" i="25"/>
  <c r="B260" i="25"/>
  <c r="D260" i="25"/>
  <c r="A261" i="25"/>
  <c r="B261" i="25"/>
  <c r="D261" i="25"/>
  <c r="A262" i="25"/>
  <c r="B262" i="25"/>
  <c r="D262" i="25"/>
  <c r="A263" i="25"/>
  <c r="B263" i="25"/>
  <c r="D263" i="25"/>
  <c r="A264" i="25"/>
  <c r="B264" i="25"/>
  <c r="D264" i="25"/>
  <c r="A265" i="25"/>
  <c r="B265" i="25"/>
  <c r="D265" i="25"/>
  <c r="A266" i="25"/>
  <c r="B266" i="25"/>
  <c r="D266" i="25"/>
  <c r="A267" i="25"/>
  <c r="B267" i="25"/>
  <c r="D267" i="25"/>
  <c r="A268" i="25"/>
  <c r="B268" i="25"/>
  <c r="D268" i="25"/>
  <c r="A269" i="25"/>
  <c r="B269" i="25"/>
  <c r="D269" i="25"/>
  <c r="A270" i="25"/>
  <c r="B270" i="25"/>
  <c r="D270" i="25"/>
  <c r="A271" i="25"/>
  <c r="B271" i="25"/>
  <c r="D271" i="25"/>
  <c r="A272" i="25"/>
  <c r="B272" i="25"/>
  <c r="D272" i="25"/>
  <c r="A273" i="25"/>
  <c r="B273" i="25"/>
  <c r="D273" i="25"/>
  <c r="A274" i="25"/>
  <c r="B274" i="25"/>
  <c r="D274" i="25"/>
  <c r="A275" i="25"/>
  <c r="B275" i="25"/>
  <c r="D275" i="25"/>
  <c r="A276" i="25"/>
  <c r="B276" i="25"/>
  <c r="D276" i="25"/>
  <c r="A277" i="25"/>
  <c r="B277" i="25"/>
  <c r="D277" i="25"/>
  <c r="A278" i="25"/>
  <c r="B278" i="25"/>
  <c r="D278" i="25"/>
  <c r="A279" i="25"/>
  <c r="B279" i="25"/>
  <c r="D279" i="25"/>
  <c r="A280" i="25"/>
  <c r="B280" i="25"/>
  <c r="D280" i="25"/>
  <c r="A281" i="25"/>
  <c r="B281" i="25"/>
  <c r="D281" i="25"/>
  <c r="A282" i="25"/>
  <c r="B282" i="25"/>
  <c r="D282" i="25"/>
  <c r="A283" i="25"/>
  <c r="B283" i="25"/>
  <c r="D283" i="25"/>
  <c r="A284" i="25"/>
  <c r="B284" i="25"/>
  <c r="D284" i="25"/>
  <c r="A285" i="25"/>
  <c r="B285" i="25"/>
  <c r="D285" i="25"/>
  <c r="A286" i="25"/>
  <c r="B286" i="25"/>
  <c r="D286" i="25"/>
  <c r="A287" i="25"/>
  <c r="B287" i="25"/>
  <c r="D287" i="25"/>
  <c r="A288" i="25"/>
  <c r="B288" i="25"/>
  <c r="D288" i="25"/>
  <c r="A289" i="25"/>
  <c r="B289" i="25"/>
  <c r="D289" i="25"/>
  <c r="A290" i="25"/>
  <c r="B290" i="25"/>
  <c r="D290" i="25"/>
  <c r="A291" i="25"/>
  <c r="B291" i="25"/>
  <c r="D291" i="25"/>
  <c r="A292" i="25"/>
  <c r="B292" i="25"/>
  <c r="D292" i="25"/>
  <c r="A293" i="25"/>
  <c r="B293" i="25"/>
  <c r="D293" i="25"/>
  <c r="A294" i="25"/>
  <c r="B294" i="25"/>
  <c r="D294" i="25"/>
  <c r="A295" i="25"/>
  <c r="B295" i="25"/>
  <c r="D295" i="25"/>
  <c r="A296" i="25"/>
  <c r="B296" i="25"/>
  <c r="D296" i="25"/>
  <c r="A297" i="25"/>
  <c r="B297" i="25"/>
  <c r="D297" i="25"/>
  <c r="A298" i="25"/>
  <c r="B298" i="25"/>
  <c r="D298" i="25"/>
  <c r="A299" i="25"/>
  <c r="B299" i="25"/>
  <c r="D299" i="25"/>
  <c r="A300" i="25"/>
  <c r="B300" i="25"/>
  <c r="D300" i="25"/>
  <c r="A301" i="25"/>
  <c r="B301" i="25"/>
  <c r="D301" i="25"/>
  <c r="A302" i="25"/>
  <c r="B302" i="25"/>
  <c r="D302" i="25"/>
  <c r="A303" i="25"/>
  <c r="B303" i="25"/>
  <c r="D303" i="25"/>
  <c r="A304" i="25"/>
  <c r="B304" i="25"/>
  <c r="D304" i="25"/>
  <c r="D7" i="49"/>
  <c r="E7" i="49"/>
  <c r="D8" i="49"/>
  <c r="E8" i="49"/>
  <c r="D9" i="49"/>
  <c r="E9" i="49"/>
  <c r="D10" i="49"/>
  <c r="E10" i="49"/>
  <c r="D11" i="49"/>
  <c r="E11" i="49"/>
  <c r="D12" i="49"/>
  <c r="E12" i="49"/>
  <c r="D13" i="49"/>
  <c r="E13" i="49"/>
  <c r="D14" i="49"/>
  <c r="E14" i="49"/>
  <c r="D15" i="49"/>
  <c r="E15" i="49"/>
  <c r="D16" i="49"/>
  <c r="E16" i="49"/>
  <c r="D17" i="49"/>
  <c r="E17" i="49"/>
  <c r="D18" i="49"/>
  <c r="E18" i="49"/>
  <c r="D19" i="49"/>
  <c r="E19" i="49"/>
  <c r="D20" i="49"/>
  <c r="E20" i="49"/>
  <c r="D21" i="49"/>
  <c r="E21" i="49"/>
  <c r="D22" i="49"/>
  <c r="E22" i="49"/>
  <c r="D23" i="49"/>
  <c r="E23" i="49"/>
  <c r="D24" i="49"/>
  <c r="E24" i="49"/>
  <c r="D25" i="49"/>
  <c r="E25" i="49"/>
  <c r="D26" i="49"/>
  <c r="E26" i="49"/>
  <c r="D27" i="49"/>
  <c r="E27" i="49"/>
  <c r="D28" i="49"/>
  <c r="E28" i="49"/>
  <c r="D29" i="49"/>
  <c r="E29" i="49"/>
  <c r="D30" i="49"/>
  <c r="E30" i="49"/>
  <c r="D31" i="49"/>
  <c r="E31" i="49"/>
  <c r="D32" i="49"/>
  <c r="E32" i="49"/>
  <c r="D33" i="49"/>
  <c r="E33" i="49"/>
  <c r="D34" i="49"/>
  <c r="E34" i="49"/>
  <c r="D35" i="49"/>
  <c r="E35" i="49"/>
  <c r="D36" i="49"/>
  <c r="E36" i="49"/>
  <c r="D37" i="49"/>
  <c r="E37" i="49"/>
  <c r="D38" i="49"/>
  <c r="E38" i="49"/>
  <c r="D39" i="49"/>
  <c r="E39" i="49"/>
  <c r="D40" i="49"/>
  <c r="E40" i="49"/>
  <c r="D41" i="49"/>
  <c r="E41" i="49"/>
  <c r="D42" i="49"/>
  <c r="E42" i="49"/>
  <c r="D43" i="49"/>
  <c r="E43" i="49"/>
  <c r="D44" i="49"/>
  <c r="E44" i="49"/>
  <c r="D45" i="49"/>
  <c r="E45" i="49"/>
  <c r="D46" i="49"/>
  <c r="E46" i="49"/>
  <c r="D47" i="49"/>
  <c r="E47" i="49"/>
  <c r="D48" i="49"/>
  <c r="E48" i="49"/>
  <c r="D49" i="49"/>
  <c r="E49" i="49"/>
  <c r="D50" i="49"/>
  <c r="E50" i="49"/>
  <c r="D51" i="49"/>
  <c r="E51" i="49"/>
  <c r="D52" i="49"/>
  <c r="E52" i="49"/>
  <c r="D53" i="49"/>
  <c r="E53" i="49"/>
  <c r="D54" i="49"/>
  <c r="E54" i="49"/>
  <c r="D55" i="49"/>
  <c r="E55" i="49"/>
  <c r="D56" i="49"/>
  <c r="E56" i="49"/>
  <c r="D57" i="49"/>
  <c r="E57" i="49"/>
  <c r="D58" i="49"/>
  <c r="E58" i="49"/>
  <c r="D59" i="49"/>
  <c r="E59" i="49"/>
  <c r="D60" i="49"/>
  <c r="E60" i="49"/>
  <c r="D61" i="49"/>
  <c r="E61" i="49"/>
  <c r="D62" i="49"/>
  <c r="E62" i="49"/>
  <c r="D63" i="49"/>
  <c r="E63" i="49"/>
  <c r="D64" i="49"/>
  <c r="E64" i="49"/>
  <c r="D65" i="49"/>
  <c r="E65" i="49"/>
  <c r="D66" i="49"/>
  <c r="E66" i="49"/>
  <c r="D67" i="49"/>
  <c r="E67" i="49"/>
  <c r="D68" i="49"/>
  <c r="E68" i="49"/>
  <c r="D69" i="49"/>
  <c r="E69" i="49"/>
  <c r="D70" i="49"/>
  <c r="E70" i="49"/>
  <c r="D71" i="49"/>
  <c r="E71" i="49"/>
  <c r="D72" i="49"/>
  <c r="E72" i="49"/>
  <c r="D73" i="49"/>
  <c r="E73" i="49"/>
  <c r="D74" i="49"/>
  <c r="E74" i="49"/>
  <c r="D75" i="49"/>
  <c r="E75" i="49"/>
  <c r="D76" i="49"/>
  <c r="E76" i="49"/>
  <c r="D77" i="49"/>
  <c r="E77" i="49"/>
  <c r="D78" i="49"/>
  <c r="E78" i="49"/>
  <c r="D79" i="49"/>
  <c r="E79" i="49"/>
  <c r="D80" i="49"/>
  <c r="E80" i="49"/>
  <c r="D81" i="49"/>
  <c r="E81" i="49"/>
  <c r="D82" i="49"/>
  <c r="E82" i="49"/>
  <c r="D83" i="49"/>
  <c r="E83" i="49"/>
  <c r="D84" i="49"/>
  <c r="E84" i="49"/>
  <c r="D85" i="49"/>
  <c r="E85" i="49"/>
  <c r="D86" i="49"/>
  <c r="E86" i="49"/>
  <c r="D87" i="49"/>
  <c r="E87" i="49"/>
  <c r="D88" i="49"/>
  <c r="E88" i="49"/>
  <c r="D89" i="49"/>
  <c r="E89" i="49"/>
  <c r="D90" i="49"/>
  <c r="E90" i="49"/>
  <c r="D91" i="49"/>
  <c r="E91" i="49"/>
  <c r="D92" i="49"/>
  <c r="E92" i="49"/>
  <c r="D93" i="49"/>
  <c r="E93" i="49"/>
  <c r="D94" i="49"/>
  <c r="E94" i="49"/>
  <c r="D95" i="49"/>
  <c r="E95" i="49"/>
  <c r="D96" i="49"/>
  <c r="E96" i="49"/>
  <c r="D97" i="49"/>
  <c r="E97" i="49"/>
  <c r="D98" i="49"/>
  <c r="E98" i="49"/>
  <c r="D99" i="49"/>
  <c r="E99" i="49"/>
  <c r="D100" i="49"/>
  <c r="E100" i="49"/>
  <c r="D101" i="49"/>
  <c r="E101" i="49"/>
  <c r="D102" i="49"/>
  <c r="E102" i="49"/>
  <c r="D103" i="49"/>
  <c r="E103" i="49"/>
  <c r="D104" i="49"/>
  <c r="E104" i="49"/>
  <c r="D105" i="49"/>
  <c r="E105" i="49"/>
  <c r="D106" i="49"/>
  <c r="E106" i="49"/>
  <c r="D107" i="49"/>
  <c r="E107" i="49"/>
  <c r="D108" i="49"/>
  <c r="E108" i="49"/>
  <c r="D109" i="49"/>
  <c r="E109" i="49"/>
  <c r="D110" i="49"/>
  <c r="E110" i="49"/>
  <c r="D111" i="49"/>
  <c r="E111" i="49"/>
  <c r="D112" i="49"/>
  <c r="E112" i="49"/>
  <c r="D113" i="49"/>
  <c r="E113" i="49"/>
  <c r="D114" i="49"/>
  <c r="E114" i="49"/>
  <c r="D115" i="49"/>
  <c r="E115" i="49"/>
  <c r="D116" i="49"/>
  <c r="E116" i="49"/>
  <c r="D117" i="49"/>
  <c r="E117" i="49"/>
  <c r="D118" i="49"/>
  <c r="E118" i="49"/>
  <c r="D119" i="49"/>
  <c r="E119" i="49"/>
  <c r="D120" i="49"/>
  <c r="E120" i="49"/>
  <c r="D121" i="49"/>
  <c r="E121" i="49"/>
  <c r="D122" i="49"/>
  <c r="E122" i="49"/>
  <c r="D123" i="49"/>
  <c r="E123" i="49"/>
  <c r="D124" i="49"/>
  <c r="E124" i="49"/>
  <c r="D125" i="49"/>
  <c r="E125" i="49"/>
  <c r="D126" i="49"/>
  <c r="E126" i="49"/>
  <c r="D127" i="49"/>
  <c r="E127" i="49"/>
  <c r="D128" i="49"/>
  <c r="E128" i="49"/>
  <c r="D129" i="49"/>
  <c r="E129" i="49"/>
  <c r="D130" i="49"/>
  <c r="E130" i="49"/>
  <c r="D131" i="49"/>
  <c r="E131" i="49"/>
  <c r="D132" i="49"/>
  <c r="E132" i="49"/>
  <c r="D133" i="49"/>
  <c r="E133" i="49"/>
  <c r="D134" i="49"/>
  <c r="E134" i="49"/>
  <c r="D135" i="49"/>
  <c r="E135" i="49"/>
  <c r="D136" i="49"/>
  <c r="E136" i="49"/>
  <c r="D137" i="49"/>
  <c r="E137" i="49"/>
  <c r="D138" i="49"/>
  <c r="E138" i="49"/>
  <c r="D139" i="49"/>
  <c r="E139" i="49"/>
  <c r="D140" i="49"/>
  <c r="E140" i="49"/>
  <c r="D141" i="49"/>
  <c r="E141" i="49"/>
  <c r="D142" i="49"/>
  <c r="E142" i="49"/>
  <c r="D143" i="49"/>
  <c r="E143" i="49"/>
  <c r="D144" i="49"/>
  <c r="E144" i="49"/>
  <c r="D145" i="49"/>
  <c r="E145" i="49"/>
  <c r="D146" i="49"/>
  <c r="E146" i="49"/>
  <c r="D147" i="49"/>
  <c r="E147" i="49"/>
  <c r="D148" i="49"/>
  <c r="E148" i="49"/>
  <c r="D149" i="49"/>
  <c r="E149" i="49"/>
  <c r="D150" i="49"/>
  <c r="E150" i="49"/>
  <c r="D151" i="49"/>
  <c r="E151" i="49"/>
  <c r="D152" i="49"/>
  <c r="E152" i="49"/>
  <c r="D153" i="49"/>
  <c r="E153" i="49"/>
  <c r="D154" i="49"/>
  <c r="E154" i="49"/>
  <c r="D155" i="49"/>
  <c r="E155" i="49"/>
  <c r="D156" i="49"/>
  <c r="E156" i="49"/>
  <c r="D157" i="49"/>
  <c r="E157" i="49"/>
  <c r="D158" i="49"/>
  <c r="E158" i="49"/>
  <c r="D159" i="49"/>
  <c r="E159" i="49"/>
  <c r="D160" i="49"/>
  <c r="E160" i="49"/>
  <c r="D161" i="49"/>
  <c r="E161" i="49"/>
  <c r="D162" i="49"/>
  <c r="E162" i="49"/>
  <c r="D163" i="49"/>
  <c r="E163" i="49"/>
  <c r="D164" i="49"/>
  <c r="E164" i="49"/>
  <c r="D165" i="49"/>
  <c r="E165" i="49"/>
  <c r="D166" i="49"/>
  <c r="E166" i="49"/>
  <c r="D167" i="49"/>
  <c r="E167" i="49"/>
  <c r="D168" i="49"/>
  <c r="E168" i="49"/>
  <c r="D169" i="49"/>
  <c r="E169" i="49"/>
  <c r="D170" i="49"/>
  <c r="E170" i="49"/>
  <c r="D171" i="49"/>
  <c r="E171" i="49"/>
  <c r="D172" i="49"/>
  <c r="E172" i="49"/>
  <c r="D173" i="49"/>
  <c r="E173" i="49"/>
  <c r="D174" i="49"/>
  <c r="E174" i="49"/>
  <c r="D175" i="49"/>
  <c r="E175" i="49"/>
  <c r="D176" i="49"/>
  <c r="E176" i="49"/>
  <c r="D177" i="49"/>
  <c r="E177" i="49"/>
  <c r="D178" i="49"/>
  <c r="E178" i="49"/>
  <c r="D179" i="49"/>
  <c r="E179" i="49"/>
  <c r="D180" i="49"/>
  <c r="E180" i="49"/>
  <c r="D181" i="49"/>
  <c r="E181" i="49"/>
  <c r="D182" i="49"/>
  <c r="E182" i="49"/>
  <c r="D183" i="49"/>
  <c r="E183" i="49"/>
  <c r="D184" i="49"/>
  <c r="E184" i="49"/>
  <c r="D185" i="49"/>
  <c r="E185" i="49"/>
  <c r="D186" i="49"/>
  <c r="E186" i="49"/>
  <c r="D187" i="49"/>
  <c r="E187" i="49"/>
  <c r="D188" i="49"/>
  <c r="E188" i="49"/>
  <c r="D189" i="49"/>
  <c r="E189" i="49"/>
  <c r="D190" i="49"/>
  <c r="E190" i="49"/>
  <c r="D191" i="49"/>
  <c r="E191" i="49"/>
  <c r="D192" i="49"/>
  <c r="E192" i="49"/>
  <c r="D193" i="49"/>
  <c r="E193" i="49"/>
  <c r="D194" i="49"/>
  <c r="E194" i="49"/>
  <c r="D195" i="49"/>
  <c r="E195" i="49"/>
  <c r="D196" i="49"/>
  <c r="E196" i="49"/>
  <c r="D197" i="49"/>
  <c r="E197" i="49"/>
  <c r="D198" i="49"/>
  <c r="E198" i="49"/>
  <c r="D199" i="49"/>
  <c r="E199" i="49"/>
  <c r="D200" i="49"/>
  <c r="E200" i="49"/>
  <c r="D201" i="49"/>
  <c r="E201" i="49"/>
  <c r="D202" i="49"/>
  <c r="E202" i="49"/>
  <c r="D203" i="49"/>
  <c r="E203" i="49"/>
  <c r="D204" i="49"/>
  <c r="E204" i="49"/>
  <c r="D205" i="49"/>
  <c r="E205" i="49"/>
  <c r="D206" i="49"/>
  <c r="E206" i="49"/>
  <c r="D207" i="49"/>
  <c r="E207" i="49"/>
  <c r="D208" i="49"/>
  <c r="E208" i="49"/>
  <c r="D209" i="49"/>
  <c r="E209" i="49"/>
  <c r="D210" i="49"/>
  <c r="E210" i="49"/>
  <c r="D211" i="49"/>
  <c r="E211" i="49"/>
  <c r="D212" i="49"/>
  <c r="E212" i="49"/>
  <c r="D213" i="49"/>
  <c r="E213" i="49"/>
  <c r="D214" i="49"/>
  <c r="E214" i="49"/>
  <c r="D215" i="49"/>
  <c r="E215" i="49"/>
  <c r="D216" i="49"/>
  <c r="E216" i="49"/>
  <c r="D217" i="49"/>
  <c r="E217" i="49"/>
  <c r="D218" i="49"/>
  <c r="E218" i="49"/>
  <c r="D219" i="49"/>
  <c r="E219" i="49"/>
  <c r="D220" i="49"/>
  <c r="E220" i="49"/>
  <c r="D221" i="49"/>
  <c r="E221" i="49"/>
  <c r="D222" i="49"/>
  <c r="E222" i="49"/>
  <c r="D223" i="49"/>
  <c r="E223" i="49"/>
  <c r="D224" i="49"/>
  <c r="E224" i="49"/>
  <c r="D225" i="49"/>
  <c r="E225" i="49"/>
  <c r="D226" i="49"/>
  <c r="E226" i="49"/>
  <c r="D227" i="49"/>
  <c r="E227" i="49"/>
  <c r="D228" i="49"/>
  <c r="E228" i="49"/>
  <c r="D229" i="49"/>
  <c r="E229" i="49"/>
  <c r="D230" i="49"/>
  <c r="E230" i="49"/>
  <c r="D231" i="49"/>
  <c r="E231" i="49"/>
  <c r="D232" i="49"/>
  <c r="E232" i="49"/>
  <c r="D233" i="49"/>
  <c r="E233" i="49"/>
  <c r="D234" i="49"/>
  <c r="E234" i="49"/>
  <c r="D235" i="49"/>
  <c r="E235" i="49"/>
  <c r="D236" i="49"/>
  <c r="E236" i="49"/>
  <c r="D237" i="49"/>
  <c r="E237" i="49"/>
  <c r="D238" i="49"/>
  <c r="E238" i="49"/>
  <c r="D239" i="49"/>
  <c r="E239" i="49"/>
  <c r="D240" i="49"/>
  <c r="E240" i="49"/>
  <c r="D241" i="49"/>
  <c r="E241" i="49"/>
  <c r="D242" i="49"/>
  <c r="E242" i="49"/>
  <c r="D243" i="49"/>
  <c r="E243" i="49"/>
  <c r="D244" i="49"/>
  <c r="E244" i="49"/>
  <c r="D245" i="49"/>
  <c r="E245" i="49"/>
  <c r="D246" i="49"/>
  <c r="E246" i="49"/>
  <c r="D247" i="49"/>
  <c r="E247" i="49"/>
  <c r="D248" i="49"/>
  <c r="E248" i="49"/>
  <c r="D249" i="49"/>
  <c r="E249" i="49"/>
  <c r="D250" i="49"/>
  <c r="E250" i="49"/>
  <c r="D251" i="49"/>
  <c r="E251" i="49"/>
  <c r="D252" i="49"/>
  <c r="E252" i="49"/>
  <c r="D253" i="49"/>
  <c r="E253" i="49"/>
  <c r="D254" i="49"/>
  <c r="E254" i="49"/>
  <c r="D255" i="49"/>
  <c r="E255" i="49"/>
  <c r="D256" i="49"/>
  <c r="E256" i="49"/>
  <c r="D257" i="49"/>
  <c r="E257" i="49"/>
  <c r="D258" i="49"/>
  <c r="E258" i="49"/>
  <c r="D259" i="49"/>
  <c r="E259" i="49"/>
  <c r="D260" i="49"/>
  <c r="E260" i="49"/>
  <c r="D261" i="49"/>
  <c r="E261" i="49"/>
  <c r="D262" i="49"/>
  <c r="E262" i="49"/>
  <c r="D263" i="49"/>
  <c r="E263" i="49"/>
  <c r="D264" i="49"/>
  <c r="E264" i="49"/>
  <c r="D265" i="49"/>
  <c r="E265" i="49"/>
  <c r="D266" i="49"/>
  <c r="E266" i="49"/>
  <c r="D267" i="49"/>
  <c r="E267" i="49"/>
  <c r="D268" i="49"/>
  <c r="E268" i="49"/>
  <c r="D269" i="49"/>
  <c r="E269" i="49"/>
  <c r="D270" i="49"/>
  <c r="E270" i="49"/>
  <c r="D271" i="49"/>
  <c r="E271" i="49"/>
  <c r="D272" i="49"/>
  <c r="E272" i="49"/>
  <c r="D273" i="49"/>
  <c r="E273" i="49"/>
  <c r="D274" i="49"/>
  <c r="E274" i="49"/>
  <c r="D275" i="49"/>
  <c r="E275" i="49"/>
  <c r="D276" i="49"/>
  <c r="E276" i="49"/>
  <c r="D277" i="49"/>
  <c r="E277" i="49"/>
  <c r="D278" i="49"/>
  <c r="E278" i="49"/>
  <c r="D279" i="49"/>
  <c r="E279" i="49"/>
  <c r="D280" i="49"/>
  <c r="E280" i="49"/>
  <c r="D281" i="49"/>
  <c r="E281" i="49"/>
  <c r="D282" i="49"/>
  <c r="E282" i="49"/>
  <c r="D283" i="49"/>
  <c r="E283" i="49"/>
  <c r="D284" i="49"/>
  <c r="E284" i="49"/>
  <c r="D285" i="49"/>
  <c r="E285" i="49"/>
  <c r="D286" i="49"/>
  <c r="E286" i="49"/>
  <c r="D287" i="49"/>
  <c r="E287" i="49"/>
  <c r="D288" i="49"/>
  <c r="E288" i="49"/>
  <c r="D289" i="49"/>
  <c r="E289" i="49"/>
  <c r="D290" i="49"/>
  <c r="E290" i="49"/>
  <c r="D291" i="49"/>
  <c r="E291" i="49"/>
  <c r="D292" i="49"/>
  <c r="E292" i="49"/>
  <c r="D293" i="49"/>
  <c r="E293" i="49"/>
  <c r="D294" i="49"/>
  <c r="E294" i="49"/>
  <c r="D295" i="49"/>
  <c r="E295" i="49"/>
  <c r="D296" i="49"/>
  <c r="E296" i="49"/>
  <c r="D297" i="49"/>
  <c r="E297" i="49"/>
  <c r="D298" i="49"/>
  <c r="E298" i="49"/>
  <c r="D299" i="49"/>
  <c r="E299" i="49"/>
  <c r="D300" i="49"/>
  <c r="E300" i="49"/>
  <c r="D301" i="49"/>
  <c r="E301" i="49"/>
  <c r="D302" i="49"/>
  <c r="E302" i="49"/>
  <c r="D303" i="49"/>
  <c r="E303" i="49"/>
  <c r="D304" i="49"/>
  <c r="E304" i="49"/>
  <c r="D305" i="49"/>
  <c r="E305" i="49"/>
  <c r="A7" i="13"/>
  <c r="B7" i="13"/>
  <c r="D7" i="13"/>
  <c r="A8" i="13"/>
  <c r="B8" i="13"/>
  <c r="D8" i="13"/>
  <c r="A9" i="13"/>
  <c r="B9" i="13"/>
  <c r="D9" i="13"/>
  <c r="A10" i="13"/>
  <c r="B10" i="13"/>
  <c r="D10" i="13"/>
  <c r="A11" i="13"/>
  <c r="B11" i="13"/>
  <c r="D11" i="13"/>
  <c r="A12" i="13"/>
  <c r="B12" i="13"/>
  <c r="D12" i="13"/>
  <c r="A13" i="13"/>
  <c r="B13" i="13"/>
  <c r="D13" i="13"/>
  <c r="A14" i="13"/>
  <c r="B14" i="13"/>
  <c r="D14" i="13"/>
  <c r="A15" i="13"/>
  <c r="B15" i="13"/>
  <c r="D15" i="13"/>
  <c r="A16" i="13"/>
  <c r="B16" i="13"/>
  <c r="D16" i="13"/>
  <c r="A17" i="13"/>
  <c r="B17" i="13"/>
  <c r="D17" i="13"/>
  <c r="A18" i="13"/>
  <c r="B18" i="13"/>
  <c r="D18" i="13"/>
  <c r="A19" i="13"/>
  <c r="B19" i="13"/>
  <c r="D19" i="13"/>
  <c r="A20" i="13"/>
  <c r="B20" i="13"/>
  <c r="D20" i="13"/>
  <c r="A21" i="13"/>
  <c r="B21" i="13"/>
  <c r="D21" i="13"/>
  <c r="A22" i="13"/>
  <c r="B22" i="13"/>
  <c r="D22" i="13"/>
  <c r="A23" i="13"/>
  <c r="B23" i="13"/>
  <c r="D23" i="13"/>
  <c r="A24" i="13"/>
  <c r="B24" i="13"/>
  <c r="D24" i="13"/>
  <c r="A25" i="13"/>
  <c r="B25" i="13"/>
  <c r="D25" i="13"/>
  <c r="A26" i="13"/>
  <c r="B26" i="13"/>
  <c r="D26" i="13"/>
  <c r="A27" i="13"/>
  <c r="B27" i="13"/>
  <c r="D27" i="13"/>
  <c r="A28" i="13"/>
  <c r="B28" i="13"/>
  <c r="D28" i="13"/>
  <c r="A29" i="13"/>
  <c r="B29" i="13"/>
  <c r="D29" i="13"/>
  <c r="A30" i="13"/>
  <c r="B30" i="13"/>
  <c r="D30" i="13"/>
  <c r="A31" i="13"/>
  <c r="B31" i="13"/>
  <c r="D31" i="13"/>
  <c r="A32" i="13"/>
  <c r="B32" i="13"/>
  <c r="D32" i="13"/>
  <c r="A33" i="13"/>
  <c r="B33" i="13"/>
  <c r="D33" i="13"/>
  <c r="A34" i="13"/>
  <c r="B34" i="13"/>
  <c r="D34" i="13"/>
  <c r="A35" i="13"/>
  <c r="B35" i="13"/>
  <c r="D35" i="13"/>
  <c r="A36" i="13"/>
  <c r="B36" i="13"/>
  <c r="D36" i="13"/>
  <c r="A37" i="13"/>
  <c r="B37" i="13"/>
  <c r="D37" i="13"/>
  <c r="A38" i="13"/>
  <c r="B38" i="13"/>
  <c r="D38" i="13"/>
  <c r="A39" i="13"/>
  <c r="B39" i="13"/>
  <c r="D39" i="13"/>
  <c r="A40" i="13"/>
  <c r="B40" i="13"/>
  <c r="D40" i="13"/>
  <c r="A41" i="13"/>
  <c r="B41" i="13"/>
  <c r="D41" i="13"/>
  <c r="A42" i="13"/>
  <c r="B42" i="13"/>
  <c r="D42" i="13"/>
  <c r="A43" i="13"/>
  <c r="B43" i="13"/>
  <c r="D43" i="13"/>
  <c r="A44" i="13"/>
  <c r="B44" i="13"/>
  <c r="D44" i="13"/>
  <c r="A45" i="13"/>
  <c r="B45" i="13"/>
  <c r="D45" i="13"/>
  <c r="A46" i="13"/>
  <c r="B46" i="13"/>
  <c r="D46" i="13"/>
  <c r="A47" i="13"/>
  <c r="B47" i="13"/>
  <c r="D47" i="13"/>
  <c r="A48" i="13"/>
  <c r="B48" i="13"/>
  <c r="D48" i="13"/>
  <c r="A49" i="13"/>
  <c r="B49" i="13"/>
  <c r="D49" i="13"/>
  <c r="A50" i="13"/>
  <c r="B50" i="13"/>
  <c r="D50" i="13"/>
  <c r="A51" i="13"/>
  <c r="B51" i="13"/>
  <c r="D51" i="13"/>
  <c r="A52" i="13"/>
  <c r="B52" i="13"/>
  <c r="D52" i="13"/>
  <c r="A53" i="13"/>
  <c r="B53" i="13"/>
  <c r="D53" i="13"/>
  <c r="A54" i="13"/>
  <c r="B54" i="13"/>
  <c r="D54" i="13"/>
  <c r="A55" i="13"/>
  <c r="B55" i="13"/>
  <c r="D55" i="13"/>
  <c r="A56" i="13"/>
  <c r="B56" i="13"/>
  <c r="D56" i="13"/>
  <c r="A57" i="13"/>
  <c r="B57" i="13"/>
  <c r="D57" i="13"/>
  <c r="A58" i="13"/>
  <c r="B58" i="13"/>
  <c r="D58" i="13"/>
  <c r="A59" i="13"/>
  <c r="B59" i="13"/>
  <c r="D59" i="13"/>
  <c r="A60" i="13"/>
  <c r="B60" i="13"/>
  <c r="D60" i="13"/>
  <c r="A61" i="13"/>
  <c r="B61" i="13"/>
  <c r="D61" i="13"/>
  <c r="A62" i="13"/>
  <c r="B62" i="13"/>
  <c r="D62" i="13"/>
  <c r="A63" i="13"/>
  <c r="B63" i="13"/>
  <c r="D63" i="13"/>
  <c r="A64" i="13"/>
  <c r="B64" i="13"/>
  <c r="D64" i="13"/>
  <c r="A65" i="13"/>
  <c r="B65" i="13"/>
  <c r="D65" i="13"/>
  <c r="A66" i="13"/>
  <c r="B66" i="13"/>
  <c r="D66" i="13"/>
  <c r="A67" i="13"/>
  <c r="B67" i="13"/>
  <c r="D67" i="13"/>
  <c r="A68" i="13"/>
  <c r="B68" i="13"/>
  <c r="D68" i="13"/>
  <c r="A69" i="13"/>
  <c r="B69" i="13"/>
  <c r="D69" i="13"/>
  <c r="A70" i="13"/>
  <c r="B70" i="13"/>
  <c r="D70" i="13"/>
  <c r="A71" i="13"/>
  <c r="B71" i="13"/>
  <c r="D71" i="13"/>
  <c r="A72" i="13"/>
  <c r="B72" i="13"/>
  <c r="D72" i="13"/>
  <c r="A73" i="13"/>
  <c r="B73" i="13"/>
  <c r="D73" i="13"/>
  <c r="A74" i="13"/>
  <c r="B74" i="13"/>
  <c r="D74" i="13"/>
  <c r="A75" i="13"/>
  <c r="B75" i="13"/>
  <c r="D75" i="13"/>
  <c r="A76" i="13"/>
  <c r="B76" i="13"/>
  <c r="D76" i="13"/>
  <c r="A77" i="13"/>
  <c r="B77" i="13"/>
  <c r="D77" i="13"/>
  <c r="A78" i="13"/>
  <c r="B78" i="13"/>
  <c r="D78" i="13"/>
  <c r="A79" i="13"/>
  <c r="B79" i="13"/>
  <c r="D79" i="13"/>
  <c r="A80" i="13"/>
  <c r="B80" i="13"/>
  <c r="D80" i="13"/>
  <c r="A81" i="13"/>
  <c r="B81" i="13"/>
  <c r="D81" i="13"/>
  <c r="A82" i="13"/>
  <c r="B82" i="13"/>
  <c r="D82" i="13"/>
  <c r="A83" i="13"/>
  <c r="B83" i="13"/>
  <c r="D83" i="13"/>
  <c r="A84" i="13"/>
  <c r="B84" i="13"/>
  <c r="D84" i="13"/>
  <c r="A85" i="13"/>
  <c r="B85" i="13"/>
  <c r="D85" i="13"/>
  <c r="A86" i="13"/>
  <c r="B86" i="13"/>
  <c r="D86" i="13"/>
  <c r="A87" i="13"/>
  <c r="B87" i="13"/>
  <c r="D87" i="13"/>
  <c r="A88" i="13"/>
  <c r="B88" i="13"/>
  <c r="D88" i="13"/>
  <c r="A89" i="13"/>
  <c r="B89" i="13"/>
  <c r="D89" i="13"/>
  <c r="A90" i="13"/>
  <c r="B90" i="13"/>
  <c r="D90" i="13"/>
  <c r="A91" i="13"/>
  <c r="B91" i="13"/>
  <c r="D91" i="13"/>
  <c r="A92" i="13"/>
  <c r="B92" i="13"/>
  <c r="D92" i="13"/>
  <c r="A93" i="13"/>
  <c r="B93" i="13"/>
  <c r="D93" i="13"/>
  <c r="A94" i="13"/>
  <c r="B94" i="13"/>
  <c r="D94" i="13"/>
  <c r="A95" i="13"/>
  <c r="B95" i="13"/>
  <c r="D95" i="13"/>
  <c r="A96" i="13"/>
  <c r="B96" i="13"/>
  <c r="D96" i="13"/>
  <c r="A97" i="13"/>
  <c r="B97" i="13"/>
  <c r="D97" i="13"/>
  <c r="A98" i="13"/>
  <c r="B98" i="13"/>
  <c r="D98" i="13"/>
  <c r="A99" i="13"/>
  <c r="B99" i="13"/>
  <c r="D99" i="13"/>
  <c r="A100" i="13"/>
  <c r="B100" i="13"/>
  <c r="D100" i="13"/>
  <c r="A101" i="13"/>
  <c r="B101" i="13"/>
  <c r="D101" i="13"/>
  <c r="A102" i="13"/>
  <c r="B102" i="13"/>
  <c r="D102" i="13"/>
  <c r="A103" i="13"/>
  <c r="B103" i="13"/>
  <c r="D103" i="13"/>
  <c r="A104" i="13"/>
  <c r="B104" i="13"/>
  <c r="D104" i="13"/>
  <c r="A105" i="13"/>
  <c r="B105" i="13"/>
  <c r="D105" i="13"/>
  <c r="A106" i="13"/>
  <c r="B106" i="13"/>
  <c r="D106" i="13"/>
  <c r="A107" i="13"/>
  <c r="B107" i="13"/>
  <c r="D107" i="13"/>
  <c r="A108" i="13"/>
  <c r="B108" i="13"/>
  <c r="D108" i="13"/>
  <c r="A109" i="13"/>
  <c r="B109" i="13"/>
  <c r="D109" i="13"/>
  <c r="A110" i="13"/>
  <c r="B110" i="13"/>
  <c r="D110" i="13"/>
  <c r="A111" i="13"/>
  <c r="B111" i="13"/>
  <c r="D111" i="13"/>
  <c r="A112" i="13"/>
  <c r="B112" i="13"/>
  <c r="D112" i="13"/>
  <c r="A113" i="13"/>
  <c r="B113" i="13"/>
  <c r="D113" i="13"/>
  <c r="A114" i="13"/>
  <c r="B114" i="13"/>
  <c r="D114" i="13"/>
  <c r="A115" i="13"/>
  <c r="B115" i="13"/>
  <c r="D115" i="13"/>
  <c r="A116" i="13"/>
  <c r="B116" i="13"/>
  <c r="D116" i="13"/>
  <c r="A117" i="13"/>
  <c r="B117" i="13"/>
  <c r="D117" i="13"/>
  <c r="A118" i="13"/>
  <c r="B118" i="13"/>
  <c r="D118" i="13"/>
  <c r="A119" i="13"/>
  <c r="B119" i="13"/>
  <c r="D119" i="13"/>
  <c r="A120" i="13"/>
  <c r="B120" i="13"/>
  <c r="D120" i="13"/>
  <c r="A121" i="13"/>
  <c r="B121" i="13"/>
  <c r="D121" i="13"/>
  <c r="A122" i="13"/>
  <c r="B122" i="13"/>
  <c r="D122" i="13"/>
  <c r="A123" i="13"/>
  <c r="B123" i="13"/>
  <c r="D123" i="13"/>
  <c r="A124" i="13"/>
  <c r="B124" i="13"/>
  <c r="D124" i="13"/>
  <c r="A125" i="13"/>
  <c r="B125" i="13"/>
  <c r="D125" i="13"/>
  <c r="A126" i="13"/>
  <c r="B126" i="13"/>
  <c r="D126" i="13"/>
  <c r="A127" i="13"/>
  <c r="B127" i="13"/>
  <c r="D127" i="13"/>
  <c r="A128" i="13"/>
  <c r="B128" i="13"/>
  <c r="D128" i="13"/>
  <c r="A129" i="13"/>
  <c r="B129" i="13"/>
  <c r="D129" i="13"/>
  <c r="A130" i="13"/>
  <c r="B130" i="13"/>
  <c r="D130" i="13"/>
  <c r="A131" i="13"/>
  <c r="B131" i="13"/>
  <c r="D131" i="13"/>
  <c r="A132" i="13"/>
  <c r="B132" i="13"/>
  <c r="D132" i="13"/>
  <c r="A133" i="13"/>
  <c r="B133" i="13"/>
  <c r="D133" i="13"/>
  <c r="A134" i="13"/>
  <c r="B134" i="13"/>
  <c r="D134" i="13"/>
  <c r="A135" i="13"/>
  <c r="B135" i="13"/>
  <c r="D135" i="13"/>
  <c r="A136" i="13"/>
  <c r="B136" i="13"/>
  <c r="D136" i="13"/>
  <c r="A137" i="13"/>
  <c r="B137" i="13"/>
  <c r="D137" i="13"/>
  <c r="A138" i="13"/>
  <c r="B138" i="13"/>
  <c r="D138" i="13"/>
  <c r="A139" i="13"/>
  <c r="B139" i="13"/>
  <c r="D139" i="13"/>
  <c r="A140" i="13"/>
  <c r="B140" i="13"/>
  <c r="D140" i="13"/>
  <c r="A141" i="13"/>
  <c r="B141" i="13"/>
  <c r="D141" i="13"/>
  <c r="A142" i="13"/>
  <c r="B142" i="13"/>
  <c r="D142" i="13"/>
  <c r="A143" i="13"/>
  <c r="B143" i="13"/>
  <c r="D143" i="13"/>
  <c r="A144" i="13"/>
  <c r="B144" i="13"/>
  <c r="D144" i="13"/>
  <c r="A145" i="13"/>
  <c r="B145" i="13"/>
  <c r="D145" i="13"/>
  <c r="A146" i="13"/>
  <c r="B146" i="13"/>
  <c r="D146" i="13"/>
  <c r="A147" i="13"/>
  <c r="B147" i="13"/>
  <c r="D147" i="13"/>
  <c r="A148" i="13"/>
  <c r="B148" i="13"/>
  <c r="D148" i="13"/>
  <c r="A149" i="13"/>
  <c r="B149" i="13"/>
  <c r="D149" i="13"/>
  <c r="A150" i="13"/>
  <c r="B150" i="13"/>
  <c r="D150" i="13"/>
  <c r="A151" i="13"/>
  <c r="B151" i="13"/>
  <c r="D151" i="13"/>
  <c r="A152" i="13"/>
  <c r="B152" i="13"/>
  <c r="D152" i="13"/>
  <c r="A153" i="13"/>
  <c r="B153" i="13"/>
  <c r="D153" i="13"/>
  <c r="A154" i="13"/>
  <c r="B154" i="13"/>
  <c r="D154" i="13"/>
  <c r="A155" i="13"/>
  <c r="B155" i="13"/>
  <c r="D155" i="13"/>
  <c r="A156" i="13"/>
  <c r="B156" i="13"/>
  <c r="D156" i="13"/>
  <c r="A157" i="13"/>
  <c r="B157" i="13"/>
  <c r="D157" i="13"/>
  <c r="A158" i="13"/>
  <c r="B158" i="13"/>
  <c r="D158" i="13"/>
  <c r="A159" i="13"/>
  <c r="B159" i="13"/>
  <c r="D159" i="13"/>
  <c r="A160" i="13"/>
  <c r="B160" i="13"/>
  <c r="D160" i="13"/>
  <c r="A161" i="13"/>
  <c r="B161" i="13"/>
  <c r="D161" i="13"/>
  <c r="A162" i="13"/>
  <c r="B162" i="13"/>
  <c r="D162" i="13"/>
  <c r="A163" i="13"/>
  <c r="B163" i="13"/>
  <c r="D163" i="13"/>
  <c r="A164" i="13"/>
  <c r="B164" i="13"/>
  <c r="D164" i="13"/>
  <c r="A165" i="13"/>
  <c r="B165" i="13"/>
  <c r="D165" i="13"/>
  <c r="A166" i="13"/>
  <c r="B166" i="13"/>
  <c r="D166" i="13"/>
  <c r="A167" i="13"/>
  <c r="B167" i="13"/>
  <c r="D167" i="13"/>
  <c r="A168" i="13"/>
  <c r="B168" i="13"/>
  <c r="D168" i="13"/>
  <c r="A169" i="13"/>
  <c r="B169" i="13"/>
  <c r="D169" i="13"/>
  <c r="A170" i="13"/>
  <c r="B170" i="13"/>
  <c r="D170" i="13"/>
  <c r="A171" i="13"/>
  <c r="B171" i="13"/>
  <c r="D171" i="13"/>
  <c r="A172" i="13"/>
  <c r="B172" i="13"/>
  <c r="D172" i="13"/>
  <c r="A173" i="13"/>
  <c r="B173" i="13"/>
  <c r="D173" i="13"/>
  <c r="A174" i="13"/>
  <c r="B174" i="13"/>
  <c r="D174" i="13"/>
  <c r="A175" i="13"/>
  <c r="B175" i="13"/>
  <c r="D175" i="13"/>
  <c r="A176" i="13"/>
  <c r="B176" i="13"/>
  <c r="D176" i="13"/>
  <c r="A177" i="13"/>
  <c r="B177" i="13"/>
  <c r="D177" i="13"/>
  <c r="A178" i="13"/>
  <c r="B178" i="13"/>
  <c r="D178" i="13"/>
  <c r="A179" i="13"/>
  <c r="B179" i="13"/>
  <c r="D179" i="13"/>
  <c r="A180" i="13"/>
  <c r="B180" i="13"/>
  <c r="D180" i="13"/>
  <c r="A181" i="13"/>
  <c r="B181" i="13"/>
  <c r="D181" i="13"/>
  <c r="A182" i="13"/>
  <c r="B182" i="13"/>
  <c r="D182" i="13"/>
  <c r="A183" i="13"/>
  <c r="B183" i="13"/>
  <c r="D183" i="13"/>
  <c r="A184" i="13"/>
  <c r="B184" i="13"/>
  <c r="D184" i="13"/>
  <c r="A185" i="13"/>
  <c r="B185" i="13"/>
  <c r="D185" i="13"/>
  <c r="A186" i="13"/>
  <c r="B186" i="13"/>
  <c r="D186" i="13"/>
  <c r="A187" i="13"/>
  <c r="B187" i="13"/>
  <c r="D187" i="13"/>
  <c r="A188" i="13"/>
  <c r="B188" i="13"/>
  <c r="D188" i="13"/>
  <c r="A189" i="13"/>
  <c r="B189" i="13"/>
  <c r="D189" i="13"/>
  <c r="A190" i="13"/>
  <c r="B190" i="13"/>
  <c r="D190" i="13"/>
  <c r="A191" i="13"/>
  <c r="B191" i="13"/>
  <c r="D191" i="13"/>
  <c r="A192" i="13"/>
  <c r="B192" i="13"/>
  <c r="D192" i="13"/>
  <c r="A193" i="13"/>
  <c r="B193" i="13"/>
  <c r="D193" i="13"/>
  <c r="A194" i="13"/>
  <c r="B194" i="13"/>
  <c r="D194" i="13"/>
  <c r="A195" i="13"/>
  <c r="B195" i="13"/>
  <c r="D195" i="13"/>
  <c r="A196" i="13"/>
  <c r="B196" i="13"/>
  <c r="D196" i="13"/>
  <c r="A197" i="13"/>
  <c r="B197" i="13"/>
  <c r="D197" i="13"/>
  <c r="A198" i="13"/>
  <c r="B198" i="13"/>
  <c r="D198" i="13"/>
  <c r="A199" i="13"/>
  <c r="B199" i="13"/>
  <c r="D199" i="13"/>
  <c r="A200" i="13"/>
  <c r="B200" i="13"/>
  <c r="D200" i="13"/>
  <c r="A201" i="13"/>
  <c r="B201" i="13"/>
  <c r="D201" i="13"/>
  <c r="A202" i="13"/>
  <c r="B202" i="13"/>
  <c r="D202" i="13"/>
  <c r="A203" i="13"/>
  <c r="B203" i="13"/>
  <c r="D203" i="13"/>
  <c r="A204" i="13"/>
  <c r="B204" i="13"/>
  <c r="D204" i="13"/>
  <c r="A205" i="13"/>
  <c r="B205" i="13"/>
  <c r="D205" i="13"/>
  <c r="A206" i="13"/>
  <c r="B206" i="13"/>
  <c r="D206" i="13"/>
  <c r="A207" i="13"/>
  <c r="B207" i="13"/>
  <c r="D207" i="13"/>
  <c r="A208" i="13"/>
  <c r="B208" i="13"/>
  <c r="D208" i="13"/>
  <c r="A209" i="13"/>
  <c r="B209" i="13"/>
  <c r="D209" i="13"/>
  <c r="A210" i="13"/>
  <c r="B210" i="13"/>
  <c r="D210" i="13"/>
  <c r="A211" i="13"/>
  <c r="B211" i="13"/>
  <c r="D211" i="13"/>
  <c r="A212" i="13"/>
  <c r="B212" i="13"/>
  <c r="D212" i="13"/>
  <c r="A213" i="13"/>
  <c r="B213" i="13"/>
  <c r="D213" i="13"/>
  <c r="A214" i="13"/>
  <c r="B214" i="13"/>
  <c r="D214" i="13"/>
  <c r="A215" i="13"/>
  <c r="B215" i="13"/>
  <c r="D215" i="13"/>
  <c r="A216" i="13"/>
  <c r="B216" i="13"/>
  <c r="D216" i="13"/>
  <c r="A217" i="13"/>
  <c r="B217" i="13"/>
  <c r="D217" i="13"/>
  <c r="A218" i="13"/>
  <c r="B218" i="13"/>
  <c r="D218" i="13"/>
  <c r="A219" i="13"/>
  <c r="B219" i="13"/>
  <c r="D219" i="13"/>
  <c r="A220" i="13"/>
  <c r="B220" i="13"/>
  <c r="D220" i="13"/>
  <c r="A221" i="13"/>
  <c r="B221" i="13"/>
  <c r="D221" i="13"/>
  <c r="A222" i="13"/>
  <c r="B222" i="13"/>
  <c r="D222" i="13"/>
  <c r="A223" i="13"/>
  <c r="B223" i="13"/>
  <c r="D223" i="13"/>
  <c r="A224" i="13"/>
  <c r="B224" i="13"/>
  <c r="D224" i="13"/>
  <c r="A225" i="13"/>
  <c r="B225" i="13"/>
  <c r="D225" i="13"/>
  <c r="A226" i="13"/>
  <c r="B226" i="13"/>
  <c r="D226" i="13"/>
  <c r="A227" i="13"/>
  <c r="B227" i="13"/>
  <c r="D227" i="13"/>
  <c r="A228" i="13"/>
  <c r="B228" i="13"/>
  <c r="D228" i="13"/>
  <c r="A229" i="13"/>
  <c r="B229" i="13"/>
  <c r="D229" i="13"/>
  <c r="A230" i="13"/>
  <c r="B230" i="13"/>
  <c r="D230" i="13"/>
  <c r="A231" i="13"/>
  <c r="B231" i="13"/>
  <c r="D231" i="13"/>
  <c r="A232" i="13"/>
  <c r="B232" i="13"/>
  <c r="D232" i="13"/>
  <c r="A233" i="13"/>
  <c r="B233" i="13"/>
  <c r="D233" i="13"/>
  <c r="A234" i="13"/>
  <c r="B234" i="13"/>
  <c r="D234" i="13"/>
  <c r="A235" i="13"/>
  <c r="B235" i="13"/>
  <c r="D235" i="13"/>
  <c r="A236" i="13"/>
  <c r="B236" i="13"/>
  <c r="D236" i="13"/>
  <c r="A237" i="13"/>
  <c r="B237" i="13"/>
  <c r="D237" i="13"/>
  <c r="A238" i="13"/>
  <c r="B238" i="13"/>
  <c r="D238" i="13"/>
  <c r="A239" i="13"/>
  <c r="B239" i="13"/>
  <c r="D239" i="13"/>
  <c r="A240" i="13"/>
  <c r="B240" i="13"/>
  <c r="D240" i="13"/>
  <c r="A241" i="13"/>
  <c r="B241" i="13"/>
  <c r="D241" i="13"/>
  <c r="A242" i="13"/>
  <c r="B242" i="13"/>
  <c r="D242" i="13"/>
  <c r="A243" i="13"/>
  <c r="B243" i="13"/>
  <c r="D243" i="13"/>
  <c r="A244" i="13"/>
  <c r="B244" i="13"/>
  <c r="D244" i="13"/>
  <c r="A245" i="13"/>
  <c r="B245" i="13"/>
  <c r="D245" i="13"/>
  <c r="A246" i="13"/>
  <c r="B246" i="13"/>
  <c r="D246" i="13"/>
  <c r="A247" i="13"/>
  <c r="B247" i="13"/>
  <c r="D247" i="13"/>
  <c r="A248" i="13"/>
  <c r="B248" i="13"/>
  <c r="D248" i="13"/>
  <c r="A249" i="13"/>
  <c r="B249" i="13"/>
  <c r="D249" i="13"/>
  <c r="A250" i="13"/>
  <c r="B250" i="13"/>
  <c r="D250" i="13"/>
  <c r="A251" i="13"/>
  <c r="B251" i="13"/>
  <c r="D251" i="13"/>
  <c r="A252" i="13"/>
  <c r="B252" i="13"/>
  <c r="D252" i="13"/>
  <c r="A253" i="13"/>
  <c r="B253" i="13"/>
  <c r="D253" i="13"/>
  <c r="A254" i="13"/>
  <c r="B254" i="13"/>
  <c r="D254" i="13"/>
  <c r="A255" i="13"/>
  <c r="B255" i="13"/>
  <c r="D255" i="13"/>
  <c r="A256" i="13"/>
  <c r="B256" i="13"/>
  <c r="D256" i="13"/>
  <c r="A257" i="13"/>
  <c r="B257" i="13"/>
  <c r="D257" i="13"/>
  <c r="A258" i="13"/>
  <c r="B258" i="13"/>
  <c r="D258" i="13"/>
  <c r="A259" i="13"/>
  <c r="B259" i="13"/>
  <c r="D259" i="13"/>
  <c r="A260" i="13"/>
  <c r="B260" i="13"/>
  <c r="D260" i="13"/>
  <c r="A261" i="13"/>
  <c r="B261" i="13"/>
  <c r="D261" i="13"/>
  <c r="A262" i="13"/>
  <c r="B262" i="13"/>
  <c r="D262" i="13"/>
  <c r="A263" i="13"/>
  <c r="B263" i="13"/>
  <c r="D263" i="13"/>
  <c r="A264" i="13"/>
  <c r="B264" i="13"/>
  <c r="D264" i="13"/>
  <c r="A265" i="13"/>
  <c r="B265" i="13"/>
  <c r="D265" i="13"/>
  <c r="A266" i="13"/>
  <c r="B266" i="13"/>
  <c r="D266" i="13"/>
  <c r="A267" i="13"/>
  <c r="B267" i="13"/>
  <c r="D267" i="13"/>
  <c r="A268" i="13"/>
  <c r="B268" i="13"/>
  <c r="D268" i="13"/>
  <c r="A269" i="13"/>
  <c r="B269" i="13"/>
  <c r="D269" i="13"/>
  <c r="A270" i="13"/>
  <c r="B270" i="13"/>
  <c r="D270" i="13"/>
  <c r="A271" i="13"/>
  <c r="B271" i="13"/>
  <c r="D271" i="13"/>
  <c r="A272" i="13"/>
  <c r="B272" i="13"/>
  <c r="D272" i="13"/>
  <c r="A273" i="13"/>
  <c r="B273" i="13"/>
  <c r="D273" i="13"/>
  <c r="A274" i="13"/>
  <c r="B274" i="13"/>
  <c r="D274" i="13"/>
  <c r="A275" i="13"/>
  <c r="B275" i="13"/>
  <c r="D275" i="13"/>
  <c r="A276" i="13"/>
  <c r="B276" i="13"/>
  <c r="D276" i="13"/>
  <c r="A277" i="13"/>
  <c r="B277" i="13"/>
  <c r="D277" i="13"/>
  <c r="A278" i="13"/>
  <c r="B278" i="13"/>
  <c r="D278" i="13"/>
  <c r="A279" i="13"/>
  <c r="B279" i="13"/>
  <c r="D279" i="13"/>
  <c r="A280" i="13"/>
  <c r="B280" i="13"/>
  <c r="D280" i="13"/>
  <c r="A281" i="13"/>
  <c r="B281" i="13"/>
  <c r="D281" i="13"/>
  <c r="A282" i="13"/>
  <c r="B282" i="13"/>
  <c r="D282" i="13"/>
  <c r="A283" i="13"/>
  <c r="B283" i="13"/>
  <c r="D283" i="13"/>
  <c r="A284" i="13"/>
  <c r="B284" i="13"/>
  <c r="D284" i="13"/>
  <c r="A285" i="13"/>
  <c r="B285" i="13"/>
  <c r="D285" i="13"/>
  <c r="A286" i="13"/>
  <c r="B286" i="13"/>
  <c r="D286" i="13"/>
  <c r="A287" i="13"/>
  <c r="B287" i="13"/>
  <c r="D287" i="13"/>
  <c r="A288" i="13"/>
  <c r="B288" i="13"/>
  <c r="D288" i="13"/>
  <c r="A289" i="13"/>
  <c r="B289" i="13"/>
  <c r="D289" i="13"/>
  <c r="A290" i="13"/>
  <c r="B290" i="13"/>
  <c r="D290" i="13"/>
  <c r="A291" i="13"/>
  <c r="B291" i="13"/>
  <c r="D291" i="13"/>
  <c r="A292" i="13"/>
  <c r="B292" i="13"/>
  <c r="D292" i="13"/>
  <c r="A293" i="13"/>
  <c r="B293" i="13"/>
  <c r="D293" i="13"/>
  <c r="A294" i="13"/>
  <c r="B294" i="13"/>
  <c r="D294" i="13"/>
  <c r="A295" i="13"/>
  <c r="B295" i="13"/>
  <c r="D295" i="13"/>
  <c r="A296" i="13"/>
  <c r="B296" i="13"/>
  <c r="D296" i="13"/>
  <c r="A297" i="13"/>
  <c r="B297" i="13"/>
  <c r="D297" i="13"/>
  <c r="A298" i="13"/>
  <c r="B298" i="13"/>
  <c r="D298" i="13"/>
  <c r="A299" i="13"/>
  <c r="B299" i="13"/>
  <c r="D299" i="13"/>
  <c r="A300" i="13"/>
  <c r="B300" i="13"/>
  <c r="D300" i="13"/>
  <c r="A301" i="13"/>
  <c r="B301" i="13"/>
  <c r="D301" i="13"/>
  <c r="A302" i="13"/>
  <c r="B302" i="13"/>
  <c r="D302" i="13"/>
  <c r="A303" i="13"/>
  <c r="B303" i="13"/>
  <c r="D303" i="13"/>
  <c r="A304" i="13"/>
  <c r="B304" i="13"/>
  <c r="D304" i="13"/>
  <c r="A305" i="13"/>
  <c r="B305" i="13"/>
  <c r="D305" i="13"/>
  <c r="A7" i="39"/>
  <c r="B7" i="39"/>
  <c r="A8" i="39"/>
  <c r="B8" i="39"/>
  <c r="A9" i="39"/>
  <c r="B9" i="39"/>
  <c r="A10" i="39"/>
  <c r="B10" i="39"/>
  <c r="A11" i="39"/>
  <c r="B11" i="39"/>
  <c r="A12" i="39"/>
  <c r="B12" i="39"/>
  <c r="A13" i="39"/>
  <c r="B13" i="39"/>
  <c r="A14" i="39"/>
  <c r="B14" i="39"/>
  <c r="A15" i="39"/>
  <c r="B15" i="39"/>
  <c r="A16" i="39"/>
  <c r="B16" i="39"/>
  <c r="A17" i="39"/>
  <c r="B17" i="39"/>
  <c r="A18" i="39"/>
  <c r="B18" i="39"/>
  <c r="A19" i="39"/>
  <c r="B19" i="39"/>
  <c r="A20" i="39"/>
  <c r="B20" i="39"/>
  <c r="A21" i="39"/>
  <c r="B21" i="39"/>
  <c r="A22" i="39"/>
  <c r="B22" i="39"/>
  <c r="A23" i="39"/>
  <c r="B23" i="39"/>
  <c r="A24" i="39"/>
  <c r="B24" i="39"/>
  <c r="A25" i="39"/>
  <c r="B25" i="39"/>
  <c r="A26" i="39"/>
  <c r="B26" i="39"/>
  <c r="A27" i="39"/>
  <c r="B27" i="39"/>
  <c r="A28" i="39"/>
  <c r="B28" i="39"/>
  <c r="A29" i="39"/>
  <c r="B29" i="39"/>
  <c r="A30" i="39"/>
  <c r="B30" i="39"/>
  <c r="A31" i="39"/>
  <c r="B31" i="39"/>
  <c r="A32" i="39"/>
  <c r="B32" i="39"/>
  <c r="A33" i="39"/>
  <c r="B33" i="39"/>
  <c r="A34" i="39"/>
  <c r="B34" i="39"/>
  <c r="A35" i="39"/>
  <c r="B35" i="39"/>
  <c r="A36" i="39"/>
  <c r="B36" i="39"/>
  <c r="A37" i="39"/>
  <c r="B37" i="39"/>
  <c r="A38" i="39"/>
  <c r="B38" i="39"/>
  <c r="A39" i="39"/>
  <c r="B39" i="39"/>
  <c r="A40" i="39"/>
  <c r="B40" i="39"/>
  <c r="A41" i="39"/>
  <c r="B41" i="39"/>
  <c r="A42" i="39"/>
  <c r="B42" i="39"/>
  <c r="A43" i="39"/>
  <c r="B43" i="39"/>
  <c r="A44" i="39"/>
  <c r="B44" i="39"/>
  <c r="A45" i="39"/>
  <c r="B45" i="39"/>
  <c r="A46" i="39"/>
  <c r="B46" i="39"/>
  <c r="A47" i="39"/>
  <c r="B47" i="39"/>
  <c r="A48" i="39"/>
  <c r="B48" i="39"/>
  <c r="A49" i="39"/>
  <c r="B49" i="39"/>
  <c r="A50" i="39"/>
  <c r="B50" i="39"/>
  <c r="A51" i="39"/>
  <c r="B51" i="39"/>
  <c r="A52" i="39"/>
  <c r="B52" i="39"/>
  <c r="A53" i="39"/>
  <c r="B53" i="39"/>
  <c r="A54" i="39"/>
  <c r="B54" i="39"/>
  <c r="A55" i="39"/>
  <c r="B55" i="39"/>
  <c r="A56" i="39"/>
  <c r="B56" i="39"/>
  <c r="A57" i="39"/>
  <c r="B57" i="39"/>
  <c r="A58" i="39"/>
  <c r="B58" i="39"/>
  <c r="A59" i="39"/>
  <c r="B59" i="39"/>
  <c r="A60" i="39"/>
  <c r="B60" i="39"/>
  <c r="A61" i="39"/>
  <c r="B61" i="39"/>
  <c r="A62" i="39"/>
  <c r="B62" i="39"/>
  <c r="A63" i="39"/>
  <c r="B63" i="39"/>
  <c r="A64" i="39"/>
  <c r="B64" i="39"/>
  <c r="A65" i="39"/>
  <c r="B65" i="39"/>
  <c r="A66" i="39"/>
  <c r="B66" i="39"/>
  <c r="A67" i="39"/>
  <c r="B67" i="39"/>
  <c r="A68" i="39"/>
  <c r="B68" i="39"/>
  <c r="A69" i="39"/>
  <c r="B69" i="39"/>
  <c r="A70" i="39"/>
  <c r="B70" i="39"/>
  <c r="A71" i="39"/>
  <c r="B71" i="39"/>
  <c r="A72" i="39"/>
  <c r="B72" i="39"/>
  <c r="A73" i="39"/>
  <c r="B73" i="39"/>
  <c r="A74" i="39"/>
  <c r="B74" i="39"/>
  <c r="A75" i="39"/>
  <c r="B75" i="39"/>
  <c r="A76" i="39"/>
  <c r="B76" i="39"/>
  <c r="A77" i="39"/>
  <c r="B77" i="39"/>
  <c r="A78" i="39"/>
  <c r="B78" i="39"/>
  <c r="A79" i="39"/>
  <c r="B79" i="39"/>
  <c r="A80" i="39"/>
  <c r="B80" i="39"/>
  <c r="A81" i="39"/>
  <c r="B81" i="39"/>
  <c r="A82" i="39"/>
  <c r="B82" i="39"/>
  <c r="A83" i="39"/>
  <c r="B83" i="39"/>
  <c r="A84" i="39"/>
  <c r="B84" i="39"/>
  <c r="A85" i="39"/>
  <c r="B85" i="39"/>
  <c r="A86" i="39"/>
  <c r="B86" i="39"/>
  <c r="A87" i="39"/>
  <c r="B87" i="39"/>
  <c r="A88" i="39"/>
  <c r="B88" i="39"/>
  <c r="A89" i="39"/>
  <c r="B89" i="39"/>
  <c r="A90" i="39"/>
  <c r="B90" i="39"/>
  <c r="A91" i="39"/>
  <c r="B91" i="39"/>
  <c r="A92" i="39"/>
  <c r="B92" i="39"/>
  <c r="A93" i="39"/>
  <c r="B93" i="39"/>
  <c r="A94" i="39"/>
  <c r="B94" i="39"/>
  <c r="A95" i="39"/>
  <c r="B95" i="39"/>
  <c r="A96" i="39"/>
  <c r="B96" i="39"/>
  <c r="A97" i="39"/>
  <c r="B97" i="39"/>
  <c r="A98" i="39"/>
  <c r="B98" i="39"/>
  <c r="A99" i="39"/>
  <c r="B99" i="39"/>
  <c r="A100" i="39"/>
  <c r="B100" i="39"/>
  <c r="A101" i="39"/>
  <c r="B101" i="39"/>
  <c r="A102" i="39"/>
  <c r="B102" i="39"/>
  <c r="A103" i="39"/>
  <c r="B103" i="39"/>
  <c r="A104" i="39"/>
  <c r="B104" i="39"/>
  <c r="A105" i="39"/>
  <c r="B105" i="39"/>
  <c r="A106" i="39"/>
  <c r="B106" i="39"/>
  <c r="A107" i="39"/>
  <c r="B107" i="39"/>
  <c r="A108" i="39"/>
  <c r="B108" i="39"/>
  <c r="A109" i="39"/>
  <c r="B109" i="39"/>
  <c r="A110" i="39"/>
  <c r="B110" i="39"/>
  <c r="A111" i="39"/>
  <c r="B111" i="39"/>
  <c r="A112" i="39"/>
  <c r="B112" i="39"/>
  <c r="A113" i="39"/>
  <c r="B113" i="39"/>
  <c r="A114" i="39"/>
  <c r="B114" i="39"/>
  <c r="A115" i="39"/>
  <c r="B115" i="39"/>
  <c r="A116" i="39"/>
  <c r="B116" i="39"/>
  <c r="A117" i="39"/>
  <c r="B117" i="39"/>
  <c r="A118" i="39"/>
  <c r="B118" i="39"/>
  <c r="A119" i="39"/>
  <c r="B119" i="39"/>
  <c r="A120" i="39"/>
  <c r="B120" i="39"/>
  <c r="A121" i="39"/>
  <c r="B121" i="39"/>
  <c r="A122" i="39"/>
  <c r="B122" i="39"/>
  <c r="A123" i="39"/>
  <c r="B123" i="39"/>
  <c r="A124" i="39"/>
  <c r="B124" i="39"/>
  <c r="A125" i="39"/>
  <c r="B125" i="39"/>
  <c r="A126" i="39"/>
  <c r="B126" i="39"/>
  <c r="A127" i="39"/>
  <c r="B127" i="39"/>
  <c r="A128" i="39"/>
  <c r="B128" i="39"/>
  <c r="A129" i="39"/>
  <c r="B129" i="39"/>
  <c r="A130" i="39"/>
  <c r="B130" i="39"/>
  <c r="A131" i="39"/>
  <c r="B131" i="39"/>
  <c r="A132" i="39"/>
  <c r="B132" i="39"/>
  <c r="A133" i="39"/>
  <c r="B133" i="39"/>
  <c r="A134" i="39"/>
  <c r="B134" i="39"/>
  <c r="A135" i="39"/>
  <c r="B135" i="39"/>
  <c r="A136" i="39"/>
  <c r="B136" i="39"/>
  <c r="A137" i="39"/>
  <c r="B137" i="39"/>
  <c r="A138" i="39"/>
  <c r="B138" i="39"/>
  <c r="A139" i="39"/>
  <c r="B139" i="39"/>
  <c r="A140" i="39"/>
  <c r="B140" i="39"/>
  <c r="A141" i="39"/>
  <c r="B141" i="39"/>
  <c r="A142" i="39"/>
  <c r="B142" i="39"/>
  <c r="A143" i="39"/>
  <c r="B143" i="39"/>
  <c r="A144" i="39"/>
  <c r="B144" i="39"/>
  <c r="A145" i="39"/>
  <c r="B145" i="39"/>
  <c r="A146" i="39"/>
  <c r="B146" i="39"/>
  <c r="A147" i="39"/>
  <c r="B147" i="39"/>
  <c r="A148" i="39"/>
  <c r="B148" i="39"/>
  <c r="A149" i="39"/>
  <c r="B149" i="39"/>
  <c r="A150" i="39"/>
  <c r="B150" i="39"/>
  <c r="A151" i="39"/>
  <c r="B151" i="39"/>
  <c r="A152" i="39"/>
  <c r="B152" i="39"/>
  <c r="A153" i="39"/>
  <c r="B153" i="39"/>
  <c r="A154" i="39"/>
  <c r="B154" i="39"/>
  <c r="A155" i="39"/>
  <c r="B155" i="39"/>
  <c r="A156" i="39"/>
  <c r="B156" i="39"/>
  <c r="A157" i="39"/>
  <c r="B157" i="39"/>
  <c r="A158" i="39"/>
  <c r="B158" i="39"/>
  <c r="A159" i="39"/>
  <c r="B159" i="39"/>
  <c r="A160" i="39"/>
  <c r="B160" i="39"/>
  <c r="A161" i="39"/>
  <c r="B161" i="39"/>
  <c r="A162" i="39"/>
  <c r="B162" i="39"/>
  <c r="A163" i="39"/>
  <c r="B163" i="39"/>
  <c r="A164" i="39"/>
  <c r="B164" i="39"/>
  <c r="A165" i="39"/>
  <c r="B165" i="39"/>
  <c r="A166" i="39"/>
  <c r="B166" i="39"/>
  <c r="A167" i="39"/>
  <c r="B167" i="39"/>
  <c r="A168" i="39"/>
  <c r="B168" i="39"/>
  <c r="A169" i="39"/>
  <c r="B169" i="39"/>
  <c r="A170" i="39"/>
  <c r="B170" i="39"/>
  <c r="A171" i="39"/>
  <c r="B171" i="39"/>
  <c r="A172" i="39"/>
  <c r="B172" i="39"/>
  <c r="A173" i="39"/>
  <c r="B173" i="39"/>
  <c r="A174" i="39"/>
  <c r="B174" i="39"/>
  <c r="A175" i="39"/>
  <c r="B175" i="39"/>
  <c r="A176" i="39"/>
  <c r="B176" i="39"/>
  <c r="A177" i="39"/>
  <c r="B177" i="39"/>
  <c r="A178" i="39"/>
  <c r="B178" i="39"/>
  <c r="A179" i="39"/>
  <c r="B179" i="39"/>
  <c r="A180" i="39"/>
  <c r="B180" i="39"/>
  <c r="A181" i="39"/>
  <c r="B181" i="39"/>
  <c r="A182" i="39"/>
  <c r="B182" i="39"/>
  <c r="A183" i="39"/>
  <c r="B183" i="39"/>
  <c r="A184" i="39"/>
  <c r="B184" i="39"/>
  <c r="A185" i="39"/>
  <c r="B185" i="39"/>
  <c r="A186" i="39"/>
  <c r="B186" i="39"/>
  <c r="A187" i="39"/>
  <c r="B187" i="39"/>
  <c r="A188" i="39"/>
  <c r="B188" i="39"/>
  <c r="A189" i="39"/>
  <c r="B189" i="39"/>
  <c r="A190" i="39"/>
  <c r="B190" i="39"/>
  <c r="A191" i="39"/>
  <c r="B191" i="39"/>
  <c r="A192" i="39"/>
  <c r="B192" i="39"/>
  <c r="A193" i="39"/>
  <c r="B193" i="39"/>
  <c r="A194" i="39"/>
  <c r="B194" i="39"/>
  <c r="A195" i="39"/>
  <c r="B195" i="39"/>
  <c r="A196" i="39"/>
  <c r="B196" i="39"/>
  <c r="A197" i="39"/>
  <c r="B197" i="39"/>
  <c r="A198" i="39"/>
  <c r="B198" i="39"/>
  <c r="A199" i="39"/>
  <c r="B199" i="39"/>
  <c r="A200" i="39"/>
  <c r="B200" i="39"/>
  <c r="A201" i="39"/>
  <c r="B201" i="39"/>
  <c r="A202" i="39"/>
  <c r="B202" i="39"/>
  <c r="A203" i="39"/>
  <c r="B203" i="39"/>
  <c r="A204" i="39"/>
  <c r="B204" i="39"/>
  <c r="A205" i="39"/>
  <c r="B205" i="39"/>
  <c r="A206" i="39"/>
  <c r="B206" i="39"/>
  <c r="A207" i="39"/>
  <c r="B207" i="39"/>
  <c r="A208" i="39"/>
  <c r="B208" i="39"/>
  <c r="A209" i="39"/>
  <c r="B209" i="39"/>
  <c r="A210" i="39"/>
  <c r="B210" i="39"/>
  <c r="A211" i="39"/>
  <c r="B211" i="39"/>
  <c r="A212" i="39"/>
  <c r="B212" i="39"/>
  <c r="A213" i="39"/>
  <c r="B213" i="39"/>
  <c r="A214" i="39"/>
  <c r="B214" i="39"/>
  <c r="A215" i="39"/>
  <c r="B215" i="39"/>
  <c r="A216" i="39"/>
  <c r="B216" i="39"/>
  <c r="A217" i="39"/>
  <c r="B217" i="39"/>
  <c r="A218" i="39"/>
  <c r="B218" i="39"/>
  <c r="A219" i="39"/>
  <c r="B219" i="39"/>
  <c r="A220" i="39"/>
  <c r="B220" i="39"/>
  <c r="A221" i="39"/>
  <c r="B221" i="39"/>
  <c r="A222" i="39"/>
  <c r="B222" i="39"/>
  <c r="A223" i="39"/>
  <c r="B223" i="39"/>
  <c r="A224" i="39"/>
  <c r="B224" i="39"/>
  <c r="A225" i="39"/>
  <c r="B225" i="39"/>
  <c r="A226" i="39"/>
  <c r="B226" i="39"/>
  <c r="A227" i="39"/>
  <c r="B227" i="39"/>
  <c r="A228" i="39"/>
  <c r="B228" i="39"/>
  <c r="A229" i="39"/>
  <c r="B229" i="39"/>
  <c r="A230" i="39"/>
  <c r="B230" i="39"/>
  <c r="A231" i="39"/>
  <c r="B231" i="39"/>
  <c r="A232" i="39"/>
  <c r="B232" i="39"/>
  <c r="A233" i="39"/>
  <c r="B233" i="39"/>
  <c r="A234" i="39"/>
  <c r="B234" i="39"/>
  <c r="A235" i="39"/>
  <c r="B235" i="39"/>
  <c r="A236" i="39"/>
  <c r="B236" i="39"/>
  <c r="A237" i="39"/>
  <c r="B237" i="39"/>
  <c r="A238" i="39"/>
  <c r="B238" i="39"/>
  <c r="A239" i="39"/>
  <c r="B239" i="39"/>
  <c r="A240" i="39"/>
  <c r="B240" i="39"/>
  <c r="A241" i="39"/>
  <c r="B241" i="39"/>
  <c r="A242" i="39"/>
  <c r="B242" i="39"/>
  <c r="A243" i="39"/>
  <c r="B243" i="39"/>
  <c r="A244" i="39"/>
  <c r="B244" i="39"/>
  <c r="A245" i="39"/>
  <c r="B245" i="39"/>
  <c r="A246" i="39"/>
  <c r="B246" i="39"/>
  <c r="A247" i="39"/>
  <c r="B247" i="39"/>
  <c r="A248" i="39"/>
  <c r="B248" i="39"/>
  <c r="A249" i="39"/>
  <c r="B249" i="39"/>
  <c r="A250" i="39"/>
  <c r="B250" i="39"/>
  <c r="A251" i="39"/>
  <c r="B251" i="39"/>
  <c r="A252" i="39"/>
  <c r="B252" i="39"/>
  <c r="A253" i="39"/>
  <c r="B253" i="39"/>
  <c r="A254" i="39"/>
  <c r="B254" i="39"/>
  <c r="A255" i="39"/>
  <c r="B255" i="39"/>
  <c r="A256" i="39"/>
  <c r="B256" i="39"/>
  <c r="A257" i="39"/>
  <c r="B257" i="39"/>
  <c r="A258" i="39"/>
  <c r="B258" i="39"/>
  <c r="A259" i="39"/>
  <c r="B259" i="39"/>
  <c r="A260" i="39"/>
  <c r="B260" i="39"/>
  <c r="A261" i="39"/>
  <c r="B261" i="39"/>
  <c r="A262" i="39"/>
  <c r="B262" i="39"/>
  <c r="A263" i="39"/>
  <c r="B263" i="39"/>
  <c r="A264" i="39"/>
  <c r="B264" i="39"/>
  <c r="A265" i="39"/>
  <c r="B265" i="39"/>
  <c r="A266" i="39"/>
  <c r="B266" i="39"/>
  <c r="A267" i="39"/>
  <c r="B267" i="39"/>
  <c r="A268" i="39"/>
  <c r="B268" i="39"/>
  <c r="A269" i="39"/>
  <c r="B269" i="39"/>
  <c r="A270" i="39"/>
  <c r="B270" i="39"/>
  <c r="A271" i="39"/>
  <c r="B271" i="39"/>
  <c r="A272" i="39"/>
  <c r="B272" i="39"/>
  <c r="A273" i="39"/>
  <c r="B273" i="39"/>
  <c r="A274" i="39"/>
  <c r="B274" i="39"/>
  <c r="A275" i="39"/>
  <c r="B275" i="39"/>
  <c r="A276" i="39"/>
  <c r="B276" i="39"/>
  <c r="A277" i="39"/>
  <c r="B277" i="39"/>
  <c r="A278" i="39"/>
  <c r="B278" i="39"/>
  <c r="A279" i="39"/>
  <c r="B279" i="39"/>
  <c r="A280" i="39"/>
  <c r="B280" i="39"/>
  <c r="A281" i="39"/>
  <c r="B281" i="39"/>
  <c r="A282" i="39"/>
  <c r="B282" i="39"/>
  <c r="A283" i="39"/>
  <c r="B283" i="39"/>
  <c r="A284" i="39"/>
  <c r="B284" i="39"/>
  <c r="A285" i="39"/>
  <c r="B285" i="39"/>
  <c r="A286" i="39"/>
  <c r="B286" i="39"/>
  <c r="A287" i="39"/>
  <c r="B287" i="39"/>
  <c r="A288" i="39"/>
  <c r="B288" i="39"/>
  <c r="A289" i="39"/>
  <c r="B289" i="39"/>
  <c r="A290" i="39"/>
  <c r="B290" i="39"/>
  <c r="A291" i="39"/>
  <c r="B291" i="39"/>
  <c r="A292" i="39"/>
  <c r="B292" i="39"/>
  <c r="A293" i="39"/>
  <c r="B293" i="39"/>
  <c r="A294" i="39"/>
  <c r="B294" i="39"/>
  <c r="A295" i="39"/>
  <c r="B295" i="39"/>
  <c r="A296" i="39"/>
  <c r="B296" i="39"/>
  <c r="A297" i="39"/>
  <c r="B297" i="39"/>
  <c r="A298" i="39"/>
  <c r="B298" i="39"/>
  <c r="A299" i="39"/>
  <c r="B299" i="39"/>
  <c r="A300" i="39"/>
  <c r="B300" i="39"/>
  <c r="A301" i="39"/>
  <c r="B301" i="39"/>
  <c r="A302" i="39"/>
  <c r="B302" i="39"/>
  <c r="A303" i="39"/>
  <c r="B303" i="39"/>
  <c r="A304" i="39"/>
  <c r="B304" i="39"/>
  <c r="A305" i="39"/>
  <c r="B305" i="39"/>
  <c r="A7" i="12"/>
  <c r="B7" i="12"/>
  <c r="A8" i="12"/>
  <c r="B8" i="12"/>
  <c r="A9" i="12"/>
  <c r="B9" i="12"/>
  <c r="A10" i="12"/>
  <c r="B10" i="12"/>
  <c r="A11" i="12"/>
  <c r="B11" i="12"/>
  <c r="A12" i="12"/>
  <c r="B12" i="12"/>
  <c r="A13" i="12"/>
  <c r="B13" i="12"/>
  <c r="A14" i="12"/>
  <c r="B14" i="12"/>
  <c r="A15" i="12"/>
  <c r="B15" i="12"/>
  <c r="A16" i="12"/>
  <c r="B16" i="12"/>
  <c r="A17" i="12"/>
  <c r="B17" i="12"/>
  <c r="A18" i="12"/>
  <c r="B18" i="12"/>
  <c r="A19" i="12"/>
  <c r="B19" i="12"/>
  <c r="A20" i="12"/>
  <c r="B20" i="12"/>
  <c r="A21" i="12"/>
  <c r="B21" i="12"/>
  <c r="A22" i="12"/>
  <c r="B22" i="12"/>
  <c r="A23" i="12"/>
  <c r="B23" i="12"/>
  <c r="A24" i="12"/>
  <c r="B24" i="12"/>
  <c r="A25" i="12"/>
  <c r="B25" i="12"/>
  <c r="A26" i="12"/>
  <c r="B26" i="12"/>
  <c r="A27" i="12"/>
  <c r="B27" i="12"/>
  <c r="A28" i="12"/>
  <c r="B28" i="12"/>
  <c r="A29" i="12"/>
  <c r="B29" i="12"/>
  <c r="A30" i="12"/>
  <c r="B30" i="12"/>
  <c r="A31" i="12"/>
  <c r="B31" i="12"/>
  <c r="A32" i="12"/>
  <c r="B32" i="12"/>
  <c r="A33" i="12"/>
  <c r="B33" i="12"/>
  <c r="A34" i="12"/>
  <c r="B34" i="12"/>
  <c r="A35" i="12"/>
  <c r="B35" i="12"/>
  <c r="A36" i="12"/>
  <c r="B36" i="12"/>
  <c r="A37" i="12"/>
  <c r="B37" i="12"/>
  <c r="A38" i="12"/>
  <c r="B38" i="12"/>
  <c r="A39" i="12"/>
  <c r="B39" i="12"/>
  <c r="A40" i="12"/>
  <c r="B40" i="12"/>
  <c r="A41" i="12"/>
  <c r="B41" i="12"/>
  <c r="A42" i="12"/>
  <c r="B42" i="12"/>
  <c r="A43" i="12"/>
  <c r="B43" i="12"/>
  <c r="A44" i="12"/>
  <c r="B44" i="12"/>
  <c r="A45" i="12"/>
  <c r="B45" i="12"/>
  <c r="A46" i="12"/>
  <c r="B46" i="12"/>
  <c r="A47" i="12"/>
  <c r="B47" i="12"/>
  <c r="A48" i="12"/>
  <c r="B48" i="12"/>
  <c r="A49" i="12"/>
  <c r="B49" i="12"/>
  <c r="A50" i="12"/>
  <c r="B50" i="12"/>
  <c r="A51" i="12"/>
  <c r="B51" i="12"/>
  <c r="A52" i="12"/>
  <c r="B52" i="12"/>
  <c r="A53" i="12"/>
  <c r="B53" i="12"/>
  <c r="A54" i="12"/>
  <c r="B54" i="12"/>
  <c r="A55" i="12"/>
  <c r="B55" i="12"/>
  <c r="A56" i="12"/>
  <c r="B56" i="12"/>
  <c r="A57" i="12"/>
  <c r="B57" i="12"/>
  <c r="A58" i="12"/>
  <c r="B58" i="12"/>
  <c r="A59" i="12"/>
  <c r="B59" i="12"/>
  <c r="A60" i="12"/>
  <c r="B60" i="12"/>
  <c r="A61" i="12"/>
  <c r="B61" i="12"/>
  <c r="A62" i="12"/>
  <c r="B62" i="12"/>
  <c r="A63" i="12"/>
  <c r="B63" i="12"/>
  <c r="A64" i="12"/>
  <c r="B64" i="12"/>
  <c r="A65" i="12"/>
  <c r="B65" i="12"/>
  <c r="A66" i="12"/>
  <c r="B66" i="12"/>
  <c r="A67" i="12"/>
  <c r="B67" i="12"/>
  <c r="A68" i="12"/>
  <c r="B68" i="12"/>
  <c r="A69" i="12"/>
  <c r="B69" i="12"/>
  <c r="A70" i="12"/>
  <c r="B70" i="12"/>
  <c r="A71" i="12"/>
  <c r="B71" i="12"/>
  <c r="A72" i="12"/>
  <c r="B72" i="12"/>
  <c r="A73" i="12"/>
  <c r="B73" i="12"/>
  <c r="A74" i="12"/>
  <c r="B74" i="12"/>
  <c r="A75" i="12"/>
  <c r="B75" i="12"/>
  <c r="A76" i="12"/>
  <c r="B76" i="12"/>
  <c r="A77" i="12"/>
  <c r="B77" i="12"/>
  <c r="A78" i="12"/>
  <c r="B78" i="12"/>
  <c r="A79" i="12"/>
  <c r="B79" i="12"/>
  <c r="A80" i="12"/>
  <c r="B80" i="12"/>
  <c r="A81" i="12"/>
  <c r="B81" i="12"/>
  <c r="A82" i="12"/>
  <c r="B82" i="12"/>
  <c r="A83" i="12"/>
  <c r="B83" i="12"/>
  <c r="A84" i="12"/>
  <c r="B84" i="12"/>
  <c r="A85" i="12"/>
  <c r="B85" i="12"/>
  <c r="A86" i="12"/>
  <c r="B86" i="12"/>
  <c r="A87" i="12"/>
  <c r="B87" i="12"/>
  <c r="A88" i="12"/>
  <c r="B88" i="12"/>
  <c r="A89" i="12"/>
  <c r="B89" i="12"/>
  <c r="A90" i="12"/>
  <c r="B90" i="12"/>
  <c r="A91" i="12"/>
  <c r="B91" i="12"/>
  <c r="A92" i="12"/>
  <c r="B92" i="12"/>
  <c r="A93" i="12"/>
  <c r="B93" i="12"/>
  <c r="A94" i="12"/>
  <c r="B94" i="12"/>
  <c r="A95" i="12"/>
  <c r="B95" i="12"/>
  <c r="A96" i="12"/>
  <c r="B96" i="12"/>
  <c r="A97" i="12"/>
  <c r="B97" i="12"/>
  <c r="A98" i="12"/>
  <c r="B98" i="12"/>
  <c r="A99" i="12"/>
  <c r="B99" i="12"/>
  <c r="A100" i="12"/>
  <c r="B100" i="12"/>
  <c r="A101" i="12"/>
  <c r="B101" i="12"/>
  <c r="A102" i="12"/>
  <c r="B102" i="12"/>
  <c r="A103" i="12"/>
  <c r="B103" i="12"/>
  <c r="A104" i="12"/>
  <c r="B104" i="12"/>
  <c r="A105" i="12"/>
  <c r="B105" i="12"/>
  <c r="A106" i="12"/>
  <c r="B106" i="12"/>
  <c r="A107" i="12"/>
  <c r="B107" i="12"/>
  <c r="A108" i="12"/>
  <c r="B108" i="12"/>
  <c r="A109" i="12"/>
  <c r="B109" i="12"/>
  <c r="A110" i="12"/>
  <c r="B110" i="12"/>
  <c r="A111" i="12"/>
  <c r="B111" i="12"/>
  <c r="A112" i="12"/>
  <c r="B112" i="12"/>
  <c r="A113" i="12"/>
  <c r="B113" i="12"/>
  <c r="A114" i="12"/>
  <c r="B114" i="12"/>
  <c r="A115" i="12"/>
  <c r="B115" i="12"/>
  <c r="A116" i="12"/>
  <c r="B116" i="12"/>
  <c r="A117" i="12"/>
  <c r="B117" i="12"/>
  <c r="A118" i="12"/>
  <c r="B118" i="12"/>
  <c r="A119" i="12"/>
  <c r="B119" i="12"/>
  <c r="A120" i="12"/>
  <c r="B120" i="12"/>
  <c r="A121" i="12"/>
  <c r="B121" i="12"/>
  <c r="A122" i="12"/>
  <c r="B122" i="12"/>
  <c r="A123" i="12"/>
  <c r="B123" i="12"/>
  <c r="A124" i="12"/>
  <c r="B124" i="12"/>
  <c r="A125" i="12"/>
  <c r="B125" i="12"/>
  <c r="A126" i="12"/>
  <c r="B126" i="12"/>
  <c r="A127" i="12"/>
  <c r="B127" i="12"/>
  <c r="A128" i="12"/>
  <c r="B128" i="12"/>
  <c r="A129" i="12"/>
  <c r="B129" i="12"/>
  <c r="A130" i="12"/>
  <c r="B130" i="12"/>
  <c r="A131" i="12"/>
  <c r="B131" i="12"/>
  <c r="A132" i="12"/>
  <c r="B132" i="12"/>
  <c r="A133" i="12"/>
  <c r="B133" i="12"/>
  <c r="A134" i="12"/>
  <c r="B134" i="12"/>
  <c r="A135" i="12"/>
  <c r="B135" i="12"/>
  <c r="A136" i="12"/>
  <c r="B136" i="12"/>
  <c r="A137" i="12"/>
  <c r="B137" i="12"/>
  <c r="A138" i="12"/>
  <c r="B138" i="12"/>
  <c r="A139" i="12"/>
  <c r="B139" i="12"/>
  <c r="A140" i="12"/>
  <c r="B140" i="12"/>
  <c r="A141" i="12"/>
  <c r="B141" i="12"/>
  <c r="A142" i="12"/>
  <c r="B142" i="12"/>
  <c r="A143" i="12"/>
  <c r="B143" i="12"/>
  <c r="A144" i="12"/>
  <c r="B144" i="12"/>
  <c r="A145" i="12"/>
  <c r="B145" i="12"/>
  <c r="A146" i="12"/>
  <c r="B146" i="12"/>
  <c r="A147" i="12"/>
  <c r="B147" i="12"/>
  <c r="A148" i="12"/>
  <c r="B148" i="12"/>
  <c r="A149" i="12"/>
  <c r="B149" i="12"/>
  <c r="A150" i="12"/>
  <c r="B150" i="12"/>
  <c r="A151" i="12"/>
  <c r="B151" i="12"/>
  <c r="A152" i="12"/>
  <c r="B152" i="12"/>
  <c r="A153" i="12"/>
  <c r="B153" i="12"/>
  <c r="A154" i="12"/>
  <c r="B154" i="12"/>
  <c r="A155" i="12"/>
  <c r="B155" i="12"/>
  <c r="A156" i="12"/>
  <c r="B156" i="12"/>
  <c r="A157" i="12"/>
  <c r="B157" i="12"/>
  <c r="A158" i="12"/>
  <c r="B158" i="12"/>
  <c r="A159" i="12"/>
  <c r="B159" i="12"/>
  <c r="A160" i="12"/>
  <c r="B160" i="12"/>
  <c r="A161" i="12"/>
  <c r="B161" i="12"/>
  <c r="A162" i="12"/>
  <c r="B162" i="12"/>
  <c r="A163" i="12"/>
  <c r="B163" i="12"/>
  <c r="A164" i="12"/>
  <c r="B164" i="12"/>
  <c r="A165" i="12"/>
  <c r="B165" i="12"/>
  <c r="A166" i="12"/>
  <c r="B166" i="12"/>
  <c r="A167" i="12"/>
  <c r="B167" i="12"/>
  <c r="A168" i="12"/>
  <c r="B168" i="12"/>
  <c r="A169" i="12"/>
  <c r="B169" i="12"/>
  <c r="A170" i="12"/>
  <c r="B170" i="12"/>
  <c r="A171" i="12"/>
  <c r="B171" i="12"/>
  <c r="A172" i="12"/>
  <c r="B172" i="12"/>
  <c r="A173" i="12"/>
  <c r="B173" i="12"/>
  <c r="A174" i="12"/>
  <c r="B174" i="12"/>
  <c r="A175" i="12"/>
  <c r="B175" i="12"/>
  <c r="A176" i="12"/>
  <c r="B176" i="12"/>
  <c r="A177" i="12"/>
  <c r="B177" i="12"/>
  <c r="A178" i="12"/>
  <c r="B178" i="12"/>
  <c r="A179" i="12"/>
  <c r="B179" i="12"/>
  <c r="A180" i="12"/>
  <c r="B180" i="12"/>
  <c r="A181" i="12"/>
  <c r="B181" i="12"/>
  <c r="A182" i="12"/>
  <c r="B182" i="12"/>
  <c r="A183" i="12"/>
  <c r="B183" i="12"/>
  <c r="A184" i="12"/>
  <c r="B184" i="12"/>
  <c r="A185" i="12"/>
  <c r="B185" i="12"/>
  <c r="A186" i="12"/>
  <c r="B186" i="12"/>
  <c r="A187" i="12"/>
  <c r="B187" i="12"/>
  <c r="A188" i="12"/>
  <c r="B188" i="12"/>
  <c r="A189" i="12"/>
  <c r="B189" i="12"/>
  <c r="A190" i="12"/>
  <c r="B190" i="12"/>
  <c r="A191" i="12"/>
  <c r="B191" i="12"/>
  <c r="A192" i="12"/>
  <c r="B192" i="12"/>
  <c r="A193" i="12"/>
  <c r="B193" i="12"/>
  <c r="A194" i="12"/>
  <c r="B194" i="12"/>
  <c r="A195" i="12"/>
  <c r="B195" i="12"/>
  <c r="A196" i="12"/>
  <c r="B196" i="12"/>
  <c r="A197" i="12"/>
  <c r="B197" i="12"/>
  <c r="A198" i="12"/>
  <c r="B198" i="12"/>
  <c r="A199" i="12"/>
  <c r="B199" i="12"/>
  <c r="A200" i="12"/>
  <c r="B200" i="12"/>
  <c r="A201" i="12"/>
  <c r="B201" i="12"/>
  <c r="A202" i="12"/>
  <c r="B202" i="12"/>
  <c r="A203" i="12"/>
  <c r="B203" i="12"/>
  <c r="A204" i="12"/>
  <c r="B204" i="12"/>
  <c r="A205" i="12"/>
  <c r="B205" i="12"/>
  <c r="A206" i="12"/>
  <c r="B206" i="12"/>
  <c r="A207" i="12"/>
  <c r="B207" i="12"/>
  <c r="A208" i="12"/>
  <c r="B208" i="12"/>
  <c r="A209" i="12"/>
  <c r="B209" i="12"/>
  <c r="A210" i="12"/>
  <c r="B210" i="12"/>
  <c r="A211" i="12"/>
  <c r="B211" i="12"/>
  <c r="A212" i="12"/>
  <c r="B212" i="12"/>
  <c r="A213" i="12"/>
  <c r="B213" i="12"/>
  <c r="A214" i="12"/>
  <c r="B214" i="12"/>
  <c r="A215" i="12"/>
  <c r="B215" i="12"/>
  <c r="A216" i="12"/>
  <c r="B216" i="12"/>
  <c r="A217" i="12"/>
  <c r="B217" i="12"/>
  <c r="A218" i="12"/>
  <c r="B218" i="12"/>
  <c r="A219" i="12"/>
  <c r="B219" i="12"/>
  <c r="A220" i="12"/>
  <c r="B220" i="12"/>
  <c r="A221" i="12"/>
  <c r="B221" i="12"/>
  <c r="A222" i="12"/>
  <c r="B222" i="12"/>
  <c r="A223" i="12"/>
  <c r="B223" i="12"/>
  <c r="A224" i="12"/>
  <c r="B224" i="12"/>
  <c r="A225" i="12"/>
  <c r="B225" i="12"/>
  <c r="A226" i="12"/>
  <c r="B226" i="12"/>
  <c r="A227" i="12"/>
  <c r="B227" i="12"/>
  <c r="A228" i="12"/>
  <c r="B228" i="12"/>
  <c r="A229" i="12"/>
  <c r="B229" i="12"/>
  <c r="A230" i="12"/>
  <c r="B230" i="12"/>
  <c r="A231" i="12"/>
  <c r="B231" i="12"/>
  <c r="A232" i="12"/>
  <c r="B232" i="12"/>
  <c r="A233" i="12"/>
  <c r="B233" i="12"/>
  <c r="A234" i="12"/>
  <c r="B234" i="12"/>
  <c r="A235" i="12"/>
  <c r="B235" i="12"/>
  <c r="A236" i="12"/>
  <c r="B236" i="12"/>
  <c r="A237" i="12"/>
  <c r="B237" i="12"/>
  <c r="A238" i="12"/>
  <c r="B238" i="12"/>
  <c r="A239" i="12"/>
  <c r="B239" i="12"/>
  <c r="A240" i="12"/>
  <c r="B240" i="12"/>
  <c r="A241" i="12"/>
  <c r="B241" i="12"/>
  <c r="A242" i="12"/>
  <c r="B242" i="12"/>
  <c r="A243" i="12"/>
  <c r="B243" i="12"/>
  <c r="A244" i="12"/>
  <c r="B244" i="12"/>
  <c r="A245" i="12"/>
  <c r="B245" i="12"/>
  <c r="A246" i="12"/>
  <c r="B246" i="12"/>
  <c r="A247" i="12"/>
  <c r="B247" i="12"/>
  <c r="A248" i="12"/>
  <c r="B248" i="12"/>
  <c r="A249" i="12"/>
  <c r="B249" i="12"/>
  <c r="A250" i="12"/>
  <c r="B250" i="12"/>
  <c r="A251" i="12"/>
  <c r="B251" i="12"/>
  <c r="A252" i="12"/>
  <c r="B252" i="12"/>
  <c r="A253" i="12"/>
  <c r="B253" i="12"/>
  <c r="A254" i="12"/>
  <c r="B254" i="12"/>
  <c r="A255" i="12"/>
  <c r="B255" i="12"/>
  <c r="A256" i="12"/>
  <c r="B256" i="12"/>
  <c r="A257" i="12"/>
  <c r="B257" i="12"/>
  <c r="A258" i="12"/>
  <c r="B258" i="12"/>
  <c r="A259" i="12"/>
  <c r="B259" i="12"/>
  <c r="A260" i="12"/>
  <c r="B260" i="12"/>
  <c r="A261" i="12"/>
  <c r="B261" i="12"/>
  <c r="A262" i="12"/>
  <c r="B262" i="12"/>
  <c r="A263" i="12"/>
  <c r="B263" i="12"/>
  <c r="A264" i="12"/>
  <c r="B264" i="12"/>
  <c r="A265" i="12"/>
  <c r="B265" i="12"/>
  <c r="A266" i="12"/>
  <c r="B266" i="12"/>
  <c r="A267" i="12"/>
  <c r="B267" i="12"/>
  <c r="A268" i="12"/>
  <c r="B268" i="12"/>
  <c r="A269" i="12"/>
  <c r="B269" i="12"/>
  <c r="A270" i="12"/>
  <c r="B270" i="12"/>
  <c r="A271" i="12"/>
  <c r="B271" i="12"/>
  <c r="A272" i="12"/>
  <c r="B272" i="12"/>
  <c r="A273" i="12"/>
  <c r="B273" i="12"/>
  <c r="A274" i="12"/>
  <c r="B274" i="12"/>
  <c r="A275" i="12"/>
  <c r="B275" i="12"/>
  <c r="A276" i="12"/>
  <c r="B276" i="12"/>
  <c r="A277" i="12"/>
  <c r="B277" i="12"/>
  <c r="A278" i="12"/>
  <c r="B278" i="12"/>
  <c r="A279" i="12"/>
  <c r="B279" i="12"/>
  <c r="A280" i="12"/>
  <c r="B280" i="12"/>
  <c r="A281" i="12"/>
  <c r="B281" i="12"/>
  <c r="A282" i="12"/>
  <c r="B282" i="12"/>
  <c r="A283" i="12"/>
  <c r="B283" i="12"/>
  <c r="A284" i="12"/>
  <c r="B284" i="12"/>
  <c r="A285" i="12"/>
  <c r="B285" i="12"/>
  <c r="A286" i="12"/>
  <c r="B286" i="12"/>
  <c r="A287" i="12"/>
  <c r="B287" i="12"/>
  <c r="A288" i="12"/>
  <c r="B288" i="12"/>
  <c r="A289" i="12"/>
  <c r="B289" i="12"/>
  <c r="A290" i="12"/>
  <c r="B290" i="12"/>
  <c r="A291" i="12"/>
  <c r="B291" i="12"/>
  <c r="A292" i="12"/>
  <c r="B292" i="12"/>
  <c r="A293" i="12"/>
  <c r="B293" i="12"/>
  <c r="A294" i="12"/>
  <c r="B294" i="12"/>
  <c r="A295" i="12"/>
  <c r="B295" i="12"/>
  <c r="A296" i="12"/>
  <c r="B296" i="12"/>
  <c r="A297" i="12"/>
  <c r="B297" i="12"/>
  <c r="A298" i="12"/>
  <c r="B298" i="12"/>
  <c r="A299" i="12"/>
  <c r="B299" i="12"/>
  <c r="A300" i="12"/>
  <c r="B300" i="12"/>
  <c r="A301" i="12"/>
  <c r="B301" i="12"/>
  <c r="A302" i="12"/>
  <c r="B302" i="12"/>
  <c r="A303" i="12"/>
  <c r="B303" i="12"/>
  <c r="A304" i="12"/>
  <c r="B304" i="12"/>
  <c r="A305" i="12"/>
  <c r="B305" i="12"/>
  <c r="A7" i="37"/>
  <c r="B7" i="37"/>
  <c r="C7" i="37"/>
  <c r="F7" i="37"/>
  <c r="A8" i="37"/>
  <c r="B8" i="37"/>
  <c r="C8" i="37"/>
  <c r="F8" i="37"/>
  <c r="A9" i="37"/>
  <c r="B9" i="37"/>
  <c r="C9" i="37"/>
  <c r="F9" i="37"/>
  <c r="A10" i="37"/>
  <c r="B10" i="37"/>
  <c r="C10" i="37"/>
  <c r="F10" i="37"/>
  <c r="A11" i="37"/>
  <c r="B11" i="37"/>
  <c r="C11" i="37"/>
  <c r="F11" i="37"/>
  <c r="A12" i="37"/>
  <c r="B12" i="37"/>
  <c r="C12" i="37"/>
  <c r="F12" i="37"/>
  <c r="A13" i="37"/>
  <c r="B13" i="37"/>
  <c r="C13" i="37"/>
  <c r="F13" i="37"/>
  <c r="A14" i="37"/>
  <c r="B14" i="37"/>
  <c r="C14" i="37"/>
  <c r="F14" i="37"/>
  <c r="A15" i="37"/>
  <c r="B15" i="37"/>
  <c r="C15" i="37"/>
  <c r="F15" i="37"/>
  <c r="A16" i="37"/>
  <c r="B16" i="37"/>
  <c r="C16" i="37"/>
  <c r="F16" i="37"/>
  <c r="A17" i="37"/>
  <c r="B17" i="37"/>
  <c r="C17" i="37"/>
  <c r="F17" i="37"/>
  <c r="A18" i="37"/>
  <c r="B18" i="37"/>
  <c r="C18" i="37"/>
  <c r="F18" i="37"/>
  <c r="A19" i="37"/>
  <c r="B19" i="37"/>
  <c r="C19" i="37"/>
  <c r="F19" i="37"/>
  <c r="A20" i="37"/>
  <c r="B20" i="37"/>
  <c r="C20" i="37"/>
  <c r="F20" i="37"/>
  <c r="A21" i="37"/>
  <c r="B21" i="37"/>
  <c r="C21" i="37"/>
  <c r="F21" i="37"/>
  <c r="A22" i="37"/>
  <c r="B22" i="37"/>
  <c r="C22" i="37"/>
  <c r="F22" i="37"/>
  <c r="A23" i="37"/>
  <c r="B23" i="37"/>
  <c r="C23" i="37"/>
  <c r="F23" i="37"/>
  <c r="A24" i="37"/>
  <c r="B24" i="37"/>
  <c r="C24" i="37"/>
  <c r="F24" i="37"/>
  <c r="A25" i="37"/>
  <c r="B25" i="37"/>
  <c r="C25" i="37"/>
  <c r="F25" i="37"/>
  <c r="A26" i="37"/>
  <c r="B26" i="37"/>
  <c r="C26" i="37"/>
  <c r="F26" i="37"/>
  <c r="A27" i="37"/>
  <c r="B27" i="37"/>
  <c r="C27" i="37"/>
  <c r="F27" i="37"/>
  <c r="A28" i="37"/>
  <c r="B28" i="37"/>
  <c r="C28" i="37"/>
  <c r="F28" i="37"/>
  <c r="A29" i="37"/>
  <c r="B29" i="37"/>
  <c r="C29" i="37"/>
  <c r="F29" i="37"/>
  <c r="A30" i="37"/>
  <c r="B30" i="37"/>
  <c r="C30" i="37"/>
  <c r="F30" i="37"/>
  <c r="A31" i="37"/>
  <c r="B31" i="37"/>
  <c r="C31" i="37"/>
  <c r="F31" i="37"/>
  <c r="A32" i="37"/>
  <c r="B32" i="37"/>
  <c r="C32" i="37"/>
  <c r="F32" i="37"/>
  <c r="A33" i="37"/>
  <c r="B33" i="37"/>
  <c r="C33" i="37"/>
  <c r="F33" i="37"/>
  <c r="A34" i="37"/>
  <c r="B34" i="37"/>
  <c r="C34" i="37"/>
  <c r="F34" i="37"/>
  <c r="A35" i="37"/>
  <c r="B35" i="37"/>
  <c r="C35" i="37"/>
  <c r="F35" i="37"/>
  <c r="A36" i="37"/>
  <c r="B36" i="37"/>
  <c r="C36" i="37"/>
  <c r="F36" i="37"/>
  <c r="A37" i="37"/>
  <c r="B37" i="37"/>
  <c r="C37" i="37"/>
  <c r="F37" i="37"/>
  <c r="A38" i="37"/>
  <c r="B38" i="37"/>
  <c r="C38" i="37"/>
  <c r="F38" i="37"/>
  <c r="A39" i="37"/>
  <c r="B39" i="37"/>
  <c r="C39" i="37"/>
  <c r="F39" i="37"/>
  <c r="A40" i="37"/>
  <c r="B40" i="37"/>
  <c r="C40" i="37"/>
  <c r="F40" i="37"/>
  <c r="A41" i="37"/>
  <c r="B41" i="37"/>
  <c r="C41" i="37"/>
  <c r="F41" i="37"/>
  <c r="A42" i="37"/>
  <c r="B42" i="37"/>
  <c r="C42" i="37"/>
  <c r="F42" i="37"/>
  <c r="A43" i="37"/>
  <c r="B43" i="37"/>
  <c r="C43" i="37"/>
  <c r="F43" i="37"/>
  <c r="A44" i="37"/>
  <c r="B44" i="37"/>
  <c r="C44" i="37"/>
  <c r="F44" i="37"/>
  <c r="A45" i="37"/>
  <c r="B45" i="37"/>
  <c r="C45" i="37"/>
  <c r="F45" i="37"/>
  <c r="A46" i="37"/>
  <c r="B46" i="37"/>
  <c r="C46" i="37"/>
  <c r="F46" i="37"/>
  <c r="A47" i="37"/>
  <c r="B47" i="37"/>
  <c r="C47" i="37"/>
  <c r="F47" i="37"/>
  <c r="A48" i="37"/>
  <c r="B48" i="37"/>
  <c r="C48" i="37"/>
  <c r="F48" i="37"/>
  <c r="A49" i="37"/>
  <c r="B49" i="37"/>
  <c r="C49" i="37"/>
  <c r="F49" i="37"/>
  <c r="A50" i="37"/>
  <c r="B50" i="37"/>
  <c r="C50" i="37"/>
  <c r="F50" i="37"/>
  <c r="A51" i="37"/>
  <c r="B51" i="37"/>
  <c r="C51" i="37"/>
  <c r="F51" i="37"/>
  <c r="A52" i="37"/>
  <c r="B52" i="37"/>
  <c r="C52" i="37"/>
  <c r="F52" i="37"/>
  <c r="A53" i="37"/>
  <c r="B53" i="37"/>
  <c r="C53" i="37"/>
  <c r="F53" i="37"/>
  <c r="A54" i="37"/>
  <c r="B54" i="37"/>
  <c r="C54" i="37"/>
  <c r="F54" i="37"/>
  <c r="A55" i="37"/>
  <c r="B55" i="37"/>
  <c r="C55" i="37"/>
  <c r="F55" i="37"/>
  <c r="A56" i="37"/>
  <c r="B56" i="37"/>
  <c r="C56" i="37"/>
  <c r="F56" i="37"/>
  <c r="A57" i="37"/>
  <c r="B57" i="37"/>
  <c r="C57" i="37"/>
  <c r="F57" i="37"/>
  <c r="A58" i="37"/>
  <c r="B58" i="37"/>
  <c r="C58" i="37"/>
  <c r="F58" i="37"/>
  <c r="A59" i="37"/>
  <c r="B59" i="37"/>
  <c r="C59" i="37"/>
  <c r="F59" i="37"/>
  <c r="A60" i="37"/>
  <c r="B60" i="37"/>
  <c r="C60" i="37"/>
  <c r="F60" i="37"/>
  <c r="A61" i="37"/>
  <c r="B61" i="37"/>
  <c r="C61" i="37"/>
  <c r="F61" i="37"/>
  <c r="A62" i="37"/>
  <c r="B62" i="37"/>
  <c r="C62" i="37"/>
  <c r="F62" i="37"/>
  <c r="A63" i="37"/>
  <c r="B63" i="37"/>
  <c r="C63" i="37"/>
  <c r="F63" i="37"/>
  <c r="A64" i="37"/>
  <c r="B64" i="37"/>
  <c r="C64" i="37"/>
  <c r="F64" i="37"/>
  <c r="A65" i="37"/>
  <c r="B65" i="37"/>
  <c r="C65" i="37"/>
  <c r="F65" i="37"/>
  <c r="A66" i="37"/>
  <c r="B66" i="37"/>
  <c r="C66" i="37"/>
  <c r="F66" i="37"/>
  <c r="A67" i="37"/>
  <c r="B67" i="37"/>
  <c r="C67" i="37"/>
  <c r="F67" i="37"/>
  <c r="A68" i="37"/>
  <c r="B68" i="37"/>
  <c r="C68" i="37"/>
  <c r="F68" i="37"/>
  <c r="A69" i="37"/>
  <c r="B69" i="37"/>
  <c r="C69" i="37"/>
  <c r="F69" i="37"/>
  <c r="A70" i="37"/>
  <c r="B70" i="37"/>
  <c r="C70" i="37"/>
  <c r="F70" i="37"/>
  <c r="A71" i="37"/>
  <c r="B71" i="37"/>
  <c r="C71" i="37"/>
  <c r="F71" i="37"/>
  <c r="A72" i="37"/>
  <c r="B72" i="37"/>
  <c r="C72" i="37"/>
  <c r="F72" i="37"/>
  <c r="A73" i="37"/>
  <c r="B73" i="37"/>
  <c r="C73" i="37"/>
  <c r="F73" i="37"/>
  <c r="A74" i="37"/>
  <c r="B74" i="37"/>
  <c r="C74" i="37"/>
  <c r="F74" i="37"/>
  <c r="A75" i="37"/>
  <c r="B75" i="37"/>
  <c r="C75" i="37"/>
  <c r="F75" i="37"/>
  <c r="A76" i="37"/>
  <c r="B76" i="37"/>
  <c r="C76" i="37"/>
  <c r="F76" i="37"/>
  <c r="A77" i="37"/>
  <c r="B77" i="37"/>
  <c r="C77" i="37"/>
  <c r="F77" i="37"/>
  <c r="A78" i="37"/>
  <c r="B78" i="37"/>
  <c r="C78" i="37"/>
  <c r="F78" i="37"/>
  <c r="A79" i="37"/>
  <c r="B79" i="37"/>
  <c r="C79" i="37"/>
  <c r="F79" i="37"/>
  <c r="A80" i="37"/>
  <c r="B80" i="37"/>
  <c r="C80" i="37"/>
  <c r="F80" i="37"/>
  <c r="A81" i="37"/>
  <c r="B81" i="37"/>
  <c r="C81" i="37"/>
  <c r="F81" i="37"/>
  <c r="A82" i="37"/>
  <c r="B82" i="37"/>
  <c r="C82" i="37"/>
  <c r="F82" i="37"/>
  <c r="A83" i="37"/>
  <c r="B83" i="37"/>
  <c r="C83" i="37"/>
  <c r="F83" i="37"/>
  <c r="A84" i="37"/>
  <c r="B84" i="37"/>
  <c r="C84" i="37"/>
  <c r="F84" i="37"/>
  <c r="A85" i="37"/>
  <c r="B85" i="37"/>
  <c r="C85" i="37"/>
  <c r="F85" i="37"/>
  <c r="A86" i="37"/>
  <c r="B86" i="37"/>
  <c r="C86" i="37"/>
  <c r="F86" i="37"/>
  <c r="A87" i="37"/>
  <c r="B87" i="37"/>
  <c r="C87" i="37"/>
  <c r="F87" i="37"/>
  <c r="A88" i="37"/>
  <c r="B88" i="37"/>
  <c r="C88" i="37"/>
  <c r="F88" i="37"/>
  <c r="A89" i="37"/>
  <c r="B89" i="37"/>
  <c r="C89" i="37"/>
  <c r="F89" i="37"/>
  <c r="A90" i="37"/>
  <c r="B90" i="37"/>
  <c r="C90" i="37"/>
  <c r="F90" i="37"/>
  <c r="A91" i="37"/>
  <c r="B91" i="37"/>
  <c r="C91" i="37"/>
  <c r="F91" i="37"/>
  <c r="A92" i="37"/>
  <c r="B92" i="37"/>
  <c r="C92" i="37"/>
  <c r="F92" i="37"/>
  <c r="A93" i="37"/>
  <c r="B93" i="37"/>
  <c r="C93" i="37"/>
  <c r="F93" i="37"/>
  <c r="A94" i="37"/>
  <c r="B94" i="37"/>
  <c r="C94" i="37"/>
  <c r="F94" i="37"/>
  <c r="A95" i="37"/>
  <c r="B95" i="37"/>
  <c r="C95" i="37"/>
  <c r="F95" i="37"/>
  <c r="A96" i="37"/>
  <c r="B96" i="37"/>
  <c r="C96" i="37"/>
  <c r="F96" i="37"/>
  <c r="A97" i="37"/>
  <c r="B97" i="37"/>
  <c r="C97" i="37"/>
  <c r="F97" i="37"/>
  <c r="A98" i="37"/>
  <c r="B98" i="37"/>
  <c r="C98" i="37"/>
  <c r="F98" i="37"/>
  <c r="A99" i="37"/>
  <c r="B99" i="37"/>
  <c r="C99" i="37"/>
  <c r="F99" i="37"/>
  <c r="A100" i="37"/>
  <c r="B100" i="37"/>
  <c r="C100" i="37"/>
  <c r="F100" i="37"/>
  <c r="A101" i="37"/>
  <c r="B101" i="37"/>
  <c r="C101" i="37"/>
  <c r="F101" i="37"/>
  <c r="A102" i="37"/>
  <c r="B102" i="37"/>
  <c r="C102" i="37"/>
  <c r="F102" i="37"/>
  <c r="A103" i="37"/>
  <c r="B103" i="37"/>
  <c r="C103" i="37"/>
  <c r="F103" i="37"/>
  <c r="A104" i="37"/>
  <c r="B104" i="37"/>
  <c r="C104" i="37"/>
  <c r="F104" i="37"/>
  <c r="A105" i="37"/>
  <c r="B105" i="37"/>
  <c r="C105" i="37"/>
  <c r="F105" i="37"/>
  <c r="A106" i="37"/>
  <c r="B106" i="37"/>
  <c r="C106" i="37"/>
  <c r="F106" i="37"/>
  <c r="A107" i="37"/>
  <c r="B107" i="37"/>
  <c r="C107" i="37"/>
  <c r="F107" i="37"/>
  <c r="A108" i="37"/>
  <c r="B108" i="37"/>
  <c r="C108" i="37"/>
  <c r="F108" i="37"/>
  <c r="A109" i="37"/>
  <c r="B109" i="37"/>
  <c r="C109" i="37"/>
  <c r="F109" i="37"/>
  <c r="A110" i="37"/>
  <c r="B110" i="37"/>
  <c r="C110" i="37"/>
  <c r="F110" i="37"/>
  <c r="A111" i="37"/>
  <c r="B111" i="37"/>
  <c r="C111" i="37"/>
  <c r="F111" i="37"/>
  <c r="A112" i="37"/>
  <c r="B112" i="37"/>
  <c r="C112" i="37"/>
  <c r="F112" i="37"/>
  <c r="A113" i="37"/>
  <c r="B113" i="37"/>
  <c r="C113" i="37"/>
  <c r="F113" i="37"/>
  <c r="A114" i="37"/>
  <c r="B114" i="37"/>
  <c r="C114" i="37"/>
  <c r="F114" i="37"/>
  <c r="A115" i="37"/>
  <c r="B115" i="37"/>
  <c r="C115" i="37"/>
  <c r="F115" i="37"/>
  <c r="A116" i="37"/>
  <c r="B116" i="37"/>
  <c r="C116" i="37"/>
  <c r="F116" i="37"/>
  <c r="A117" i="37"/>
  <c r="B117" i="37"/>
  <c r="C117" i="37"/>
  <c r="F117" i="37"/>
  <c r="A118" i="37"/>
  <c r="B118" i="37"/>
  <c r="C118" i="37"/>
  <c r="F118" i="37"/>
  <c r="A119" i="37"/>
  <c r="B119" i="37"/>
  <c r="C119" i="37"/>
  <c r="F119" i="37"/>
  <c r="A120" i="37"/>
  <c r="B120" i="37"/>
  <c r="C120" i="37"/>
  <c r="F120" i="37"/>
  <c r="A121" i="37"/>
  <c r="B121" i="37"/>
  <c r="C121" i="37"/>
  <c r="F121" i="37"/>
  <c r="A122" i="37"/>
  <c r="B122" i="37"/>
  <c r="C122" i="37"/>
  <c r="F122" i="37"/>
  <c r="A123" i="37"/>
  <c r="B123" i="37"/>
  <c r="C123" i="37"/>
  <c r="F123" i="37"/>
  <c r="A124" i="37"/>
  <c r="B124" i="37"/>
  <c r="C124" i="37"/>
  <c r="F124" i="37"/>
  <c r="A125" i="37"/>
  <c r="B125" i="37"/>
  <c r="C125" i="37"/>
  <c r="F125" i="37"/>
  <c r="A126" i="37"/>
  <c r="B126" i="37"/>
  <c r="C126" i="37"/>
  <c r="F126" i="37"/>
  <c r="A127" i="37"/>
  <c r="B127" i="37"/>
  <c r="C127" i="37"/>
  <c r="F127" i="37"/>
  <c r="A128" i="37"/>
  <c r="B128" i="37"/>
  <c r="C128" i="37"/>
  <c r="F128" i="37"/>
  <c r="A129" i="37"/>
  <c r="B129" i="37"/>
  <c r="C129" i="37"/>
  <c r="F129" i="37"/>
  <c r="A130" i="37"/>
  <c r="B130" i="37"/>
  <c r="C130" i="37"/>
  <c r="F130" i="37"/>
  <c r="A131" i="37"/>
  <c r="B131" i="37"/>
  <c r="C131" i="37"/>
  <c r="F131" i="37"/>
  <c r="A132" i="37"/>
  <c r="B132" i="37"/>
  <c r="C132" i="37"/>
  <c r="F132" i="37"/>
  <c r="A133" i="37"/>
  <c r="B133" i="37"/>
  <c r="C133" i="37"/>
  <c r="F133" i="37"/>
  <c r="A134" i="37"/>
  <c r="B134" i="37"/>
  <c r="C134" i="37"/>
  <c r="F134" i="37"/>
  <c r="A135" i="37"/>
  <c r="B135" i="37"/>
  <c r="C135" i="37"/>
  <c r="F135" i="37"/>
  <c r="A136" i="37"/>
  <c r="B136" i="37"/>
  <c r="C136" i="37"/>
  <c r="F136" i="37"/>
  <c r="A137" i="37"/>
  <c r="B137" i="37"/>
  <c r="C137" i="37"/>
  <c r="F137" i="37"/>
  <c r="A138" i="37"/>
  <c r="B138" i="37"/>
  <c r="C138" i="37"/>
  <c r="F138" i="37"/>
  <c r="A139" i="37"/>
  <c r="B139" i="37"/>
  <c r="C139" i="37"/>
  <c r="F139" i="37"/>
  <c r="A140" i="37"/>
  <c r="B140" i="37"/>
  <c r="C140" i="37"/>
  <c r="F140" i="37"/>
  <c r="A141" i="37"/>
  <c r="B141" i="37"/>
  <c r="C141" i="37"/>
  <c r="F141" i="37"/>
  <c r="A142" i="37"/>
  <c r="B142" i="37"/>
  <c r="C142" i="37"/>
  <c r="F142" i="37"/>
  <c r="A143" i="37"/>
  <c r="B143" i="37"/>
  <c r="C143" i="37"/>
  <c r="F143" i="37"/>
  <c r="A144" i="37"/>
  <c r="B144" i="37"/>
  <c r="C144" i="37"/>
  <c r="F144" i="37"/>
  <c r="A145" i="37"/>
  <c r="B145" i="37"/>
  <c r="C145" i="37"/>
  <c r="F145" i="37"/>
  <c r="A146" i="37"/>
  <c r="B146" i="37"/>
  <c r="C146" i="37"/>
  <c r="F146" i="37"/>
  <c r="A147" i="37"/>
  <c r="B147" i="37"/>
  <c r="C147" i="37"/>
  <c r="F147" i="37"/>
  <c r="A148" i="37"/>
  <c r="B148" i="37"/>
  <c r="C148" i="37"/>
  <c r="F148" i="37"/>
  <c r="A149" i="37"/>
  <c r="B149" i="37"/>
  <c r="C149" i="37"/>
  <c r="F149" i="37"/>
  <c r="A150" i="37"/>
  <c r="B150" i="37"/>
  <c r="C150" i="37"/>
  <c r="F150" i="37"/>
  <c r="A151" i="37"/>
  <c r="B151" i="37"/>
  <c r="C151" i="37"/>
  <c r="F151" i="37"/>
  <c r="A152" i="37"/>
  <c r="B152" i="37"/>
  <c r="C152" i="37"/>
  <c r="F152" i="37"/>
  <c r="A153" i="37"/>
  <c r="B153" i="37"/>
  <c r="C153" i="37"/>
  <c r="F153" i="37"/>
  <c r="A154" i="37"/>
  <c r="B154" i="37"/>
  <c r="C154" i="37"/>
  <c r="F154" i="37"/>
  <c r="A155" i="37"/>
  <c r="B155" i="37"/>
  <c r="C155" i="37"/>
  <c r="F155" i="37"/>
  <c r="A156" i="37"/>
  <c r="B156" i="37"/>
  <c r="C156" i="37"/>
  <c r="F156" i="37"/>
  <c r="A157" i="37"/>
  <c r="B157" i="37"/>
  <c r="C157" i="37"/>
  <c r="F157" i="37"/>
  <c r="A158" i="37"/>
  <c r="B158" i="37"/>
  <c r="C158" i="37"/>
  <c r="F158" i="37"/>
  <c r="A159" i="37"/>
  <c r="B159" i="37"/>
  <c r="C159" i="37"/>
  <c r="F159" i="37"/>
  <c r="A160" i="37"/>
  <c r="B160" i="37"/>
  <c r="C160" i="37"/>
  <c r="F160" i="37"/>
  <c r="A161" i="37"/>
  <c r="B161" i="37"/>
  <c r="C161" i="37"/>
  <c r="F161" i="37"/>
  <c r="A162" i="37"/>
  <c r="B162" i="37"/>
  <c r="C162" i="37"/>
  <c r="F162" i="37"/>
  <c r="A163" i="37"/>
  <c r="B163" i="37"/>
  <c r="C163" i="37"/>
  <c r="F163" i="37"/>
  <c r="A164" i="37"/>
  <c r="B164" i="37"/>
  <c r="C164" i="37"/>
  <c r="F164" i="37"/>
  <c r="A165" i="37"/>
  <c r="B165" i="37"/>
  <c r="C165" i="37"/>
  <c r="F165" i="37"/>
  <c r="A166" i="37"/>
  <c r="B166" i="37"/>
  <c r="C166" i="37"/>
  <c r="F166" i="37"/>
  <c r="A167" i="37"/>
  <c r="B167" i="37"/>
  <c r="C167" i="37"/>
  <c r="F167" i="37"/>
  <c r="A168" i="37"/>
  <c r="B168" i="37"/>
  <c r="C168" i="37"/>
  <c r="F168" i="37"/>
  <c r="A169" i="37"/>
  <c r="B169" i="37"/>
  <c r="C169" i="37"/>
  <c r="F169" i="37"/>
  <c r="A170" i="37"/>
  <c r="B170" i="37"/>
  <c r="C170" i="37"/>
  <c r="F170" i="37"/>
  <c r="A171" i="37"/>
  <c r="B171" i="37"/>
  <c r="C171" i="37"/>
  <c r="F171" i="37"/>
  <c r="A172" i="37"/>
  <c r="B172" i="37"/>
  <c r="C172" i="37"/>
  <c r="F172" i="37"/>
  <c r="A173" i="37"/>
  <c r="B173" i="37"/>
  <c r="C173" i="37"/>
  <c r="F173" i="37"/>
  <c r="A174" i="37"/>
  <c r="B174" i="37"/>
  <c r="C174" i="37"/>
  <c r="F174" i="37"/>
  <c r="A175" i="37"/>
  <c r="B175" i="37"/>
  <c r="C175" i="37"/>
  <c r="F175" i="37"/>
  <c r="A176" i="37"/>
  <c r="B176" i="37"/>
  <c r="C176" i="37"/>
  <c r="F176" i="37"/>
  <c r="A177" i="37"/>
  <c r="B177" i="37"/>
  <c r="C177" i="37"/>
  <c r="F177" i="37"/>
  <c r="A178" i="37"/>
  <c r="B178" i="37"/>
  <c r="C178" i="37"/>
  <c r="F178" i="37"/>
  <c r="A179" i="37"/>
  <c r="B179" i="37"/>
  <c r="C179" i="37"/>
  <c r="F179" i="37"/>
  <c r="A180" i="37"/>
  <c r="B180" i="37"/>
  <c r="C180" i="37"/>
  <c r="F180" i="37"/>
  <c r="A181" i="37"/>
  <c r="B181" i="37"/>
  <c r="C181" i="37"/>
  <c r="F181" i="37"/>
  <c r="A182" i="37"/>
  <c r="B182" i="37"/>
  <c r="C182" i="37"/>
  <c r="F182" i="37"/>
  <c r="A183" i="37"/>
  <c r="B183" i="37"/>
  <c r="C183" i="37"/>
  <c r="F183" i="37"/>
  <c r="A184" i="37"/>
  <c r="B184" i="37"/>
  <c r="C184" i="37"/>
  <c r="F184" i="37"/>
  <c r="A185" i="37"/>
  <c r="B185" i="37"/>
  <c r="C185" i="37"/>
  <c r="F185" i="37"/>
  <c r="A186" i="37"/>
  <c r="B186" i="37"/>
  <c r="C186" i="37"/>
  <c r="F186" i="37"/>
  <c r="A187" i="37"/>
  <c r="B187" i="37"/>
  <c r="C187" i="37"/>
  <c r="F187" i="37"/>
  <c r="A188" i="37"/>
  <c r="B188" i="37"/>
  <c r="C188" i="37"/>
  <c r="F188" i="37"/>
  <c r="A189" i="37"/>
  <c r="B189" i="37"/>
  <c r="C189" i="37"/>
  <c r="F189" i="37"/>
  <c r="A190" i="37"/>
  <c r="B190" i="37"/>
  <c r="C190" i="37"/>
  <c r="F190" i="37"/>
  <c r="A191" i="37"/>
  <c r="B191" i="37"/>
  <c r="C191" i="37"/>
  <c r="F191" i="37"/>
  <c r="A192" i="37"/>
  <c r="B192" i="37"/>
  <c r="C192" i="37"/>
  <c r="F192" i="37"/>
  <c r="A193" i="37"/>
  <c r="B193" i="37"/>
  <c r="C193" i="37"/>
  <c r="F193" i="37"/>
  <c r="A194" i="37"/>
  <c r="B194" i="37"/>
  <c r="C194" i="37"/>
  <c r="F194" i="37"/>
  <c r="A195" i="37"/>
  <c r="B195" i="37"/>
  <c r="C195" i="37"/>
  <c r="F195" i="37"/>
  <c r="A196" i="37"/>
  <c r="B196" i="37"/>
  <c r="C196" i="37"/>
  <c r="F196" i="37"/>
  <c r="A197" i="37"/>
  <c r="B197" i="37"/>
  <c r="C197" i="37"/>
  <c r="F197" i="37"/>
  <c r="A198" i="37"/>
  <c r="B198" i="37"/>
  <c r="C198" i="37"/>
  <c r="F198" i="37"/>
  <c r="A199" i="37"/>
  <c r="B199" i="37"/>
  <c r="C199" i="37"/>
  <c r="F199" i="37"/>
  <c r="A200" i="37"/>
  <c r="B200" i="37"/>
  <c r="C200" i="37"/>
  <c r="F200" i="37"/>
  <c r="A201" i="37"/>
  <c r="B201" i="37"/>
  <c r="C201" i="37"/>
  <c r="F201" i="37"/>
  <c r="A202" i="37"/>
  <c r="B202" i="37"/>
  <c r="C202" i="37"/>
  <c r="F202" i="37"/>
  <c r="A203" i="37"/>
  <c r="B203" i="37"/>
  <c r="C203" i="37"/>
  <c r="F203" i="37"/>
  <c r="A204" i="37"/>
  <c r="B204" i="37"/>
  <c r="C204" i="37"/>
  <c r="F204" i="37"/>
  <c r="A205" i="37"/>
  <c r="B205" i="37"/>
  <c r="C205" i="37"/>
  <c r="F205" i="37"/>
  <c r="A206" i="37"/>
  <c r="B206" i="37"/>
  <c r="C206" i="37"/>
  <c r="F206" i="37"/>
  <c r="A207" i="37"/>
  <c r="B207" i="37"/>
  <c r="C207" i="37"/>
  <c r="F207" i="37"/>
  <c r="A208" i="37"/>
  <c r="B208" i="37"/>
  <c r="C208" i="37"/>
  <c r="F208" i="37"/>
  <c r="A209" i="37"/>
  <c r="B209" i="37"/>
  <c r="C209" i="37"/>
  <c r="F209" i="37"/>
  <c r="A210" i="37"/>
  <c r="B210" i="37"/>
  <c r="C210" i="37"/>
  <c r="F210" i="37"/>
  <c r="A211" i="37"/>
  <c r="B211" i="37"/>
  <c r="C211" i="37"/>
  <c r="F211" i="37"/>
  <c r="A212" i="37"/>
  <c r="B212" i="37"/>
  <c r="C212" i="37"/>
  <c r="F212" i="37"/>
  <c r="A213" i="37"/>
  <c r="B213" i="37"/>
  <c r="C213" i="37"/>
  <c r="F213" i="37"/>
  <c r="A214" i="37"/>
  <c r="B214" i="37"/>
  <c r="C214" i="37"/>
  <c r="F214" i="37"/>
  <c r="A215" i="37"/>
  <c r="B215" i="37"/>
  <c r="C215" i="37"/>
  <c r="F215" i="37"/>
  <c r="A216" i="37"/>
  <c r="B216" i="37"/>
  <c r="C216" i="37"/>
  <c r="F216" i="37"/>
  <c r="A217" i="37"/>
  <c r="B217" i="37"/>
  <c r="C217" i="37"/>
  <c r="F217" i="37"/>
  <c r="A218" i="37"/>
  <c r="B218" i="37"/>
  <c r="C218" i="37"/>
  <c r="F218" i="37"/>
  <c r="A219" i="37"/>
  <c r="B219" i="37"/>
  <c r="C219" i="37"/>
  <c r="F219" i="37"/>
  <c r="A220" i="37"/>
  <c r="B220" i="37"/>
  <c r="C220" i="37"/>
  <c r="F220" i="37"/>
  <c r="A221" i="37"/>
  <c r="B221" i="37"/>
  <c r="C221" i="37"/>
  <c r="F221" i="37"/>
  <c r="A222" i="37"/>
  <c r="B222" i="37"/>
  <c r="C222" i="37"/>
  <c r="F222" i="37"/>
  <c r="A223" i="37"/>
  <c r="B223" i="37"/>
  <c r="C223" i="37"/>
  <c r="F223" i="37"/>
  <c r="A224" i="37"/>
  <c r="B224" i="37"/>
  <c r="C224" i="37"/>
  <c r="F224" i="37"/>
  <c r="A225" i="37"/>
  <c r="B225" i="37"/>
  <c r="C225" i="37"/>
  <c r="F225" i="37"/>
  <c r="A226" i="37"/>
  <c r="B226" i="37"/>
  <c r="C226" i="37"/>
  <c r="F226" i="37"/>
  <c r="A227" i="37"/>
  <c r="B227" i="37"/>
  <c r="C227" i="37"/>
  <c r="F227" i="37"/>
  <c r="A228" i="37"/>
  <c r="B228" i="37"/>
  <c r="C228" i="37"/>
  <c r="F228" i="37"/>
  <c r="A229" i="37"/>
  <c r="B229" i="37"/>
  <c r="C229" i="37"/>
  <c r="F229" i="37"/>
  <c r="A230" i="37"/>
  <c r="B230" i="37"/>
  <c r="C230" i="37"/>
  <c r="F230" i="37"/>
  <c r="A231" i="37"/>
  <c r="B231" i="37"/>
  <c r="C231" i="37"/>
  <c r="F231" i="37"/>
  <c r="A232" i="37"/>
  <c r="B232" i="37"/>
  <c r="C232" i="37"/>
  <c r="F232" i="37"/>
  <c r="A233" i="37"/>
  <c r="B233" i="37"/>
  <c r="C233" i="37"/>
  <c r="F233" i="37"/>
  <c r="A234" i="37"/>
  <c r="B234" i="37"/>
  <c r="C234" i="37"/>
  <c r="F234" i="37"/>
  <c r="A235" i="37"/>
  <c r="B235" i="37"/>
  <c r="C235" i="37"/>
  <c r="F235" i="37"/>
  <c r="A236" i="37"/>
  <c r="B236" i="37"/>
  <c r="C236" i="37"/>
  <c r="F236" i="37"/>
  <c r="A237" i="37"/>
  <c r="B237" i="37"/>
  <c r="C237" i="37"/>
  <c r="F237" i="37"/>
  <c r="A238" i="37"/>
  <c r="B238" i="37"/>
  <c r="C238" i="37"/>
  <c r="F238" i="37"/>
  <c r="A239" i="37"/>
  <c r="B239" i="37"/>
  <c r="C239" i="37"/>
  <c r="F239" i="37"/>
  <c r="A240" i="37"/>
  <c r="B240" i="37"/>
  <c r="C240" i="37"/>
  <c r="F240" i="37"/>
  <c r="A241" i="37"/>
  <c r="B241" i="37"/>
  <c r="C241" i="37"/>
  <c r="F241" i="37"/>
  <c r="A242" i="37"/>
  <c r="B242" i="37"/>
  <c r="C242" i="37"/>
  <c r="F242" i="37"/>
  <c r="A243" i="37"/>
  <c r="B243" i="37"/>
  <c r="C243" i="37"/>
  <c r="F243" i="37"/>
  <c r="A244" i="37"/>
  <c r="B244" i="37"/>
  <c r="C244" i="37"/>
  <c r="F244" i="37"/>
  <c r="A245" i="37"/>
  <c r="B245" i="37"/>
  <c r="C245" i="37"/>
  <c r="F245" i="37"/>
  <c r="A246" i="37"/>
  <c r="B246" i="37"/>
  <c r="C246" i="37"/>
  <c r="F246" i="37"/>
  <c r="A247" i="37"/>
  <c r="B247" i="37"/>
  <c r="C247" i="37"/>
  <c r="F247" i="37"/>
  <c r="A248" i="37"/>
  <c r="B248" i="37"/>
  <c r="C248" i="37"/>
  <c r="F248" i="37"/>
  <c r="A249" i="37"/>
  <c r="B249" i="37"/>
  <c r="C249" i="37"/>
  <c r="F249" i="37"/>
  <c r="A250" i="37"/>
  <c r="B250" i="37"/>
  <c r="C250" i="37"/>
  <c r="F250" i="37"/>
  <c r="A251" i="37"/>
  <c r="B251" i="37"/>
  <c r="C251" i="37"/>
  <c r="F251" i="37"/>
  <c r="A252" i="37"/>
  <c r="B252" i="37"/>
  <c r="C252" i="37"/>
  <c r="F252" i="37"/>
  <c r="A253" i="37"/>
  <c r="B253" i="37"/>
  <c r="C253" i="37"/>
  <c r="F253" i="37"/>
  <c r="A254" i="37"/>
  <c r="B254" i="37"/>
  <c r="C254" i="37"/>
  <c r="F254" i="37"/>
  <c r="A255" i="37"/>
  <c r="B255" i="37"/>
  <c r="C255" i="37"/>
  <c r="F255" i="37"/>
  <c r="A256" i="37"/>
  <c r="B256" i="37"/>
  <c r="C256" i="37"/>
  <c r="F256" i="37"/>
  <c r="A257" i="37"/>
  <c r="B257" i="37"/>
  <c r="C257" i="37"/>
  <c r="F257" i="37"/>
  <c r="A258" i="37"/>
  <c r="B258" i="37"/>
  <c r="C258" i="37"/>
  <c r="F258" i="37"/>
  <c r="A259" i="37"/>
  <c r="B259" i="37"/>
  <c r="C259" i="37"/>
  <c r="F259" i="37"/>
  <c r="A260" i="37"/>
  <c r="B260" i="37"/>
  <c r="C260" i="37"/>
  <c r="F260" i="37"/>
  <c r="A261" i="37"/>
  <c r="B261" i="37"/>
  <c r="C261" i="37"/>
  <c r="F261" i="37"/>
  <c r="A262" i="37"/>
  <c r="B262" i="37"/>
  <c r="C262" i="37"/>
  <c r="F262" i="37"/>
  <c r="A263" i="37"/>
  <c r="B263" i="37"/>
  <c r="C263" i="37"/>
  <c r="F263" i="37"/>
  <c r="A264" i="37"/>
  <c r="B264" i="37"/>
  <c r="C264" i="37"/>
  <c r="F264" i="37"/>
  <c r="A265" i="37"/>
  <c r="B265" i="37"/>
  <c r="C265" i="37"/>
  <c r="F265" i="37"/>
  <c r="A266" i="37"/>
  <c r="B266" i="37"/>
  <c r="C266" i="37"/>
  <c r="F266" i="37"/>
  <c r="A267" i="37"/>
  <c r="B267" i="37"/>
  <c r="C267" i="37"/>
  <c r="F267" i="37"/>
  <c r="A268" i="37"/>
  <c r="B268" i="37"/>
  <c r="C268" i="37"/>
  <c r="F268" i="37"/>
  <c r="A269" i="37"/>
  <c r="B269" i="37"/>
  <c r="C269" i="37"/>
  <c r="F269" i="37"/>
  <c r="A270" i="37"/>
  <c r="B270" i="37"/>
  <c r="C270" i="37"/>
  <c r="F270" i="37"/>
  <c r="A271" i="37"/>
  <c r="B271" i="37"/>
  <c r="C271" i="37"/>
  <c r="F271" i="37"/>
  <c r="A272" i="37"/>
  <c r="B272" i="37"/>
  <c r="C272" i="37"/>
  <c r="F272" i="37"/>
  <c r="A273" i="37"/>
  <c r="B273" i="37"/>
  <c r="C273" i="37"/>
  <c r="F273" i="37"/>
  <c r="A274" i="37"/>
  <c r="B274" i="37"/>
  <c r="C274" i="37"/>
  <c r="F274" i="37"/>
  <c r="A275" i="37"/>
  <c r="B275" i="37"/>
  <c r="C275" i="37"/>
  <c r="F275" i="37"/>
  <c r="A276" i="37"/>
  <c r="B276" i="37"/>
  <c r="C276" i="37"/>
  <c r="F276" i="37"/>
  <c r="A277" i="37"/>
  <c r="B277" i="37"/>
  <c r="C277" i="37"/>
  <c r="F277" i="37"/>
  <c r="A278" i="37"/>
  <c r="B278" i="37"/>
  <c r="C278" i="37"/>
  <c r="F278" i="37"/>
  <c r="A279" i="37"/>
  <c r="B279" i="37"/>
  <c r="C279" i="37"/>
  <c r="F279" i="37"/>
  <c r="A280" i="37"/>
  <c r="B280" i="37"/>
  <c r="C280" i="37"/>
  <c r="F280" i="37"/>
  <c r="A281" i="37"/>
  <c r="B281" i="37"/>
  <c r="C281" i="37"/>
  <c r="F281" i="37"/>
  <c r="A282" i="37"/>
  <c r="B282" i="37"/>
  <c r="C282" i="37"/>
  <c r="F282" i="37"/>
  <c r="A283" i="37"/>
  <c r="B283" i="37"/>
  <c r="C283" i="37"/>
  <c r="F283" i="37"/>
  <c r="A284" i="37"/>
  <c r="B284" i="37"/>
  <c r="C284" i="37"/>
  <c r="F284" i="37"/>
  <c r="A285" i="37"/>
  <c r="B285" i="37"/>
  <c r="C285" i="37"/>
  <c r="F285" i="37"/>
  <c r="A286" i="37"/>
  <c r="B286" i="37"/>
  <c r="C286" i="37"/>
  <c r="F286" i="37"/>
  <c r="A287" i="37"/>
  <c r="B287" i="37"/>
  <c r="C287" i="37"/>
  <c r="F287" i="37"/>
  <c r="A288" i="37"/>
  <c r="B288" i="37"/>
  <c r="C288" i="37"/>
  <c r="F288" i="37"/>
  <c r="A289" i="37"/>
  <c r="B289" i="37"/>
  <c r="C289" i="37"/>
  <c r="F289" i="37"/>
  <c r="A290" i="37"/>
  <c r="B290" i="37"/>
  <c r="C290" i="37"/>
  <c r="F290" i="37"/>
  <c r="A291" i="37"/>
  <c r="B291" i="37"/>
  <c r="C291" i="37"/>
  <c r="F291" i="37"/>
  <c r="A292" i="37"/>
  <c r="B292" i="37"/>
  <c r="C292" i="37"/>
  <c r="F292" i="37"/>
  <c r="A293" i="37"/>
  <c r="B293" i="37"/>
  <c r="C293" i="37"/>
  <c r="F293" i="37"/>
  <c r="A294" i="37"/>
  <c r="B294" i="37"/>
  <c r="C294" i="37"/>
  <c r="F294" i="37"/>
  <c r="A295" i="37"/>
  <c r="B295" i="37"/>
  <c r="C295" i="37"/>
  <c r="F295" i="37"/>
  <c r="A296" i="37"/>
  <c r="B296" i="37"/>
  <c r="C296" i="37"/>
  <c r="F296" i="37"/>
  <c r="A297" i="37"/>
  <c r="B297" i="37"/>
  <c r="C297" i="37"/>
  <c r="F297" i="37"/>
  <c r="A298" i="37"/>
  <c r="B298" i="37"/>
  <c r="C298" i="37"/>
  <c r="F298" i="37"/>
  <c r="A299" i="37"/>
  <c r="B299" i="37"/>
  <c r="C299" i="37"/>
  <c r="F299" i="37"/>
  <c r="A300" i="37"/>
  <c r="B300" i="37"/>
  <c r="C300" i="37"/>
  <c r="F300" i="37"/>
  <c r="A301" i="37"/>
  <c r="B301" i="37"/>
  <c r="C301" i="37"/>
  <c r="F301" i="37"/>
  <c r="A302" i="37"/>
  <c r="B302" i="37"/>
  <c r="C302" i="37"/>
  <c r="F302" i="37"/>
  <c r="A303" i="37"/>
  <c r="B303" i="37"/>
  <c r="C303" i="37"/>
  <c r="F303" i="37"/>
  <c r="A304" i="37"/>
  <c r="B304" i="37"/>
  <c r="C304" i="37"/>
  <c r="F304" i="37"/>
  <c r="A305" i="37"/>
  <c r="B305" i="37"/>
  <c r="C305" i="37"/>
  <c r="F305" i="37"/>
  <c r="A10" i="36"/>
  <c r="B10" i="36"/>
  <c r="C10" i="36"/>
  <c r="A11" i="36"/>
  <c r="B11" i="36"/>
  <c r="C11" i="36"/>
  <c r="A12" i="36"/>
  <c r="B12" i="36"/>
  <c r="C12" i="36"/>
  <c r="A13" i="36"/>
  <c r="B13" i="36"/>
  <c r="C13" i="36"/>
  <c r="A14" i="36"/>
  <c r="B14" i="36"/>
  <c r="C14" i="36"/>
  <c r="A15" i="36"/>
  <c r="B15" i="36"/>
  <c r="C15" i="36"/>
  <c r="A16" i="36"/>
  <c r="B16" i="36"/>
  <c r="C16" i="36"/>
  <c r="A17" i="36"/>
  <c r="B17" i="36"/>
  <c r="C17" i="36"/>
  <c r="A18" i="36"/>
  <c r="B18" i="36"/>
  <c r="C18" i="36"/>
  <c r="A19" i="36"/>
  <c r="B19" i="36"/>
  <c r="C19" i="36"/>
  <c r="A20" i="36"/>
  <c r="B20" i="36"/>
  <c r="C20" i="36"/>
  <c r="A21" i="36"/>
  <c r="B21" i="36"/>
  <c r="C21" i="36"/>
  <c r="A22" i="36"/>
  <c r="B22" i="36"/>
  <c r="C22" i="36"/>
  <c r="A23" i="36"/>
  <c r="B23" i="36"/>
  <c r="C23" i="36"/>
  <c r="A24" i="36"/>
  <c r="B24" i="36"/>
  <c r="C24" i="36"/>
  <c r="A25" i="36"/>
  <c r="B25" i="36"/>
  <c r="C25" i="36"/>
  <c r="A26" i="36"/>
  <c r="B26" i="36"/>
  <c r="C26" i="36"/>
  <c r="A27" i="36"/>
  <c r="B27" i="36"/>
  <c r="C27" i="36"/>
  <c r="A28" i="36"/>
  <c r="B28" i="36"/>
  <c r="C28" i="36"/>
  <c r="A29" i="36"/>
  <c r="B29" i="36"/>
  <c r="C29" i="36"/>
  <c r="A30" i="36"/>
  <c r="B30" i="36"/>
  <c r="C30" i="36"/>
  <c r="A31" i="36"/>
  <c r="B31" i="36"/>
  <c r="C31" i="36"/>
  <c r="A32" i="36"/>
  <c r="B32" i="36"/>
  <c r="C32" i="36"/>
  <c r="A33" i="36"/>
  <c r="B33" i="36"/>
  <c r="C33" i="36"/>
  <c r="A34" i="36"/>
  <c r="B34" i="36"/>
  <c r="C34" i="36"/>
  <c r="A35" i="36"/>
  <c r="B35" i="36"/>
  <c r="C35" i="36"/>
  <c r="A36" i="36"/>
  <c r="B36" i="36"/>
  <c r="C36" i="36"/>
  <c r="A37" i="36"/>
  <c r="B37" i="36"/>
  <c r="C37" i="36"/>
  <c r="A38" i="36"/>
  <c r="B38" i="36"/>
  <c r="C38" i="36"/>
  <c r="A39" i="36"/>
  <c r="B39" i="36"/>
  <c r="C39" i="36"/>
  <c r="A40" i="36"/>
  <c r="B40" i="36"/>
  <c r="C40" i="36"/>
  <c r="A41" i="36"/>
  <c r="B41" i="36"/>
  <c r="C41" i="36"/>
  <c r="A42" i="36"/>
  <c r="B42" i="36"/>
  <c r="C42" i="36"/>
  <c r="A43" i="36"/>
  <c r="B43" i="36"/>
  <c r="C43" i="36"/>
  <c r="A44" i="36"/>
  <c r="B44" i="36"/>
  <c r="C44" i="36"/>
  <c r="A45" i="36"/>
  <c r="B45" i="36"/>
  <c r="C45" i="36"/>
  <c r="A46" i="36"/>
  <c r="B46" i="36"/>
  <c r="C46" i="36"/>
  <c r="A47" i="36"/>
  <c r="B47" i="36"/>
  <c r="C47" i="36"/>
  <c r="A48" i="36"/>
  <c r="B48" i="36"/>
  <c r="C48" i="36"/>
  <c r="A49" i="36"/>
  <c r="B49" i="36"/>
  <c r="C49" i="36"/>
  <c r="A50" i="36"/>
  <c r="B50" i="36"/>
  <c r="C50" i="36"/>
  <c r="A51" i="36"/>
  <c r="B51" i="36"/>
  <c r="C51" i="36"/>
  <c r="A52" i="36"/>
  <c r="B52" i="36"/>
  <c r="C52" i="36"/>
  <c r="A53" i="36"/>
  <c r="B53" i="36"/>
  <c r="C53" i="36"/>
  <c r="A54" i="36"/>
  <c r="B54" i="36"/>
  <c r="C54" i="36"/>
  <c r="A55" i="36"/>
  <c r="B55" i="36"/>
  <c r="C55" i="36"/>
  <c r="A56" i="36"/>
  <c r="B56" i="36"/>
  <c r="C56" i="36"/>
  <c r="A57" i="36"/>
  <c r="B57" i="36"/>
  <c r="C57" i="36"/>
  <c r="A58" i="36"/>
  <c r="B58" i="36"/>
  <c r="C58" i="36"/>
  <c r="A59" i="36"/>
  <c r="B59" i="36"/>
  <c r="C59" i="36"/>
  <c r="A60" i="36"/>
  <c r="B60" i="36"/>
  <c r="C60" i="36"/>
  <c r="A61" i="36"/>
  <c r="B61" i="36"/>
  <c r="C61" i="36"/>
  <c r="A62" i="36"/>
  <c r="B62" i="36"/>
  <c r="C62" i="36"/>
  <c r="A63" i="36"/>
  <c r="B63" i="36"/>
  <c r="C63" i="36"/>
  <c r="A64" i="36"/>
  <c r="B64" i="36"/>
  <c r="C64" i="36"/>
  <c r="A65" i="36"/>
  <c r="B65" i="36"/>
  <c r="C65" i="36"/>
  <c r="A66" i="36"/>
  <c r="B66" i="36"/>
  <c r="C66" i="36"/>
  <c r="A67" i="36"/>
  <c r="B67" i="36"/>
  <c r="C67" i="36"/>
  <c r="A68" i="36"/>
  <c r="B68" i="36"/>
  <c r="C68" i="36"/>
  <c r="A69" i="36"/>
  <c r="B69" i="36"/>
  <c r="C69" i="36"/>
  <c r="A70" i="36"/>
  <c r="B70" i="36"/>
  <c r="C70" i="36"/>
  <c r="A71" i="36"/>
  <c r="B71" i="36"/>
  <c r="C71" i="36"/>
  <c r="A72" i="36"/>
  <c r="B72" i="36"/>
  <c r="C72" i="36"/>
  <c r="A73" i="36"/>
  <c r="B73" i="36"/>
  <c r="C73" i="36"/>
  <c r="A74" i="36"/>
  <c r="B74" i="36"/>
  <c r="C74" i="36"/>
  <c r="A75" i="36"/>
  <c r="B75" i="36"/>
  <c r="C75" i="36"/>
  <c r="A76" i="36"/>
  <c r="B76" i="36"/>
  <c r="C76" i="36"/>
  <c r="A77" i="36"/>
  <c r="B77" i="36"/>
  <c r="C77" i="36"/>
  <c r="A78" i="36"/>
  <c r="B78" i="36"/>
  <c r="C78" i="36"/>
  <c r="A79" i="36"/>
  <c r="B79" i="36"/>
  <c r="C79" i="36"/>
  <c r="A80" i="36"/>
  <c r="B80" i="36"/>
  <c r="C80" i="36"/>
  <c r="A81" i="36"/>
  <c r="B81" i="36"/>
  <c r="C81" i="36"/>
  <c r="A82" i="36"/>
  <c r="B82" i="36"/>
  <c r="C82" i="36"/>
  <c r="A83" i="36"/>
  <c r="B83" i="36"/>
  <c r="C83" i="36"/>
  <c r="A84" i="36"/>
  <c r="B84" i="36"/>
  <c r="C84" i="36"/>
  <c r="A85" i="36"/>
  <c r="B85" i="36"/>
  <c r="C85" i="36"/>
  <c r="A86" i="36"/>
  <c r="B86" i="36"/>
  <c r="C86" i="36"/>
  <c r="A87" i="36"/>
  <c r="B87" i="36"/>
  <c r="C87" i="36"/>
  <c r="A88" i="36"/>
  <c r="B88" i="36"/>
  <c r="C88" i="36"/>
  <c r="A89" i="36"/>
  <c r="B89" i="36"/>
  <c r="C89" i="36"/>
  <c r="A90" i="36"/>
  <c r="B90" i="36"/>
  <c r="C90" i="36"/>
  <c r="A91" i="36"/>
  <c r="B91" i="36"/>
  <c r="C91" i="36"/>
  <c r="A92" i="36"/>
  <c r="B92" i="36"/>
  <c r="C92" i="36"/>
  <c r="A93" i="36"/>
  <c r="B93" i="36"/>
  <c r="C93" i="36"/>
  <c r="A94" i="36"/>
  <c r="B94" i="36"/>
  <c r="C94" i="36"/>
  <c r="A95" i="36"/>
  <c r="B95" i="36"/>
  <c r="C95" i="36"/>
  <c r="A96" i="36"/>
  <c r="B96" i="36"/>
  <c r="C96" i="36"/>
  <c r="A97" i="36"/>
  <c r="B97" i="36"/>
  <c r="C97" i="36"/>
  <c r="A98" i="36"/>
  <c r="B98" i="36"/>
  <c r="C98" i="36"/>
  <c r="A99" i="36"/>
  <c r="B99" i="36"/>
  <c r="C99" i="36"/>
  <c r="A100" i="36"/>
  <c r="B100" i="36"/>
  <c r="C100" i="36"/>
  <c r="A101" i="36"/>
  <c r="B101" i="36"/>
  <c r="C101" i="36"/>
  <c r="A102" i="36"/>
  <c r="B102" i="36"/>
  <c r="C102" i="36"/>
  <c r="A103" i="36"/>
  <c r="B103" i="36"/>
  <c r="C103" i="36"/>
  <c r="A104" i="36"/>
  <c r="B104" i="36"/>
  <c r="C104" i="36"/>
  <c r="A105" i="36"/>
  <c r="B105" i="36"/>
  <c r="C105" i="36"/>
  <c r="A106" i="36"/>
  <c r="B106" i="36"/>
  <c r="C106" i="36"/>
  <c r="A107" i="36"/>
  <c r="B107" i="36"/>
  <c r="C107" i="36"/>
  <c r="A108" i="36"/>
  <c r="B108" i="36"/>
  <c r="C108" i="36"/>
  <c r="A109" i="36"/>
  <c r="B109" i="36"/>
  <c r="C109" i="36"/>
  <c r="A110" i="36"/>
  <c r="B110" i="36"/>
  <c r="C110" i="36"/>
  <c r="A111" i="36"/>
  <c r="B111" i="36"/>
  <c r="C111" i="36"/>
  <c r="A112" i="36"/>
  <c r="B112" i="36"/>
  <c r="C112" i="36"/>
  <c r="A113" i="36"/>
  <c r="B113" i="36"/>
  <c r="C113" i="36"/>
  <c r="A114" i="36"/>
  <c r="B114" i="36"/>
  <c r="C114" i="36"/>
  <c r="A115" i="36"/>
  <c r="B115" i="36"/>
  <c r="C115" i="36"/>
  <c r="A116" i="36"/>
  <c r="B116" i="36"/>
  <c r="C116" i="36"/>
  <c r="A117" i="36"/>
  <c r="B117" i="36"/>
  <c r="C117" i="36"/>
  <c r="A118" i="36"/>
  <c r="B118" i="36"/>
  <c r="C118" i="36"/>
  <c r="A119" i="36"/>
  <c r="B119" i="36"/>
  <c r="C119" i="36"/>
  <c r="A120" i="36"/>
  <c r="B120" i="36"/>
  <c r="C120" i="36"/>
  <c r="A121" i="36"/>
  <c r="B121" i="36"/>
  <c r="C121" i="36"/>
  <c r="A122" i="36"/>
  <c r="B122" i="36"/>
  <c r="C122" i="36"/>
  <c r="A123" i="36"/>
  <c r="B123" i="36"/>
  <c r="C123" i="36"/>
  <c r="A124" i="36"/>
  <c r="B124" i="36"/>
  <c r="C124" i="36"/>
  <c r="A125" i="36"/>
  <c r="B125" i="36"/>
  <c r="C125" i="36"/>
  <c r="A126" i="36"/>
  <c r="B126" i="36"/>
  <c r="C126" i="36"/>
  <c r="A127" i="36"/>
  <c r="B127" i="36"/>
  <c r="C127" i="36"/>
  <c r="A128" i="36"/>
  <c r="B128" i="36"/>
  <c r="C128" i="36"/>
  <c r="A129" i="36"/>
  <c r="B129" i="36"/>
  <c r="C129" i="36"/>
  <c r="A130" i="36"/>
  <c r="B130" i="36"/>
  <c r="C130" i="36"/>
  <c r="A131" i="36"/>
  <c r="B131" i="36"/>
  <c r="C131" i="36"/>
  <c r="A132" i="36"/>
  <c r="B132" i="36"/>
  <c r="C132" i="36"/>
  <c r="A133" i="36"/>
  <c r="B133" i="36"/>
  <c r="C133" i="36"/>
  <c r="A134" i="36"/>
  <c r="B134" i="36"/>
  <c r="C134" i="36"/>
  <c r="A135" i="36"/>
  <c r="B135" i="36"/>
  <c r="C135" i="36"/>
  <c r="A136" i="36"/>
  <c r="B136" i="36"/>
  <c r="C136" i="36"/>
  <c r="A137" i="36"/>
  <c r="B137" i="36"/>
  <c r="C137" i="36"/>
  <c r="A138" i="36"/>
  <c r="B138" i="36"/>
  <c r="C138" i="36"/>
  <c r="A139" i="36"/>
  <c r="B139" i="36"/>
  <c r="C139" i="36"/>
  <c r="A140" i="36"/>
  <c r="B140" i="36"/>
  <c r="C140" i="36"/>
  <c r="A141" i="36"/>
  <c r="B141" i="36"/>
  <c r="C141" i="36"/>
  <c r="A142" i="36"/>
  <c r="B142" i="36"/>
  <c r="C142" i="36"/>
  <c r="A143" i="36"/>
  <c r="B143" i="36"/>
  <c r="C143" i="36"/>
  <c r="A144" i="36"/>
  <c r="B144" i="36"/>
  <c r="C144" i="36"/>
  <c r="A145" i="36"/>
  <c r="B145" i="36"/>
  <c r="C145" i="36"/>
  <c r="A146" i="36"/>
  <c r="B146" i="36"/>
  <c r="C146" i="36"/>
  <c r="A147" i="36"/>
  <c r="B147" i="36"/>
  <c r="C147" i="36"/>
  <c r="A148" i="36"/>
  <c r="B148" i="36"/>
  <c r="C148" i="36"/>
  <c r="A149" i="36"/>
  <c r="B149" i="36"/>
  <c r="C149" i="36"/>
  <c r="A150" i="36"/>
  <c r="B150" i="36"/>
  <c r="C150" i="36"/>
  <c r="A151" i="36"/>
  <c r="B151" i="36"/>
  <c r="C151" i="36"/>
  <c r="A152" i="36"/>
  <c r="B152" i="36"/>
  <c r="C152" i="36"/>
  <c r="A153" i="36"/>
  <c r="B153" i="36"/>
  <c r="C153" i="36"/>
  <c r="A154" i="36"/>
  <c r="B154" i="36"/>
  <c r="C154" i="36"/>
  <c r="A155" i="36"/>
  <c r="B155" i="36"/>
  <c r="C155" i="36"/>
  <c r="A156" i="36"/>
  <c r="B156" i="36"/>
  <c r="C156" i="36"/>
  <c r="A157" i="36"/>
  <c r="B157" i="36"/>
  <c r="C157" i="36"/>
  <c r="A158" i="36"/>
  <c r="B158" i="36"/>
  <c r="C158" i="36"/>
  <c r="A159" i="36"/>
  <c r="B159" i="36"/>
  <c r="C159" i="36"/>
  <c r="A160" i="36"/>
  <c r="B160" i="36"/>
  <c r="C160" i="36"/>
  <c r="A161" i="36"/>
  <c r="B161" i="36"/>
  <c r="C161" i="36"/>
  <c r="A162" i="36"/>
  <c r="B162" i="36"/>
  <c r="C162" i="36"/>
  <c r="A163" i="36"/>
  <c r="B163" i="36"/>
  <c r="C163" i="36"/>
  <c r="A164" i="36"/>
  <c r="B164" i="36"/>
  <c r="C164" i="36"/>
  <c r="A165" i="36"/>
  <c r="B165" i="36"/>
  <c r="C165" i="36"/>
  <c r="A166" i="36"/>
  <c r="B166" i="36"/>
  <c r="C166" i="36"/>
  <c r="A167" i="36"/>
  <c r="B167" i="36"/>
  <c r="C167" i="36"/>
  <c r="A168" i="36"/>
  <c r="B168" i="36"/>
  <c r="C168" i="36"/>
  <c r="A169" i="36"/>
  <c r="B169" i="36"/>
  <c r="C169" i="36"/>
  <c r="A170" i="36"/>
  <c r="B170" i="36"/>
  <c r="C170" i="36"/>
  <c r="A171" i="36"/>
  <c r="B171" i="36"/>
  <c r="C171" i="36"/>
  <c r="A172" i="36"/>
  <c r="B172" i="36"/>
  <c r="C172" i="36"/>
  <c r="A173" i="36"/>
  <c r="B173" i="36"/>
  <c r="C173" i="36"/>
  <c r="A174" i="36"/>
  <c r="B174" i="36"/>
  <c r="C174" i="36"/>
  <c r="A175" i="36"/>
  <c r="B175" i="36"/>
  <c r="C175" i="36"/>
  <c r="A176" i="36"/>
  <c r="B176" i="36"/>
  <c r="C176" i="36"/>
  <c r="A177" i="36"/>
  <c r="B177" i="36"/>
  <c r="C177" i="36"/>
  <c r="A178" i="36"/>
  <c r="B178" i="36"/>
  <c r="C178" i="36"/>
  <c r="A179" i="36"/>
  <c r="B179" i="36"/>
  <c r="C179" i="36"/>
  <c r="A180" i="36"/>
  <c r="B180" i="36"/>
  <c r="C180" i="36"/>
  <c r="A181" i="36"/>
  <c r="B181" i="36"/>
  <c r="C181" i="36"/>
  <c r="A182" i="36"/>
  <c r="B182" i="36"/>
  <c r="C182" i="36"/>
  <c r="A183" i="36"/>
  <c r="B183" i="36"/>
  <c r="C183" i="36"/>
  <c r="A184" i="36"/>
  <c r="B184" i="36"/>
  <c r="C184" i="36"/>
  <c r="A185" i="36"/>
  <c r="B185" i="36"/>
  <c r="C185" i="36"/>
  <c r="A186" i="36"/>
  <c r="B186" i="36"/>
  <c r="C186" i="36"/>
  <c r="A187" i="36"/>
  <c r="B187" i="36"/>
  <c r="C187" i="36"/>
  <c r="A188" i="36"/>
  <c r="B188" i="36"/>
  <c r="C188" i="36"/>
  <c r="A189" i="36"/>
  <c r="B189" i="36"/>
  <c r="C189" i="36"/>
  <c r="A190" i="36"/>
  <c r="B190" i="36"/>
  <c r="C190" i="36"/>
  <c r="A191" i="36"/>
  <c r="B191" i="36"/>
  <c r="C191" i="36"/>
  <c r="A192" i="36"/>
  <c r="B192" i="36"/>
  <c r="C192" i="36"/>
  <c r="A193" i="36"/>
  <c r="B193" i="36"/>
  <c r="C193" i="36"/>
  <c r="A194" i="36"/>
  <c r="B194" i="36"/>
  <c r="C194" i="36"/>
  <c r="A195" i="36"/>
  <c r="B195" i="36"/>
  <c r="C195" i="36"/>
  <c r="A196" i="36"/>
  <c r="B196" i="36"/>
  <c r="C196" i="36"/>
  <c r="A197" i="36"/>
  <c r="B197" i="36"/>
  <c r="C197" i="36"/>
  <c r="A198" i="36"/>
  <c r="B198" i="36"/>
  <c r="C198" i="36"/>
  <c r="A199" i="36"/>
  <c r="B199" i="36"/>
  <c r="C199" i="36"/>
  <c r="A200" i="36"/>
  <c r="B200" i="36"/>
  <c r="C200" i="36"/>
  <c r="A201" i="36"/>
  <c r="B201" i="36"/>
  <c r="C201" i="36"/>
  <c r="A202" i="36"/>
  <c r="B202" i="36"/>
  <c r="C202" i="36"/>
  <c r="A203" i="36"/>
  <c r="B203" i="36"/>
  <c r="C203" i="36"/>
  <c r="A204" i="36"/>
  <c r="B204" i="36"/>
  <c r="C204" i="36"/>
  <c r="A205" i="36"/>
  <c r="B205" i="36"/>
  <c r="C205" i="36"/>
  <c r="A206" i="36"/>
  <c r="B206" i="36"/>
  <c r="C206" i="36"/>
  <c r="A207" i="36"/>
  <c r="B207" i="36"/>
  <c r="C207" i="36"/>
  <c r="A208" i="36"/>
  <c r="B208" i="36"/>
  <c r="C208" i="36"/>
  <c r="A209" i="36"/>
  <c r="B209" i="36"/>
  <c r="C209" i="36"/>
  <c r="A210" i="36"/>
  <c r="B210" i="36"/>
  <c r="C210" i="36"/>
  <c r="A211" i="36"/>
  <c r="B211" i="36"/>
  <c r="C211" i="36"/>
  <c r="A212" i="36"/>
  <c r="B212" i="36"/>
  <c r="C212" i="36"/>
  <c r="A213" i="36"/>
  <c r="B213" i="36"/>
  <c r="C213" i="36"/>
  <c r="A214" i="36"/>
  <c r="B214" i="36"/>
  <c r="C214" i="36"/>
  <c r="A215" i="36"/>
  <c r="B215" i="36"/>
  <c r="C215" i="36"/>
  <c r="A216" i="36"/>
  <c r="B216" i="36"/>
  <c r="C216" i="36"/>
  <c r="A217" i="36"/>
  <c r="B217" i="36"/>
  <c r="C217" i="36"/>
  <c r="A218" i="36"/>
  <c r="B218" i="36"/>
  <c r="C218" i="36"/>
  <c r="A219" i="36"/>
  <c r="B219" i="36"/>
  <c r="C219" i="36"/>
  <c r="A220" i="36"/>
  <c r="B220" i="36"/>
  <c r="C220" i="36"/>
  <c r="A221" i="36"/>
  <c r="B221" i="36"/>
  <c r="C221" i="36"/>
  <c r="A222" i="36"/>
  <c r="B222" i="36"/>
  <c r="C222" i="36"/>
  <c r="A223" i="36"/>
  <c r="B223" i="36"/>
  <c r="C223" i="36"/>
  <c r="A224" i="36"/>
  <c r="B224" i="36"/>
  <c r="C224" i="36"/>
  <c r="A225" i="36"/>
  <c r="B225" i="36"/>
  <c r="C225" i="36"/>
  <c r="A226" i="36"/>
  <c r="B226" i="36"/>
  <c r="C226" i="36"/>
  <c r="A227" i="36"/>
  <c r="B227" i="36"/>
  <c r="C227" i="36"/>
  <c r="A228" i="36"/>
  <c r="B228" i="36"/>
  <c r="C228" i="36"/>
  <c r="A229" i="36"/>
  <c r="B229" i="36"/>
  <c r="C229" i="36"/>
  <c r="A230" i="36"/>
  <c r="B230" i="36"/>
  <c r="C230" i="36"/>
  <c r="A231" i="36"/>
  <c r="B231" i="36"/>
  <c r="C231" i="36"/>
  <c r="A232" i="36"/>
  <c r="B232" i="36"/>
  <c r="C232" i="36"/>
  <c r="A233" i="36"/>
  <c r="B233" i="36"/>
  <c r="C233" i="36"/>
  <c r="A234" i="36"/>
  <c r="B234" i="36"/>
  <c r="C234" i="36"/>
  <c r="A235" i="36"/>
  <c r="B235" i="36"/>
  <c r="C235" i="36"/>
  <c r="A236" i="36"/>
  <c r="B236" i="36"/>
  <c r="C236" i="36"/>
  <c r="A237" i="36"/>
  <c r="B237" i="36"/>
  <c r="C237" i="36"/>
  <c r="A238" i="36"/>
  <c r="B238" i="36"/>
  <c r="C238" i="36"/>
  <c r="A239" i="36"/>
  <c r="B239" i="36"/>
  <c r="C239" i="36"/>
  <c r="A240" i="36"/>
  <c r="B240" i="36"/>
  <c r="C240" i="36"/>
  <c r="A241" i="36"/>
  <c r="B241" i="36"/>
  <c r="C241" i="36"/>
  <c r="A242" i="36"/>
  <c r="B242" i="36"/>
  <c r="C242" i="36"/>
  <c r="A243" i="36"/>
  <c r="B243" i="36"/>
  <c r="C243" i="36"/>
  <c r="A244" i="36"/>
  <c r="B244" i="36"/>
  <c r="C244" i="36"/>
  <c r="A245" i="36"/>
  <c r="B245" i="36"/>
  <c r="C245" i="36"/>
  <c r="A246" i="36"/>
  <c r="B246" i="36"/>
  <c r="C246" i="36"/>
  <c r="A247" i="36"/>
  <c r="B247" i="36"/>
  <c r="C247" i="36"/>
  <c r="A248" i="36"/>
  <c r="B248" i="36"/>
  <c r="C248" i="36"/>
  <c r="A249" i="36"/>
  <c r="B249" i="36"/>
  <c r="C249" i="36"/>
  <c r="A250" i="36"/>
  <c r="B250" i="36"/>
  <c r="C250" i="36"/>
  <c r="A251" i="36"/>
  <c r="B251" i="36"/>
  <c r="C251" i="36"/>
  <c r="A252" i="36"/>
  <c r="B252" i="36"/>
  <c r="C252" i="36"/>
  <c r="A253" i="36"/>
  <c r="B253" i="36"/>
  <c r="C253" i="36"/>
  <c r="A254" i="36"/>
  <c r="B254" i="36"/>
  <c r="C254" i="36"/>
  <c r="A255" i="36"/>
  <c r="B255" i="36"/>
  <c r="C255" i="36"/>
  <c r="A256" i="36"/>
  <c r="B256" i="36"/>
  <c r="C256" i="36"/>
  <c r="A257" i="36"/>
  <c r="B257" i="36"/>
  <c r="C257" i="36"/>
  <c r="A258" i="36"/>
  <c r="B258" i="36"/>
  <c r="C258" i="36"/>
  <c r="A259" i="36"/>
  <c r="B259" i="36"/>
  <c r="C259" i="36"/>
  <c r="A260" i="36"/>
  <c r="B260" i="36"/>
  <c r="C260" i="36"/>
  <c r="A261" i="36"/>
  <c r="B261" i="36"/>
  <c r="C261" i="36"/>
  <c r="A262" i="36"/>
  <c r="B262" i="36"/>
  <c r="C262" i="36"/>
  <c r="A263" i="36"/>
  <c r="B263" i="36"/>
  <c r="C263" i="36"/>
  <c r="A264" i="36"/>
  <c r="B264" i="36"/>
  <c r="C264" i="36"/>
  <c r="A265" i="36"/>
  <c r="B265" i="36"/>
  <c r="C265" i="36"/>
  <c r="A266" i="36"/>
  <c r="B266" i="36"/>
  <c r="C266" i="36"/>
  <c r="A267" i="36"/>
  <c r="B267" i="36"/>
  <c r="C267" i="36"/>
  <c r="A268" i="36"/>
  <c r="B268" i="36"/>
  <c r="C268" i="36"/>
  <c r="A269" i="36"/>
  <c r="B269" i="36"/>
  <c r="C269" i="36"/>
  <c r="A270" i="36"/>
  <c r="B270" i="36"/>
  <c r="C270" i="36"/>
  <c r="A271" i="36"/>
  <c r="B271" i="36"/>
  <c r="C271" i="36"/>
  <c r="A272" i="36"/>
  <c r="B272" i="36"/>
  <c r="C272" i="36"/>
  <c r="A273" i="36"/>
  <c r="B273" i="36"/>
  <c r="C273" i="36"/>
  <c r="A274" i="36"/>
  <c r="B274" i="36"/>
  <c r="C274" i="36"/>
  <c r="A275" i="36"/>
  <c r="B275" i="36"/>
  <c r="C275" i="36"/>
  <c r="A276" i="36"/>
  <c r="B276" i="36"/>
  <c r="C276" i="36"/>
  <c r="A277" i="36"/>
  <c r="B277" i="36"/>
  <c r="C277" i="36"/>
  <c r="A278" i="36"/>
  <c r="B278" i="36"/>
  <c r="C278" i="36"/>
  <c r="A279" i="36"/>
  <c r="B279" i="36"/>
  <c r="C279" i="36"/>
  <c r="A280" i="36"/>
  <c r="B280" i="36"/>
  <c r="C280" i="36"/>
  <c r="A281" i="36"/>
  <c r="B281" i="36"/>
  <c r="C281" i="36"/>
  <c r="A282" i="36"/>
  <c r="B282" i="36"/>
  <c r="C282" i="36"/>
  <c r="A283" i="36"/>
  <c r="B283" i="36"/>
  <c r="C283" i="36"/>
  <c r="A284" i="36"/>
  <c r="B284" i="36"/>
  <c r="C284" i="36"/>
  <c r="A285" i="36"/>
  <c r="B285" i="36"/>
  <c r="C285" i="36"/>
  <c r="A286" i="36"/>
  <c r="B286" i="36"/>
  <c r="C286" i="36"/>
  <c r="A287" i="36"/>
  <c r="B287" i="36"/>
  <c r="C287" i="36"/>
  <c r="A288" i="36"/>
  <c r="B288" i="36"/>
  <c r="C288" i="36"/>
  <c r="A289" i="36"/>
  <c r="B289" i="36"/>
  <c r="C289" i="36"/>
  <c r="A290" i="36"/>
  <c r="B290" i="36"/>
  <c r="C290" i="36"/>
  <c r="A291" i="36"/>
  <c r="B291" i="36"/>
  <c r="C291" i="36"/>
  <c r="A292" i="36"/>
  <c r="B292" i="36"/>
  <c r="C292" i="36"/>
  <c r="A293" i="36"/>
  <c r="B293" i="36"/>
  <c r="C293" i="36"/>
  <c r="A294" i="36"/>
  <c r="B294" i="36"/>
  <c r="C294" i="36"/>
  <c r="A295" i="36"/>
  <c r="B295" i="36"/>
  <c r="C295" i="36"/>
  <c r="A296" i="36"/>
  <c r="B296" i="36"/>
  <c r="C296" i="36"/>
  <c r="A297" i="36"/>
  <c r="B297" i="36"/>
  <c r="C297" i="36"/>
  <c r="A298" i="36"/>
  <c r="B298" i="36"/>
  <c r="C298" i="36"/>
  <c r="A299" i="36"/>
  <c r="B299" i="36"/>
  <c r="C299" i="36"/>
  <c r="A300" i="36"/>
  <c r="B300" i="36"/>
  <c r="C300" i="36"/>
  <c r="A301" i="36"/>
  <c r="B301" i="36"/>
  <c r="C301" i="36"/>
  <c r="A302" i="36"/>
  <c r="B302" i="36"/>
  <c r="C302" i="36"/>
  <c r="A303" i="36"/>
  <c r="B303" i="36"/>
  <c r="C303" i="36"/>
  <c r="A304" i="36"/>
  <c r="B304" i="36"/>
  <c r="C304" i="36"/>
  <c r="A305" i="36"/>
  <c r="B305" i="36"/>
  <c r="C305" i="36"/>
  <c r="A306" i="36"/>
  <c r="B306" i="36"/>
  <c r="C306" i="36"/>
  <c r="A307" i="36"/>
  <c r="B307" i="36"/>
  <c r="C307" i="36"/>
  <c r="A308" i="36"/>
  <c r="B308" i="36"/>
  <c r="C308" i="36"/>
  <c r="A13" i="34"/>
  <c r="B13" i="34"/>
  <c r="D13" i="34"/>
  <c r="A14" i="34"/>
  <c r="B14" i="34"/>
  <c r="D14" i="34"/>
  <c r="A15" i="34"/>
  <c r="B15" i="34"/>
  <c r="D15" i="34"/>
  <c r="A16" i="34"/>
  <c r="B16" i="34"/>
  <c r="D16" i="34"/>
  <c r="A17" i="34"/>
  <c r="B17" i="34"/>
  <c r="D17" i="34"/>
  <c r="A18" i="34"/>
  <c r="B18" i="34"/>
  <c r="D18" i="34"/>
  <c r="A19" i="34"/>
  <c r="B19" i="34"/>
  <c r="D19" i="34"/>
  <c r="A20" i="34"/>
  <c r="B20" i="34"/>
  <c r="D20" i="34"/>
  <c r="A21" i="34"/>
  <c r="B21" i="34"/>
  <c r="D21" i="34"/>
  <c r="A22" i="34"/>
  <c r="B22" i="34"/>
  <c r="D22" i="34"/>
  <c r="A23" i="34"/>
  <c r="B23" i="34"/>
  <c r="D23" i="34"/>
  <c r="A24" i="34"/>
  <c r="B24" i="34"/>
  <c r="D24" i="34"/>
  <c r="A25" i="34"/>
  <c r="B25" i="34"/>
  <c r="D25" i="34"/>
  <c r="A26" i="34"/>
  <c r="B26" i="34"/>
  <c r="D26" i="34"/>
  <c r="A27" i="34"/>
  <c r="B27" i="34"/>
  <c r="D27" i="34"/>
  <c r="A28" i="34"/>
  <c r="B28" i="34"/>
  <c r="D28" i="34"/>
  <c r="A29" i="34"/>
  <c r="B29" i="34"/>
  <c r="D29" i="34"/>
  <c r="A30" i="34"/>
  <c r="B30" i="34"/>
  <c r="D30" i="34"/>
  <c r="A31" i="34"/>
  <c r="B31" i="34"/>
  <c r="D31" i="34"/>
  <c r="A32" i="34"/>
  <c r="B32" i="34"/>
  <c r="D32" i="34"/>
  <c r="A33" i="34"/>
  <c r="B33" i="34"/>
  <c r="D33" i="34"/>
  <c r="A34" i="34"/>
  <c r="B34" i="34"/>
  <c r="D34" i="34"/>
  <c r="A35" i="34"/>
  <c r="B35" i="34"/>
  <c r="D35" i="34"/>
  <c r="A36" i="34"/>
  <c r="B36" i="34"/>
  <c r="D36" i="34"/>
  <c r="A37" i="34"/>
  <c r="B37" i="34"/>
  <c r="D37" i="34"/>
  <c r="A38" i="34"/>
  <c r="B38" i="34"/>
  <c r="D38" i="34"/>
  <c r="A39" i="34"/>
  <c r="B39" i="34"/>
  <c r="D39" i="34"/>
  <c r="A40" i="34"/>
  <c r="B40" i="34"/>
  <c r="D40" i="34"/>
  <c r="A41" i="34"/>
  <c r="B41" i="34"/>
  <c r="D41" i="34"/>
  <c r="A42" i="34"/>
  <c r="B42" i="34"/>
  <c r="D42" i="34"/>
  <c r="A43" i="34"/>
  <c r="B43" i="34"/>
  <c r="D43" i="34"/>
  <c r="A44" i="34"/>
  <c r="B44" i="34"/>
  <c r="D44" i="34"/>
  <c r="A45" i="34"/>
  <c r="B45" i="34"/>
  <c r="D45" i="34"/>
  <c r="A46" i="34"/>
  <c r="B46" i="34"/>
  <c r="D46" i="34"/>
  <c r="A47" i="34"/>
  <c r="B47" i="34"/>
  <c r="D47" i="34"/>
  <c r="A48" i="34"/>
  <c r="B48" i="34"/>
  <c r="D48" i="34"/>
  <c r="A49" i="34"/>
  <c r="B49" i="34"/>
  <c r="D49" i="34"/>
  <c r="A50" i="34"/>
  <c r="B50" i="34"/>
  <c r="D50" i="34"/>
  <c r="A51" i="34"/>
  <c r="B51" i="34"/>
  <c r="D51" i="34"/>
  <c r="A52" i="34"/>
  <c r="B52" i="34"/>
  <c r="D52" i="34"/>
  <c r="A53" i="34"/>
  <c r="B53" i="34"/>
  <c r="D53" i="34"/>
  <c r="A54" i="34"/>
  <c r="B54" i="34"/>
  <c r="D54" i="34"/>
  <c r="A55" i="34"/>
  <c r="B55" i="34"/>
  <c r="D55" i="34"/>
  <c r="A56" i="34"/>
  <c r="B56" i="34"/>
  <c r="D56" i="34"/>
  <c r="A57" i="34"/>
  <c r="B57" i="34"/>
  <c r="D57" i="34"/>
  <c r="A58" i="34"/>
  <c r="B58" i="34"/>
  <c r="D58" i="34"/>
  <c r="A59" i="34"/>
  <c r="B59" i="34"/>
  <c r="D59" i="34"/>
  <c r="A60" i="34"/>
  <c r="B60" i="34"/>
  <c r="D60" i="34"/>
  <c r="A61" i="34"/>
  <c r="B61" i="34"/>
  <c r="D61" i="34"/>
  <c r="A62" i="34"/>
  <c r="B62" i="34"/>
  <c r="D62" i="34"/>
  <c r="A63" i="34"/>
  <c r="B63" i="34"/>
  <c r="D63" i="34"/>
  <c r="A64" i="34"/>
  <c r="B64" i="34"/>
  <c r="D64" i="34"/>
  <c r="A65" i="34"/>
  <c r="B65" i="34"/>
  <c r="D65" i="34"/>
  <c r="A66" i="34"/>
  <c r="B66" i="34"/>
  <c r="D66" i="34"/>
  <c r="A67" i="34"/>
  <c r="B67" i="34"/>
  <c r="D67" i="34"/>
  <c r="A68" i="34"/>
  <c r="B68" i="34"/>
  <c r="D68" i="34"/>
  <c r="A69" i="34"/>
  <c r="B69" i="34"/>
  <c r="D69" i="34"/>
  <c r="A70" i="34"/>
  <c r="B70" i="34"/>
  <c r="D70" i="34"/>
  <c r="A71" i="34"/>
  <c r="B71" i="34"/>
  <c r="D71" i="34"/>
  <c r="A72" i="34"/>
  <c r="B72" i="34"/>
  <c r="D72" i="34"/>
  <c r="A73" i="34"/>
  <c r="B73" i="34"/>
  <c r="D73" i="34"/>
  <c r="A74" i="34"/>
  <c r="B74" i="34"/>
  <c r="D74" i="34"/>
  <c r="A75" i="34"/>
  <c r="B75" i="34"/>
  <c r="D75" i="34"/>
  <c r="A76" i="34"/>
  <c r="B76" i="34"/>
  <c r="D76" i="34"/>
  <c r="A77" i="34"/>
  <c r="B77" i="34"/>
  <c r="D77" i="34"/>
  <c r="A78" i="34"/>
  <c r="B78" i="34"/>
  <c r="D78" i="34"/>
  <c r="A79" i="34"/>
  <c r="B79" i="34"/>
  <c r="D79" i="34"/>
  <c r="A80" i="34"/>
  <c r="B80" i="34"/>
  <c r="D80" i="34"/>
  <c r="A81" i="34"/>
  <c r="B81" i="34"/>
  <c r="D81" i="34"/>
  <c r="A82" i="34"/>
  <c r="B82" i="34"/>
  <c r="D82" i="34"/>
  <c r="A83" i="34"/>
  <c r="B83" i="34"/>
  <c r="D83" i="34"/>
  <c r="A84" i="34"/>
  <c r="B84" i="34"/>
  <c r="D84" i="34"/>
  <c r="A85" i="34"/>
  <c r="B85" i="34"/>
  <c r="D85" i="34"/>
  <c r="A86" i="34"/>
  <c r="B86" i="34"/>
  <c r="D86" i="34"/>
  <c r="A87" i="34"/>
  <c r="B87" i="34"/>
  <c r="D87" i="34"/>
  <c r="A88" i="34"/>
  <c r="B88" i="34"/>
  <c r="D88" i="34"/>
  <c r="A89" i="34"/>
  <c r="B89" i="34"/>
  <c r="D89" i="34"/>
  <c r="A90" i="34"/>
  <c r="B90" i="34"/>
  <c r="D90" i="34"/>
  <c r="A91" i="34"/>
  <c r="B91" i="34"/>
  <c r="D91" i="34"/>
  <c r="A92" i="34"/>
  <c r="B92" i="34"/>
  <c r="D92" i="34"/>
  <c r="A93" i="34"/>
  <c r="B93" i="34"/>
  <c r="D93" i="34"/>
  <c r="A94" i="34"/>
  <c r="B94" i="34"/>
  <c r="D94" i="34"/>
  <c r="A95" i="34"/>
  <c r="B95" i="34"/>
  <c r="D95" i="34"/>
  <c r="A96" i="34"/>
  <c r="B96" i="34"/>
  <c r="D96" i="34"/>
  <c r="A97" i="34"/>
  <c r="B97" i="34"/>
  <c r="D97" i="34"/>
  <c r="A98" i="34"/>
  <c r="B98" i="34"/>
  <c r="D98" i="34"/>
  <c r="A99" i="34"/>
  <c r="B99" i="34"/>
  <c r="D99" i="34"/>
  <c r="A100" i="34"/>
  <c r="B100" i="34"/>
  <c r="D100" i="34"/>
  <c r="A101" i="34"/>
  <c r="B101" i="34"/>
  <c r="D101" i="34"/>
  <c r="A102" i="34"/>
  <c r="B102" i="34"/>
  <c r="D102" i="34"/>
  <c r="A103" i="34"/>
  <c r="B103" i="34"/>
  <c r="D103" i="34"/>
  <c r="A104" i="34"/>
  <c r="B104" i="34"/>
  <c r="D104" i="34"/>
  <c r="A105" i="34"/>
  <c r="B105" i="34"/>
  <c r="D105" i="34"/>
  <c r="A106" i="34"/>
  <c r="B106" i="34"/>
  <c r="D106" i="34"/>
  <c r="A107" i="34"/>
  <c r="B107" i="34"/>
  <c r="D107" i="34"/>
  <c r="A108" i="34"/>
  <c r="B108" i="34"/>
  <c r="D108" i="34"/>
  <c r="A109" i="34"/>
  <c r="B109" i="34"/>
  <c r="D109" i="34"/>
  <c r="A110" i="34"/>
  <c r="B110" i="34"/>
  <c r="D110" i="34"/>
  <c r="A111" i="34"/>
  <c r="B111" i="34"/>
  <c r="D111" i="34"/>
  <c r="A112" i="34"/>
  <c r="B112" i="34"/>
  <c r="D112" i="34"/>
  <c r="A113" i="34"/>
  <c r="B113" i="34"/>
  <c r="D113" i="34"/>
  <c r="A114" i="34"/>
  <c r="B114" i="34"/>
  <c r="D114" i="34"/>
  <c r="A115" i="34"/>
  <c r="B115" i="34"/>
  <c r="D115" i="34"/>
  <c r="A116" i="34"/>
  <c r="B116" i="34"/>
  <c r="D116" i="34"/>
  <c r="A117" i="34"/>
  <c r="B117" i="34"/>
  <c r="D117" i="34"/>
  <c r="A118" i="34"/>
  <c r="B118" i="34"/>
  <c r="D118" i="34"/>
  <c r="A119" i="34"/>
  <c r="B119" i="34"/>
  <c r="D119" i="34"/>
  <c r="A120" i="34"/>
  <c r="B120" i="34"/>
  <c r="D120" i="34"/>
  <c r="A121" i="34"/>
  <c r="B121" i="34"/>
  <c r="D121" i="34"/>
  <c r="A122" i="34"/>
  <c r="B122" i="34"/>
  <c r="D122" i="34"/>
  <c r="A123" i="34"/>
  <c r="B123" i="34"/>
  <c r="D123" i="34"/>
  <c r="A124" i="34"/>
  <c r="B124" i="34"/>
  <c r="D124" i="34"/>
  <c r="A125" i="34"/>
  <c r="B125" i="34"/>
  <c r="D125" i="34"/>
  <c r="A126" i="34"/>
  <c r="B126" i="34"/>
  <c r="D126" i="34"/>
  <c r="A127" i="34"/>
  <c r="B127" i="34"/>
  <c r="D127" i="34"/>
  <c r="A128" i="34"/>
  <c r="B128" i="34"/>
  <c r="D128" i="34"/>
  <c r="A129" i="34"/>
  <c r="B129" i="34"/>
  <c r="D129" i="34"/>
  <c r="A130" i="34"/>
  <c r="B130" i="34"/>
  <c r="D130" i="34"/>
  <c r="A131" i="34"/>
  <c r="B131" i="34"/>
  <c r="D131" i="34"/>
  <c r="A132" i="34"/>
  <c r="B132" i="34"/>
  <c r="D132" i="34"/>
  <c r="A133" i="34"/>
  <c r="B133" i="34"/>
  <c r="D133" i="34"/>
  <c r="A134" i="34"/>
  <c r="B134" i="34"/>
  <c r="D134" i="34"/>
  <c r="A135" i="34"/>
  <c r="B135" i="34"/>
  <c r="D135" i="34"/>
  <c r="A136" i="34"/>
  <c r="B136" i="34"/>
  <c r="D136" i="34"/>
  <c r="A137" i="34"/>
  <c r="B137" i="34"/>
  <c r="D137" i="34"/>
  <c r="A138" i="34"/>
  <c r="B138" i="34"/>
  <c r="D138" i="34"/>
  <c r="A139" i="34"/>
  <c r="B139" i="34"/>
  <c r="D139" i="34"/>
  <c r="A140" i="34"/>
  <c r="B140" i="34"/>
  <c r="D140" i="34"/>
  <c r="A141" i="34"/>
  <c r="B141" i="34"/>
  <c r="D141" i="34"/>
  <c r="A142" i="34"/>
  <c r="B142" i="34"/>
  <c r="D142" i="34"/>
  <c r="A143" i="34"/>
  <c r="B143" i="34"/>
  <c r="D143" i="34"/>
  <c r="A144" i="34"/>
  <c r="B144" i="34"/>
  <c r="D144" i="34"/>
  <c r="A145" i="34"/>
  <c r="B145" i="34"/>
  <c r="D145" i="34"/>
  <c r="A146" i="34"/>
  <c r="B146" i="34"/>
  <c r="D146" i="34"/>
  <c r="A147" i="34"/>
  <c r="B147" i="34"/>
  <c r="D147" i="34"/>
  <c r="A148" i="34"/>
  <c r="B148" i="34"/>
  <c r="D148" i="34"/>
  <c r="A149" i="34"/>
  <c r="B149" i="34"/>
  <c r="D149" i="34"/>
  <c r="A150" i="34"/>
  <c r="B150" i="34"/>
  <c r="D150" i="34"/>
  <c r="A151" i="34"/>
  <c r="B151" i="34"/>
  <c r="D151" i="34"/>
  <c r="A152" i="34"/>
  <c r="B152" i="34"/>
  <c r="D152" i="34"/>
  <c r="A153" i="34"/>
  <c r="B153" i="34"/>
  <c r="D153" i="34"/>
  <c r="A154" i="34"/>
  <c r="B154" i="34"/>
  <c r="D154" i="34"/>
  <c r="A155" i="34"/>
  <c r="B155" i="34"/>
  <c r="D155" i="34"/>
  <c r="A156" i="34"/>
  <c r="B156" i="34"/>
  <c r="D156" i="34"/>
  <c r="A157" i="34"/>
  <c r="B157" i="34"/>
  <c r="D157" i="34"/>
  <c r="A158" i="34"/>
  <c r="B158" i="34"/>
  <c r="D158" i="34"/>
  <c r="A159" i="34"/>
  <c r="B159" i="34"/>
  <c r="D159" i="34"/>
  <c r="A160" i="34"/>
  <c r="B160" i="34"/>
  <c r="D160" i="34"/>
  <c r="A161" i="34"/>
  <c r="B161" i="34"/>
  <c r="D161" i="34"/>
  <c r="A162" i="34"/>
  <c r="B162" i="34"/>
  <c r="D162" i="34"/>
  <c r="A163" i="34"/>
  <c r="B163" i="34"/>
  <c r="D163" i="34"/>
  <c r="A164" i="34"/>
  <c r="B164" i="34"/>
  <c r="D164" i="34"/>
  <c r="A165" i="34"/>
  <c r="B165" i="34"/>
  <c r="D165" i="34"/>
  <c r="A166" i="34"/>
  <c r="B166" i="34"/>
  <c r="D166" i="34"/>
  <c r="A167" i="34"/>
  <c r="B167" i="34"/>
  <c r="D167" i="34"/>
  <c r="A168" i="34"/>
  <c r="B168" i="34"/>
  <c r="D168" i="34"/>
  <c r="A169" i="34"/>
  <c r="B169" i="34"/>
  <c r="D169" i="34"/>
  <c r="A170" i="34"/>
  <c r="B170" i="34"/>
  <c r="D170" i="34"/>
  <c r="A171" i="34"/>
  <c r="B171" i="34"/>
  <c r="D171" i="34"/>
  <c r="A172" i="34"/>
  <c r="B172" i="34"/>
  <c r="D172" i="34"/>
  <c r="A173" i="34"/>
  <c r="B173" i="34"/>
  <c r="D173" i="34"/>
  <c r="A174" i="34"/>
  <c r="B174" i="34"/>
  <c r="D174" i="34"/>
  <c r="A175" i="34"/>
  <c r="B175" i="34"/>
  <c r="D175" i="34"/>
  <c r="A176" i="34"/>
  <c r="B176" i="34"/>
  <c r="D176" i="34"/>
  <c r="A177" i="34"/>
  <c r="B177" i="34"/>
  <c r="D177" i="34"/>
  <c r="A178" i="34"/>
  <c r="B178" i="34"/>
  <c r="D178" i="34"/>
  <c r="A179" i="34"/>
  <c r="B179" i="34"/>
  <c r="D179" i="34"/>
  <c r="A180" i="34"/>
  <c r="B180" i="34"/>
  <c r="D180" i="34"/>
  <c r="A181" i="34"/>
  <c r="B181" i="34"/>
  <c r="D181" i="34"/>
  <c r="A182" i="34"/>
  <c r="B182" i="34"/>
  <c r="D182" i="34"/>
  <c r="A183" i="34"/>
  <c r="B183" i="34"/>
  <c r="D183" i="34"/>
  <c r="A184" i="34"/>
  <c r="B184" i="34"/>
  <c r="D184" i="34"/>
  <c r="A185" i="34"/>
  <c r="B185" i="34"/>
  <c r="D185" i="34"/>
  <c r="A186" i="34"/>
  <c r="B186" i="34"/>
  <c r="D186" i="34"/>
  <c r="A187" i="34"/>
  <c r="B187" i="34"/>
  <c r="D187" i="34"/>
  <c r="A188" i="34"/>
  <c r="B188" i="34"/>
  <c r="D188" i="34"/>
  <c r="A189" i="34"/>
  <c r="B189" i="34"/>
  <c r="D189" i="34"/>
  <c r="A190" i="34"/>
  <c r="B190" i="34"/>
  <c r="D190" i="34"/>
  <c r="A191" i="34"/>
  <c r="B191" i="34"/>
  <c r="D191" i="34"/>
  <c r="A192" i="34"/>
  <c r="B192" i="34"/>
  <c r="D192" i="34"/>
  <c r="A193" i="34"/>
  <c r="B193" i="34"/>
  <c r="D193" i="34"/>
  <c r="A194" i="34"/>
  <c r="B194" i="34"/>
  <c r="D194" i="34"/>
  <c r="A195" i="34"/>
  <c r="B195" i="34"/>
  <c r="D195" i="34"/>
  <c r="A196" i="34"/>
  <c r="B196" i="34"/>
  <c r="D196" i="34"/>
  <c r="A197" i="34"/>
  <c r="B197" i="34"/>
  <c r="D197" i="34"/>
  <c r="A198" i="34"/>
  <c r="B198" i="34"/>
  <c r="D198" i="34"/>
  <c r="A199" i="34"/>
  <c r="B199" i="34"/>
  <c r="D199" i="34"/>
  <c r="A200" i="34"/>
  <c r="B200" i="34"/>
  <c r="D200" i="34"/>
  <c r="A201" i="34"/>
  <c r="B201" i="34"/>
  <c r="D201" i="34"/>
  <c r="A202" i="34"/>
  <c r="B202" i="34"/>
  <c r="D202" i="34"/>
  <c r="A203" i="34"/>
  <c r="B203" i="34"/>
  <c r="D203" i="34"/>
  <c r="A204" i="34"/>
  <c r="B204" i="34"/>
  <c r="D204" i="34"/>
  <c r="A205" i="34"/>
  <c r="B205" i="34"/>
  <c r="D205" i="34"/>
  <c r="A206" i="34"/>
  <c r="B206" i="34"/>
  <c r="D206" i="34"/>
  <c r="A207" i="34"/>
  <c r="B207" i="34"/>
  <c r="D207" i="34"/>
  <c r="A208" i="34"/>
  <c r="B208" i="34"/>
  <c r="D208" i="34"/>
  <c r="A209" i="34"/>
  <c r="B209" i="34"/>
  <c r="D209" i="34"/>
  <c r="A210" i="34"/>
  <c r="B210" i="34"/>
  <c r="D210" i="34"/>
  <c r="A211" i="34"/>
  <c r="B211" i="34"/>
  <c r="D211" i="34"/>
  <c r="A212" i="34"/>
  <c r="B212" i="34"/>
  <c r="D212" i="34"/>
  <c r="A213" i="34"/>
  <c r="B213" i="34"/>
  <c r="D213" i="34"/>
  <c r="A214" i="34"/>
  <c r="B214" i="34"/>
  <c r="D214" i="34"/>
  <c r="A215" i="34"/>
  <c r="B215" i="34"/>
  <c r="D215" i="34"/>
  <c r="A216" i="34"/>
  <c r="B216" i="34"/>
  <c r="D216" i="34"/>
  <c r="A217" i="34"/>
  <c r="B217" i="34"/>
  <c r="D217" i="34"/>
  <c r="A218" i="34"/>
  <c r="B218" i="34"/>
  <c r="D218" i="34"/>
  <c r="A219" i="34"/>
  <c r="B219" i="34"/>
  <c r="D219" i="34"/>
  <c r="A220" i="34"/>
  <c r="B220" i="34"/>
  <c r="D220" i="34"/>
  <c r="A221" i="34"/>
  <c r="B221" i="34"/>
  <c r="D221" i="34"/>
  <c r="A222" i="34"/>
  <c r="B222" i="34"/>
  <c r="D222" i="34"/>
  <c r="A223" i="34"/>
  <c r="B223" i="34"/>
  <c r="D223" i="34"/>
  <c r="A224" i="34"/>
  <c r="B224" i="34"/>
  <c r="D224" i="34"/>
  <c r="A225" i="34"/>
  <c r="B225" i="34"/>
  <c r="D225" i="34"/>
  <c r="A226" i="34"/>
  <c r="B226" i="34"/>
  <c r="D226" i="34"/>
  <c r="A227" i="34"/>
  <c r="B227" i="34"/>
  <c r="D227" i="34"/>
  <c r="A228" i="34"/>
  <c r="B228" i="34"/>
  <c r="D228" i="34"/>
  <c r="A229" i="34"/>
  <c r="B229" i="34"/>
  <c r="D229" i="34"/>
  <c r="A230" i="34"/>
  <c r="B230" i="34"/>
  <c r="D230" i="34"/>
  <c r="A231" i="34"/>
  <c r="B231" i="34"/>
  <c r="D231" i="34"/>
  <c r="A232" i="34"/>
  <c r="B232" i="34"/>
  <c r="D232" i="34"/>
  <c r="A233" i="34"/>
  <c r="B233" i="34"/>
  <c r="D233" i="34"/>
  <c r="A234" i="34"/>
  <c r="B234" i="34"/>
  <c r="D234" i="34"/>
  <c r="A235" i="34"/>
  <c r="B235" i="34"/>
  <c r="D235" i="34"/>
  <c r="A236" i="34"/>
  <c r="B236" i="34"/>
  <c r="D236" i="34"/>
  <c r="A237" i="34"/>
  <c r="B237" i="34"/>
  <c r="D237" i="34"/>
  <c r="A238" i="34"/>
  <c r="B238" i="34"/>
  <c r="D238" i="34"/>
  <c r="A239" i="34"/>
  <c r="B239" i="34"/>
  <c r="D239" i="34"/>
  <c r="A240" i="34"/>
  <c r="B240" i="34"/>
  <c r="D240" i="34"/>
  <c r="A241" i="34"/>
  <c r="B241" i="34"/>
  <c r="D241" i="34"/>
  <c r="A242" i="34"/>
  <c r="B242" i="34"/>
  <c r="D242" i="34"/>
  <c r="A243" i="34"/>
  <c r="B243" i="34"/>
  <c r="D243" i="34"/>
  <c r="A244" i="34"/>
  <c r="B244" i="34"/>
  <c r="D244" i="34"/>
  <c r="A245" i="34"/>
  <c r="B245" i="34"/>
  <c r="D245" i="34"/>
  <c r="A246" i="34"/>
  <c r="B246" i="34"/>
  <c r="D246" i="34"/>
  <c r="A247" i="34"/>
  <c r="B247" i="34"/>
  <c r="D247" i="34"/>
  <c r="A248" i="34"/>
  <c r="B248" i="34"/>
  <c r="D248" i="34"/>
  <c r="A249" i="34"/>
  <c r="B249" i="34"/>
  <c r="D249" i="34"/>
  <c r="A250" i="34"/>
  <c r="B250" i="34"/>
  <c r="D250" i="34"/>
  <c r="A251" i="34"/>
  <c r="B251" i="34"/>
  <c r="D251" i="34"/>
  <c r="A252" i="34"/>
  <c r="B252" i="34"/>
  <c r="D252" i="34"/>
  <c r="A253" i="34"/>
  <c r="B253" i="34"/>
  <c r="D253" i="34"/>
  <c r="A254" i="34"/>
  <c r="B254" i="34"/>
  <c r="D254" i="34"/>
  <c r="A255" i="34"/>
  <c r="B255" i="34"/>
  <c r="D255" i="34"/>
  <c r="A256" i="34"/>
  <c r="B256" i="34"/>
  <c r="D256" i="34"/>
  <c r="A257" i="34"/>
  <c r="B257" i="34"/>
  <c r="D257" i="34"/>
  <c r="A258" i="34"/>
  <c r="B258" i="34"/>
  <c r="D258" i="34"/>
  <c r="A259" i="34"/>
  <c r="B259" i="34"/>
  <c r="D259" i="34"/>
  <c r="A260" i="34"/>
  <c r="B260" i="34"/>
  <c r="D260" i="34"/>
  <c r="A261" i="34"/>
  <c r="B261" i="34"/>
  <c r="D261" i="34"/>
  <c r="A262" i="34"/>
  <c r="B262" i="34"/>
  <c r="D262" i="34"/>
  <c r="A263" i="34"/>
  <c r="B263" i="34"/>
  <c r="D263" i="34"/>
  <c r="A264" i="34"/>
  <c r="B264" i="34"/>
  <c r="D264" i="34"/>
  <c r="A265" i="34"/>
  <c r="B265" i="34"/>
  <c r="D265" i="34"/>
  <c r="A266" i="34"/>
  <c r="B266" i="34"/>
  <c r="D266" i="34"/>
  <c r="A267" i="34"/>
  <c r="B267" i="34"/>
  <c r="D267" i="34"/>
  <c r="A268" i="34"/>
  <c r="B268" i="34"/>
  <c r="D268" i="34"/>
  <c r="A269" i="34"/>
  <c r="B269" i="34"/>
  <c r="D269" i="34"/>
  <c r="A270" i="34"/>
  <c r="B270" i="34"/>
  <c r="D270" i="34"/>
  <c r="A271" i="34"/>
  <c r="B271" i="34"/>
  <c r="D271" i="34"/>
  <c r="A272" i="34"/>
  <c r="B272" i="34"/>
  <c r="D272" i="34"/>
  <c r="A273" i="34"/>
  <c r="B273" i="34"/>
  <c r="D273" i="34"/>
  <c r="A274" i="34"/>
  <c r="B274" i="34"/>
  <c r="D274" i="34"/>
  <c r="A275" i="34"/>
  <c r="B275" i="34"/>
  <c r="D275" i="34"/>
  <c r="A276" i="34"/>
  <c r="B276" i="34"/>
  <c r="D276" i="34"/>
  <c r="A277" i="34"/>
  <c r="B277" i="34"/>
  <c r="D277" i="34"/>
  <c r="A278" i="34"/>
  <c r="B278" i="34"/>
  <c r="D278" i="34"/>
  <c r="A279" i="34"/>
  <c r="B279" i="34"/>
  <c r="D279" i="34"/>
  <c r="A280" i="34"/>
  <c r="B280" i="34"/>
  <c r="D280" i="34"/>
  <c r="A281" i="34"/>
  <c r="B281" i="34"/>
  <c r="D281" i="34"/>
  <c r="A282" i="34"/>
  <c r="B282" i="34"/>
  <c r="D282" i="34"/>
  <c r="A283" i="34"/>
  <c r="B283" i="34"/>
  <c r="D283" i="34"/>
  <c r="A284" i="34"/>
  <c r="B284" i="34"/>
  <c r="D284" i="34"/>
  <c r="A285" i="34"/>
  <c r="B285" i="34"/>
  <c r="D285" i="34"/>
  <c r="A286" i="34"/>
  <c r="B286" i="34"/>
  <c r="D286" i="34"/>
  <c r="A287" i="34"/>
  <c r="B287" i="34"/>
  <c r="D287" i="34"/>
  <c r="A288" i="34"/>
  <c r="B288" i="34"/>
  <c r="D288" i="34"/>
  <c r="A289" i="34"/>
  <c r="B289" i="34"/>
  <c r="D289" i="34"/>
  <c r="A290" i="34"/>
  <c r="B290" i="34"/>
  <c r="D290" i="34"/>
  <c r="A291" i="34"/>
  <c r="B291" i="34"/>
  <c r="D291" i="34"/>
  <c r="A292" i="34"/>
  <c r="B292" i="34"/>
  <c r="D292" i="34"/>
  <c r="A293" i="34"/>
  <c r="B293" i="34"/>
  <c r="D293" i="34"/>
  <c r="A294" i="34"/>
  <c r="B294" i="34"/>
  <c r="D294" i="34"/>
  <c r="A295" i="34"/>
  <c r="B295" i="34"/>
  <c r="D295" i="34"/>
  <c r="A296" i="34"/>
  <c r="B296" i="34"/>
  <c r="D296" i="34"/>
  <c r="A297" i="34"/>
  <c r="B297" i="34"/>
  <c r="D297" i="34"/>
  <c r="A298" i="34"/>
  <c r="B298" i="34"/>
  <c r="D298" i="34"/>
  <c r="A299" i="34"/>
  <c r="B299" i="34"/>
  <c r="D299" i="34"/>
  <c r="A300" i="34"/>
  <c r="B300" i="34"/>
  <c r="D300" i="34"/>
  <c r="A301" i="34"/>
  <c r="B301" i="34"/>
  <c r="D301" i="34"/>
  <c r="A302" i="34"/>
  <c r="B302" i="34"/>
  <c r="D302" i="34"/>
  <c r="A303" i="34"/>
  <c r="B303" i="34"/>
  <c r="D303" i="34"/>
  <c r="A304" i="34"/>
  <c r="B304" i="34"/>
  <c r="D304" i="34"/>
  <c r="A305" i="34"/>
  <c r="B305" i="34"/>
  <c r="D305" i="34"/>
  <c r="A306" i="34"/>
  <c r="B306" i="34"/>
  <c r="D306" i="34"/>
  <c r="A307" i="34"/>
  <c r="B307" i="34"/>
  <c r="D307" i="34"/>
  <c r="A308" i="34"/>
  <c r="B308" i="34"/>
  <c r="D308" i="34"/>
  <c r="A309" i="34"/>
  <c r="B309" i="34"/>
  <c r="D309" i="34"/>
  <c r="A310" i="34"/>
  <c r="B310" i="34"/>
  <c r="D310" i="34"/>
  <c r="A311" i="34"/>
  <c r="B311" i="34"/>
  <c r="D311" i="34"/>
  <c r="A7" i="33"/>
  <c r="B7" i="33"/>
  <c r="D7" i="33"/>
  <c r="A8" i="33"/>
  <c r="B8" i="33"/>
  <c r="D8" i="33"/>
  <c r="A9" i="33"/>
  <c r="B9" i="33"/>
  <c r="D9" i="33"/>
  <c r="A10" i="33"/>
  <c r="B10" i="33"/>
  <c r="D10" i="33"/>
  <c r="A11" i="33"/>
  <c r="B11" i="33"/>
  <c r="D11" i="33"/>
  <c r="A12" i="33"/>
  <c r="B12" i="33"/>
  <c r="D12" i="33"/>
  <c r="A13" i="33"/>
  <c r="B13" i="33"/>
  <c r="D13" i="33"/>
  <c r="A14" i="33"/>
  <c r="B14" i="33"/>
  <c r="D14" i="33"/>
  <c r="A15" i="33"/>
  <c r="B15" i="33"/>
  <c r="D15" i="33"/>
  <c r="A16" i="33"/>
  <c r="B16" i="33"/>
  <c r="D16" i="33"/>
  <c r="A17" i="33"/>
  <c r="B17" i="33"/>
  <c r="D17" i="33"/>
  <c r="A18" i="33"/>
  <c r="B18" i="33"/>
  <c r="D18" i="33"/>
  <c r="A19" i="33"/>
  <c r="B19" i="33"/>
  <c r="D19" i="33"/>
  <c r="A20" i="33"/>
  <c r="B20" i="33"/>
  <c r="D20" i="33"/>
  <c r="A21" i="33"/>
  <c r="B21" i="33"/>
  <c r="D21" i="33"/>
  <c r="A22" i="33"/>
  <c r="B22" i="33"/>
  <c r="D22" i="33"/>
  <c r="A23" i="33"/>
  <c r="B23" i="33"/>
  <c r="D23" i="33"/>
  <c r="A24" i="33"/>
  <c r="B24" i="33"/>
  <c r="D24" i="33"/>
  <c r="A25" i="33"/>
  <c r="B25" i="33"/>
  <c r="D25" i="33"/>
  <c r="A26" i="33"/>
  <c r="B26" i="33"/>
  <c r="D26" i="33"/>
  <c r="A27" i="33"/>
  <c r="B27" i="33"/>
  <c r="D27" i="33"/>
  <c r="A28" i="33"/>
  <c r="B28" i="33"/>
  <c r="D28" i="33"/>
  <c r="A29" i="33"/>
  <c r="B29" i="33"/>
  <c r="D29" i="33"/>
  <c r="A30" i="33"/>
  <c r="B30" i="33"/>
  <c r="D30" i="33"/>
  <c r="A31" i="33"/>
  <c r="B31" i="33"/>
  <c r="D31" i="33"/>
  <c r="A32" i="33"/>
  <c r="B32" i="33"/>
  <c r="D32" i="33"/>
  <c r="A33" i="33"/>
  <c r="B33" i="33"/>
  <c r="D33" i="33"/>
  <c r="A34" i="33"/>
  <c r="B34" i="33"/>
  <c r="D34" i="33"/>
  <c r="A35" i="33"/>
  <c r="B35" i="33"/>
  <c r="D35" i="33"/>
  <c r="A36" i="33"/>
  <c r="B36" i="33"/>
  <c r="D36" i="33"/>
  <c r="A37" i="33"/>
  <c r="B37" i="33"/>
  <c r="D37" i="33"/>
  <c r="A38" i="33"/>
  <c r="B38" i="33"/>
  <c r="D38" i="33"/>
  <c r="A39" i="33"/>
  <c r="B39" i="33"/>
  <c r="D39" i="33"/>
  <c r="A40" i="33"/>
  <c r="B40" i="33"/>
  <c r="D40" i="33"/>
  <c r="A41" i="33"/>
  <c r="B41" i="33"/>
  <c r="D41" i="33"/>
  <c r="A42" i="33"/>
  <c r="B42" i="33"/>
  <c r="D42" i="33"/>
  <c r="A43" i="33"/>
  <c r="B43" i="33"/>
  <c r="D43" i="33"/>
  <c r="A44" i="33"/>
  <c r="B44" i="33"/>
  <c r="D44" i="33"/>
  <c r="A45" i="33"/>
  <c r="B45" i="33"/>
  <c r="D45" i="33"/>
  <c r="A46" i="33"/>
  <c r="B46" i="33"/>
  <c r="D46" i="33"/>
  <c r="A47" i="33"/>
  <c r="B47" i="33"/>
  <c r="D47" i="33"/>
  <c r="A48" i="33"/>
  <c r="B48" i="33"/>
  <c r="D48" i="33"/>
  <c r="A49" i="33"/>
  <c r="B49" i="33"/>
  <c r="D49" i="33"/>
  <c r="A50" i="33"/>
  <c r="B50" i="33"/>
  <c r="D50" i="33"/>
  <c r="A51" i="33"/>
  <c r="B51" i="33"/>
  <c r="D51" i="33"/>
  <c r="A52" i="33"/>
  <c r="B52" i="33"/>
  <c r="D52" i="33"/>
  <c r="A53" i="33"/>
  <c r="B53" i="33"/>
  <c r="D53" i="33"/>
  <c r="A54" i="33"/>
  <c r="B54" i="33"/>
  <c r="D54" i="33"/>
  <c r="A55" i="33"/>
  <c r="B55" i="33"/>
  <c r="D55" i="33"/>
  <c r="A56" i="33"/>
  <c r="B56" i="33"/>
  <c r="D56" i="33"/>
  <c r="A57" i="33"/>
  <c r="B57" i="33"/>
  <c r="D57" i="33"/>
  <c r="A58" i="33"/>
  <c r="B58" i="33"/>
  <c r="D58" i="33"/>
  <c r="A59" i="33"/>
  <c r="B59" i="33"/>
  <c r="D59" i="33"/>
  <c r="A60" i="33"/>
  <c r="B60" i="33"/>
  <c r="D60" i="33"/>
  <c r="A61" i="33"/>
  <c r="B61" i="33"/>
  <c r="D61" i="33"/>
  <c r="A62" i="33"/>
  <c r="B62" i="33"/>
  <c r="D62" i="33"/>
  <c r="A63" i="33"/>
  <c r="B63" i="33"/>
  <c r="D63" i="33"/>
  <c r="A64" i="33"/>
  <c r="B64" i="33"/>
  <c r="D64" i="33"/>
  <c r="A65" i="33"/>
  <c r="B65" i="33"/>
  <c r="D65" i="33"/>
  <c r="A66" i="33"/>
  <c r="B66" i="33"/>
  <c r="D66" i="33"/>
  <c r="A67" i="33"/>
  <c r="B67" i="33"/>
  <c r="D67" i="33"/>
  <c r="A68" i="33"/>
  <c r="B68" i="33"/>
  <c r="D68" i="33"/>
  <c r="A69" i="33"/>
  <c r="B69" i="33"/>
  <c r="D69" i="33"/>
  <c r="A70" i="33"/>
  <c r="B70" i="33"/>
  <c r="D70" i="33"/>
  <c r="A71" i="33"/>
  <c r="B71" i="33"/>
  <c r="D71" i="33"/>
  <c r="A72" i="33"/>
  <c r="B72" i="33"/>
  <c r="D72" i="33"/>
  <c r="A73" i="33"/>
  <c r="B73" i="33"/>
  <c r="D73" i="33"/>
  <c r="A74" i="33"/>
  <c r="B74" i="33"/>
  <c r="D74" i="33"/>
  <c r="A75" i="33"/>
  <c r="B75" i="33"/>
  <c r="D75" i="33"/>
  <c r="A76" i="33"/>
  <c r="B76" i="33"/>
  <c r="D76" i="33"/>
  <c r="A77" i="33"/>
  <c r="B77" i="33"/>
  <c r="D77" i="33"/>
  <c r="A78" i="33"/>
  <c r="B78" i="33"/>
  <c r="D78" i="33"/>
  <c r="A79" i="33"/>
  <c r="B79" i="33"/>
  <c r="D79" i="33"/>
  <c r="A80" i="33"/>
  <c r="B80" i="33"/>
  <c r="D80" i="33"/>
  <c r="A81" i="33"/>
  <c r="B81" i="33"/>
  <c r="D81" i="33"/>
  <c r="A82" i="33"/>
  <c r="B82" i="33"/>
  <c r="D82" i="33"/>
  <c r="A83" i="33"/>
  <c r="B83" i="33"/>
  <c r="D83" i="33"/>
  <c r="A84" i="33"/>
  <c r="B84" i="33"/>
  <c r="D84" i="33"/>
  <c r="A85" i="33"/>
  <c r="B85" i="33"/>
  <c r="D85" i="33"/>
  <c r="A86" i="33"/>
  <c r="B86" i="33"/>
  <c r="D86" i="33"/>
  <c r="A87" i="33"/>
  <c r="B87" i="33"/>
  <c r="D87" i="33"/>
  <c r="A88" i="33"/>
  <c r="B88" i="33"/>
  <c r="D88" i="33"/>
  <c r="A89" i="33"/>
  <c r="B89" i="33"/>
  <c r="D89" i="33"/>
  <c r="A90" i="33"/>
  <c r="B90" i="33"/>
  <c r="D90" i="33"/>
  <c r="A91" i="33"/>
  <c r="B91" i="33"/>
  <c r="D91" i="33"/>
  <c r="A92" i="33"/>
  <c r="B92" i="33"/>
  <c r="D92" i="33"/>
  <c r="A93" i="33"/>
  <c r="B93" i="33"/>
  <c r="D93" i="33"/>
  <c r="A94" i="33"/>
  <c r="B94" i="33"/>
  <c r="D94" i="33"/>
  <c r="A95" i="33"/>
  <c r="B95" i="33"/>
  <c r="D95" i="33"/>
  <c r="A96" i="33"/>
  <c r="B96" i="33"/>
  <c r="D96" i="33"/>
  <c r="A97" i="33"/>
  <c r="B97" i="33"/>
  <c r="D97" i="33"/>
  <c r="A98" i="33"/>
  <c r="B98" i="33"/>
  <c r="D98" i="33"/>
  <c r="A99" i="33"/>
  <c r="B99" i="33"/>
  <c r="D99" i="33"/>
  <c r="A100" i="33"/>
  <c r="B100" i="33"/>
  <c r="D100" i="33"/>
  <c r="A101" i="33"/>
  <c r="B101" i="33"/>
  <c r="D101" i="33"/>
  <c r="A102" i="33"/>
  <c r="B102" i="33"/>
  <c r="D102" i="33"/>
  <c r="A103" i="33"/>
  <c r="B103" i="33"/>
  <c r="D103" i="33"/>
  <c r="A104" i="33"/>
  <c r="B104" i="33"/>
  <c r="D104" i="33"/>
  <c r="A105" i="33"/>
  <c r="B105" i="33"/>
  <c r="D105" i="33"/>
  <c r="A106" i="33"/>
  <c r="B106" i="33"/>
  <c r="D106" i="33"/>
  <c r="A107" i="33"/>
  <c r="B107" i="33"/>
  <c r="D107" i="33"/>
  <c r="A108" i="33"/>
  <c r="B108" i="33"/>
  <c r="D108" i="33"/>
  <c r="A109" i="33"/>
  <c r="B109" i="33"/>
  <c r="D109" i="33"/>
  <c r="A110" i="33"/>
  <c r="B110" i="33"/>
  <c r="D110" i="33"/>
  <c r="A111" i="33"/>
  <c r="B111" i="33"/>
  <c r="D111" i="33"/>
  <c r="A112" i="33"/>
  <c r="B112" i="33"/>
  <c r="D112" i="33"/>
  <c r="A113" i="33"/>
  <c r="B113" i="33"/>
  <c r="D113" i="33"/>
  <c r="A114" i="33"/>
  <c r="B114" i="33"/>
  <c r="D114" i="33"/>
  <c r="A115" i="33"/>
  <c r="B115" i="33"/>
  <c r="D115" i="33"/>
  <c r="A116" i="33"/>
  <c r="B116" i="33"/>
  <c r="D116" i="33"/>
  <c r="A117" i="33"/>
  <c r="B117" i="33"/>
  <c r="D117" i="33"/>
  <c r="A118" i="33"/>
  <c r="B118" i="33"/>
  <c r="D118" i="33"/>
  <c r="A119" i="33"/>
  <c r="B119" i="33"/>
  <c r="D119" i="33"/>
  <c r="A120" i="33"/>
  <c r="B120" i="33"/>
  <c r="D120" i="33"/>
  <c r="A121" i="33"/>
  <c r="B121" i="33"/>
  <c r="D121" i="33"/>
  <c r="A122" i="33"/>
  <c r="B122" i="33"/>
  <c r="D122" i="33"/>
  <c r="A123" i="33"/>
  <c r="B123" i="33"/>
  <c r="D123" i="33"/>
  <c r="A124" i="33"/>
  <c r="B124" i="33"/>
  <c r="D124" i="33"/>
  <c r="A125" i="33"/>
  <c r="B125" i="33"/>
  <c r="D125" i="33"/>
  <c r="A126" i="33"/>
  <c r="B126" i="33"/>
  <c r="D126" i="33"/>
  <c r="A127" i="33"/>
  <c r="B127" i="33"/>
  <c r="D127" i="33"/>
  <c r="A128" i="33"/>
  <c r="B128" i="33"/>
  <c r="D128" i="33"/>
  <c r="A129" i="33"/>
  <c r="B129" i="33"/>
  <c r="D129" i="33"/>
  <c r="A130" i="33"/>
  <c r="B130" i="33"/>
  <c r="D130" i="33"/>
  <c r="A131" i="33"/>
  <c r="B131" i="33"/>
  <c r="D131" i="33"/>
  <c r="A132" i="33"/>
  <c r="B132" i="33"/>
  <c r="D132" i="33"/>
  <c r="A133" i="33"/>
  <c r="B133" i="33"/>
  <c r="D133" i="33"/>
  <c r="A134" i="33"/>
  <c r="B134" i="33"/>
  <c r="D134" i="33"/>
  <c r="A135" i="33"/>
  <c r="B135" i="33"/>
  <c r="D135" i="33"/>
  <c r="A136" i="33"/>
  <c r="B136" i="33"/>
  <c r="D136" i="33"/>
  <c r="A137" i="33"/>
  <c r="B137" i="33"/>
  <c r="D137" i="33"/>
  <c r="A138" i="33"/>
  <c r="B138" i="33"/>
  <c r="D138" i="33"/>
  <c r="A139" i="33"/>
  <c r="B139" i="33"/>
  <c r="D139" i="33"/>
  <c r="A140" i="33"/>
  <c r="B140" i="33"/>
  <c r="D140" i="33"/>
  <c r="A141" i="33"/>
  <c r="B141" i="33"/>
  <c r="D141" i="33"/>
  <c r="A142" i="33"/>
  <c r="B142" i="33"/>
  <c r="D142" i="33"/>
  <c r="A143" i="33"/>
  <c r="B143" i="33"/>
  <c r="D143" i="33"/>
  <c r="A144" i="33"/>
  <c r="B144" i="33"/>
  <c r="D144" i="33"/>
  <c r="A145" i="33"/>
  <c r="B145" i="33"/>
  <c r="D145" i="33"/>
  <c r="A146" i="33"/>
  <c r="B146" i="33"/>
  <c r="D146" i="33"/>
  <c r="A147" i="33"/>
  <c r="B147" i="33"/>
  <c r="D147" i="33"/>
  <c r="A148" i="33"/>
  <c r="B148" i="33"/>
  <c r="D148" i="33"/>
  <c r="A149" i="33"/>
  <c r="B149" i="33"/>
  <c r="D149" i="33"/>
  <c r="A150" i="33"/>
  <c r="B150" i="33"/>
  <c r="D150" i="33"/>
  <c r="A151" i="33"/>
  <c r="B151" i="33"/>
  <c r="D151" i="33"/>
  <c r="A152" i="33"/>
  <c r="B152" i="33"/>
  <c r="D152" i="33"/>
  <c r="A153" i="33"/>
  <c r="B153" i="33"/>
  <c r="D153" i="33"/>
  <c r="A154" i="33"/>
  <c r="B154" i="33"/>
  <c r="D154" i="33"/>
  <c r="A155" i="33"/>
  <c r="B155" i="33"/>
  <c r="D155" i="33"/>
  <c r="A156" i="33"/>
  <c r="B156" i="33"/>
  <c r="D156" i="33"/>
  <c r="A157" i="33"/>
  <c r="B157" i="33"/>
  <c r="D157" i="33"/>
  <c r="A158" i="33"/>
  <c r="B158" i="33"/>
  <c r="D158" i="33"/>
  <c r="A159" i="33"/>
  <c r="B159" i="33"/>
  <c r="D159" i="33"/>
  <c r="A160" i="33"/>
  <c r="B160" i="33"/>
  <c r="D160" i="33"/>
  <c r="A161" i="33"/>
  <c r="B161" i="33"/>
  <c r="D161" i="33"/>
  <c r="A162" i="33"/>
  <c r="B162" i="33"/>
  <c r="D162" i="33"/>
  <c r="A163" i="33"/>
  <c r="B163" i="33"/>
  <c r="D163" i="33"/>
  <c r="A164" i="33"/>
  <c r="B164" i="33"/>
  <c r="D164" i="33"/>
  <c r="A165" i="33"/>
  <c r="B165" i="33"/>
  <c r="D165" i="33"/>
  <c r="A166" i="33"/>
  <c r="B166" i="33"/>
  <c r="D166" i="33"/>
  <c r="A167" i="33"/>
  <c r="B167" i="33"/>
  <c r="D167" i="33"/>
  <c r="A168" i="33"/>
  <c r="B168" i="33"/>
  <c r="D168" i="33"/>
  <c r="A169" i="33"/>
  <c r="B169" i="33"/>
  <c r="D169" i="33"/>
  <c r="A170" i="33"/>
  <c r="B170" i="33"/>
  <c r="D170" i="33"/>
  <c r="A171" i="33"/>
  <c r="B171" i="33"/>
  <c r="D171" i="33"/>
  <c r="A172" i="33"/>
  <c r="B172" i="33"/>
  <c r="D172" i="33"/>
  <c r="A173" i="33"/>
  <c r="B173" i="33"/>
  <c r="D173" i="33"/>
  <c r="A174" i="33"/>
  <c r="B174" i="33"/>
  <c r="D174" i="33"/>
  <c r="A175" i="33"/>
  <c r="B175" i="33"/>
  <c r="D175" i="33"/>
  <c r="A176" i="33"/>
  <c r="B176" i="33"/>
  <c r="D176" i="33"/>
  <c r="A177" i="33"/>
  <c r="B177" i="33"/>
  <c r="D177" i="33"/>
  <c r="A178" i="33"/>
  <c r="B178" i="33"/>
  <c r="D178" i="33"/>
  <c r="A179" i="33"/>
  <c r="B179" i="33"/>
  <c r="D179" i="33"/>
  <c r="A180" i="33"/>
  <c r="B180" i="33"/>
  <c r="D180" i="33"/>
  <c r="A181" i="33"/>
  <c r="B181" i="33"/>
  <c r="D181" i="33"/>
  <c r="A182" i="33"/>
  <c r="B182" i="33"/>
  <c r="D182" i="33"/>
  <c r="A183" i="33"/>
  <c r="B183" i="33"/>
  <c r="D183" i="33"/>
  <c r="A184" i="33"/>
  <c r="B184" i="33"/>
  <c r="D184" i="33"/>
  <c r="A185" i="33"/>
  <c r="B185" i="33"/>
  <c r="D185" i="33"/>
  <c r="A186" i="33"/>
  <c r="B186" i="33"/>
  <c r="D186" i="33"/>
  <c r="A187" i="33"/>
  <c r="B187" i="33"/>
  <c r="D187" i="33"/>
  <c r="A188" i="33"/>
  <c r="B188" i="33"/>
  <c r="D188" i="33"/>
  <c r="A189" i="33"/>
  <c r="B189" i="33"/>
  <c r="D189" i="33"/>
  <c r="A190" i="33"/>
  <c r="B190" i="33"/>
  <c r="D190" i="33"/>
  <c r="A191" i="33"/>
  <c r="B191" i="33"/>
  <c r="D191" i="33"/>
  <c r="A192" i="33"/>
  <c r="B192" i="33"/>
  <c r="D192" i="33"/>
  <c r="A193" i="33"/>
  <c r="B193" i="33"/>
  <c r="D193" i="33"/>
  <c r="A194" i="33"/>
  <c r="B194" i="33"/>
  <c r="D194" i="33"/>
  <c r="A195" i="33"/>
  <c r="B195" i="33"/>
  <c r="D195" i="33"/>
  <c r="A196" i="33"/>
  <c r="B196" i="33"/>
  <c r="D196" i="33"/>
  <c r="A197" i="33"/>
  <c r="B197" i="33"/>
  <c r="D197" i="33"/>
  <c r="A198" i="33"/>
  <c r="B198" i="33"/>
  <c r="D198" i="33"/>
  <c r="A199" i="33"/>
  <c r="B199" i="33"/>
  <c r="D199" i="33"/>
  <c r="A200" i="33"/>
  <c r="B200" i="33"/>
  <c r="D200" i="33"/>
  <c r="A201" i="33"/>
  <c r="B201" i="33"/>
  <c r="D201" i="33"/>
  <c r="A202" i="33"/>
  <c r="B202" i="33"/>
  <c r="D202" i="33"/>
  <c r="A203" i="33"/>
  <c r="B203" i="33"/>
  <c r="D203" i="33"/>
  <c r="A204" i="33"/>
  <c r="B204" i="33"/>
  <c r="D204" i="33"/>
  <c r="A205" i="33"/>
  <c r="B205" i="33"/>
  <c r="D205" i="33"/>
  <c r="A206" i="33"/>
  <c r="B206" i="33"/>
  <c r="D206" i="33"/>
  <c r="A207" i="33"/>
  <c r="B207" i="33"/>
  <c r="D207" i="33"/>
  <c r="A208" i="33"/>
  <c r="B208" i="33"/>
  <c r="D208" i="33"/>
  <c r="A209" i="33"/>
  <c r="B209" i="33"/>
  <c r="D209" i="33"/>
  <c r="A210" i="33"/>
  <c r="B210" i="33"/>
  <c r="D210" i="33"/>
  <c r="A211" i="33"/>
  <c r="B211" i="33"/>
  <c r="D211" i="33"/>
  <c r="A212" i="33"/>
  <c r="B212" i="33"/>
  <c r="D212" i="33"/>
  <c r="A213" i="33"/>
  <c r="B213" i="33"/>
  <c r="D213" i="33"/>
  <c r="A214" i="33"/>
  <c r="B214" i="33"/>
  <c r="D214" i="33"/>
  <c r="A215" i="33"/>
  <c r="B215" i="33"/>
  <c r="D215" i="33"/>
  <c r="A216" i="33"/>
  <c r="B216" i="33"/>
  <c r="D216" i="33"/>
  <c r="A217" i="33"/>
  <c r="B217" i="33"/>
  <c r="D217" i="33"/>
  <c r="A218" i="33"/>
  <c r="B218" i="33"/>
  <c r="D218" i="33"/>
  <c r="A219" i="33"/>
  <c r="B219" i="33"/>
  <c r="D219" i="33"/>
  <c r="A220" i="33"/>
  <c r="B220" i="33"/>
  <c r="D220" i="33"/>
  <c r="A221" i="33"/>
  <c r="B221" i="33"/>
  <c r="D221" i="33"/>
  <c r="A222" i="33"/>
  <c r="B222" i="33"/>
  <c r="D222" i="33"/>
  <c r="A223" i="33"/>
  <c r="B223" i="33"/>
  <c r="D223" i="33"/>
  <c r="A224" i="33"/>
  <c r="B224" i="33"/>
  <c r="D224" i="33"/>
  <c r="A225" i="33"/>
  <c r="B225" i="33"/>
  <c r="D225" i="33"/>
  <c r="A226" i="33"/>
  <c r="B226" i="33"/>
  <c r="D226" i="33"/>
  <c r="A227" i="33"/>
  <c r="B227" i="33"/>
  <c r="D227" i="33"/>
  <c r="A228" i="33"/>
  <c r="B228" i="33"/>
  <c r="D228" i="33"/>
  <c r="A229" i="33"/>
  <c r="B229" i="33"/>
  <c r="D229" i="33"/>
  <c r="A230" i="33"/>
  <c r="B230" i="33"/>
  <c r="D230" i="33"/>
  <c r="A231" i="33"/>
  <c r="B231" i="33"/>
  <c r="D231" i="33"/>
  <c r="A232" i="33"/>
  <c r="B232" i="33"/>
  <c r="D232" i="33"/>
  <c r="A233" i="33"/>
  <c r="B233" i="33"/>
  <c r="D233" i="33"/>
  <c r="A234" i="33"/>
  <c r="B234" i="33"/>
  <c r="D234" i="33"/>
  <c r="A235" i="33"/>
  <c r="B235" i="33"/>
  <c r="D235" i="33"/>
  <c r="A236" i="33"/>
  <c r="B236" i="33"/>
  <c r="D236" i="33"/>
  <c r="A237" i="33"/>
  <c r="B237" i="33"/>
  <c r="D237" i="33"/>
  <c r="A238" i="33"/>
  <c r="B238" i="33"/>
  <c r="D238" i="33"/>
  <c r="A239" i="33"/>
  <c r="B239" i="33"/>
  <c r="D239" i="33"/>
  <c r="A240" i="33"/>
  <c r="B240" i="33"/>
  <c r="D240" i="33"/>
  <c r="A241" i="33"/>
  <c r="B241" i="33"/>
  <c r="D241" i="33"/>
  <c r="A242" i="33"/>
  <c r="B242" i="33"/>
  <c r="D242" i="33"/>
  <c r="A243" i="33"/>
  <c r="B243" i="33"/>
  <c r="D243" i="33"/>
  <c r="A244" i="33"/>
  <c r="B244" i="33"/>
  <c r="D244" i="33"/>
  <c r="A245" i="33"/>
  <c r="B245" i="33"/>
  <c r="D245" i="33"/>
  <c r="A246" i="33"/>
  <c r="B246" i="33"/>
  <c r="D246" i="33"/>
  <c r="A247" i="33"/>
  <c r="B247" i="33"/>
  <c r="D247" i="33"/>
  <c r="A248" i="33"/>
  <c r="B248" i="33"/>
  <c r="D248" i="33"/>
  <c r="A249" i="33"/>
  <c r="B249" i="33"/>
  <c r="D249" i="33"/>
  <c r="A250" i="33"/>
  <c r="B250" i="33"/>
  <c r="D250" i="33"/>
  <c r="A251" i="33"/>
  <c r="B251" i="33"/>
  <c r="D251" i="33"/>
  <c r="A252" i="33"/>
  <c r="B252" i="33"/>
  <c r="D252" i="33"/>
  <c r="A253" i="33"/>
  <c r="B253" i="33"/>
  <c r="D253" i="33"/>
  <c r="A254" i="33"/>
  <c r="B254" i="33"/>
  <c r="D254" i="33"/>
  <c r="A255" i="33"/>
  <c r="B255" i="33"/>
  <c r="D255" i="33"/>
  <c r="A256" i="33"/>
  <c r="B256" i="33"/>
  <c r="D256" i="33"/>
  <c r="A257" i="33"/>
  <c r="B257" i="33"/>
  <c r="D257" i="33"/>
  <c r="A258" i="33"/>
  <c r="B258" i="33"/>
  <c r="D258" i="33"/>
  <c r="A259" i="33"/>
  <c r="B259" i="33"/>
  <c r="D259" i="33"/>
  <c r="A260" i="33"/>
  <c r="B260" i="33"/>
  <c r="D260" i="33"/>
  <c r="A261" i="33"/>
  <c r="B261" i="33"/>
  <c r="D261" i="33"/>
  <c r="A262" i="33"/>
  <c r="B262" i="33"/>
  <c r="D262" i="33"/>
  <c r="A263" i="33"/>
  <c r="B263" i="33"/>
  <c r="D263" i="33"/>
  <c r="A264" i="33"/>
  <c r="B264" i="33"/>
  <c r="D264" i="33"/>
  <c r="A265" i="33"/>
  <c r="B265" i="33"/>
  <c r="D265" i="33"/>
  <c r="A266" i="33"/>
  <c r="B266" i="33"/>
  <c r="D266" i="33"/>
  <c r="A267" i="33"/>
  <c r="B267" i="33"/>
  <c r="D267" i="33"/>
  <c r="A268" i="33"/>
  <c r="B268" i="33"/>
  <c r="D268" i="33"/>
  <c r="A269" i="33"/>
  <c r="B269" i="33"/>
  <c r="D269" i="33"/>
  <c r="A270" i="33"/>
  <c r="B270" i="33"/>
  <c r="D270" i="33"/>
  <c r="A271" i="33"/>
  <c r="B271" i="33"/>
  <c r="D271" i="33"/>
  <c r="A272" i="33"/>
  <c r="B272" i="33"/>
  <c r="D272" i="33"/>
  <c r="A273" i="33"/>
  <c r="B273" i="33"/>
  <c r="D273" i="33"/>
  <c r="A274" i="33"/>
  <c r="B274" i="33"/>
  <c r="D274" i="33"/>
  <c r="A275" i="33"/>
  <c r="B275" i="33"/>
  <c r="D275" i="33"/>
  <c r="A276" i="33"/>
  <c r="B276" i="33"/>
  <c r="D276" i="33"/>
  <c r="A277" i="33"/>
  <c r="B277" i="33"/>
  <c r="D277" i="33"/>
  <c r="A278" i="33"/>
  <c r="B278" i="33"/>
  <c r="D278" i="33"/>
  <c r="A279" i="33"/>
  <c r="B279" i="33"/>
  <c r="D279" i="33"/>
  <c r="A280" i="33"/>
  <c r="B280" i="33"/>
  <c r="D280" i="33"/>
  <c r="A281" i="33"/>
  <c r="B281" i="33"/>
  <c r="D281" i="33"/>
  <c r="A282" i="33"/>
  <c r="B282" i="33"/>
  <c r="D282" i="33"/>
  <c r="A283" i="33"/>
  <c r="B283" i="33"/>
  <c r="D283" i="33"/>
  <c r="A284" i="33"/>
  <c r="B284" i="33"/>
  <c r="D284" i="33"/>
  <c r="A285" i="33"/>
  <c r="B285" i="33"/>
  <c r="D285" i="33"/>
  <c r="A286" i="33"/>
  <c r="B286" i="33"/>
  <c r="D286" i="33"/>
  <c r="A287" i="33"/>
  <c r="B287" i="33"/>
  <c r="D287" i="33"/>
  <c r="A288" i="33"/>
  <c r="B288" i="33"/>
  <c r="D288" i="33"/>
  <c r="A289" i="33"/>
  <c r="B289" i="33"/>
  <c r="D289" i="33"/>
  <c r="A290" i="33"/>
  <c r="B290" i="33"/>
  <c r="D290" i="33"/>
  <c r="A291" i="33"/>
  <c r="B291" i="33"/>
  <c r="D291" i="33"/>
  <c r="A292" i="33"/>
  <c r="B292" i="33"/>
  <c r="D292" i="33"/>
  <c r="A293" i="33"/>
  <c r="B293" i="33"/>
  <c r="D293" i="33"/>
  <c r="A294" i="33"/>
  <c r="B294" i="33"/>
  <c r="D294" i="33"/>
  <c r="A295" i="33"/>
  <c r="B295" i="33"/>
  <c r="D295" i="33"/>
  <c r="A296" i="33"/>
  <c r="B296" i="33"/>
  <c r="D296" i="33"/>
  <c r="A297" i="33"/>
  <c r="B297" i="33"/>
  <c r="D297" i="33"/>
  <c r="A298" i="33"/>
  <c r="B298" i="33"/>
  <c r="D298" i="33"/>
  <c r="A299" i="33"/>
  <c r="B299" i="33"/>
  <c r="D299" i="33"/>
  <c r="A300" i="33"/>
  <c r="B300" i="33"/>
  <c r="D300" i="33"/>
  <c r="A301" i="33"/>
  <c r="B301" i="33"/>
  <c r="D301" i="33"/>
  <c r="A302" i="33"/>
  <c r="B302" i="33"/>
  <c r="D302" i="33"/>
  <c r="A303" i="33"/>
  <c r="B303" i="33"/>
  <c r="D303" i="33"/>
  <c r="A304" i="33"/>
  <c r="B304" i="33"/>
  <c r="D304" i="33"/>
  <c r="A305" i="33"/>
  <c r="B305" i="33"/>
  <c r="D305" i="33"/>
  <c r="A13" i="9"/>
  <c r="B13" i="9"/>
  <c r="D13" i="9"/>
  <c r="E13" i="9"/>
  <c r="A14" i="9"/>
  <c r="B14" i="9"/>
  <c r="D14" i="9"/>
  <c r="E14" i="9"/>
  <c r="A15" i="9"/>
  <c r="B15" i="9"/>
  <c r="D15" i="9"/>
  <c r="E15" i="9"/>
  <c r="A16" i="9"/>
  <c r="B16" i="9"/>
  <c r="D16" i="9"/>
  <c r="E16" i="9"/>
  <c r="A17" i="9"/>
  <c r="B17" i="9"/>
  <c r="D17" i="9"/>
  <c r="E17" i="9"/>
  <c r="A18" i="9"/>
  <c r="B18" i="9"/>
  <c r="D18" i="9"/>
  <c r="E18" i="9"/>
  <c r="A19" i="9"/>
  <c r="B19" i="9"/>
  <c r="D19" i="9"/>
  <c r="E19" i="9"/>
  <c r="A20" i="9"/>
  <c r="B20" i="9"/>
  <c r="D20" i="9"/>
  <c r="E20" i="9"/>
  <c r="A21" i="9"/>
  <c r="B21" i="9"/>
  <c r="D21" i="9"/>
  <c r="E21" i="9"/>
  <c r="A22" i="9"/>
  <c r="B22" i="9"/>
  <c r="D22" i="9"/>
  <c r="E22" i="9"/>
  <c r="A23" i="9"/>
  <c r="B23" i="9"/>
  <c r="D23" i="9"/>
  <c r="E23" i="9"/>
  <c r="A24" i="9"/>
  <c r="B24" i="9"/>
  <c r="D24" i="9"/>
  <c r="E24" i="9"/>
  <c r="A25" i="9"/>
  <c r="B25" i="9"/>
  <c r="D25" i="9"/>
  <c r="E25" i="9"/>
  <c r="A26" i="9"/>
  <c r="B26" i="9"/>
  <c r="D26" i="9"/>
  <c r="E26" i="9"/>
  <c r="A27" i="9"/>
  <c r="B27" i="9"/>
  <c r="D27" i="9"/>
  <c r="E27" i="9"/>
  <c r="A28" i="9"/>
  <c r="B28" i="9"/>
  <c r="D28" i="9"/>
  <c r="E28" i="9"/>
  <c r="A29" i="9"/>
  <c r="B29" i="9"/>
  <c r="D29" i="9"/>
  <c r="E29" i="9"/>
  <c r="A30" i="9"/>
  <c r="B30" i="9"/>
  <c r="D30" i="9"/>
  <c r="E30" i="9"/>
  <c r="A31" i="9"/>
  <c r="B31" i="9"/>
  <c r="D31" i="9"/>
  <c r="E31" i="9"/>
  <c r="A32" i="9"/>
  <c r="B32" i="9"/>
  <c r="D32" i="9"/>
  <c r="E32" i="9"/>
  <c r="A33" i="9"/>
  <c r="B33" i="9"/>
  <c r="D33" i="9"/>
  <c r="E33" i="9"/>
  <c r="A34" i="9"/>
  <c r="B34" i="9"/>
  <c r="D34" i="9"/>
  <c r="E34" i="9"/>
  <c r="A35" i="9"/>
  <c r="B35" i="9"/>
  <c r="D35" i="9"/>
  <c r="E35" i="9"/>
  <c r="A36" i="9"/>
  <c r="B36" i="9"/>
  <c r="D36" i="9"/>
  <c r="E36" i="9"/>
  <c r="A37" i="9"/>
  <c r="B37" i="9"/>
  <c r="D37" i="9"/>
  <c r="E37" i="9"/>
  <c r="A38" i="9"/>
  <c r="B38" i="9"/>
  <c r="D38" i="9"/>
  <c r="E38" i="9"/>
  <c r="A39" i="9"/>
  <c r="B39" i="9"/>
  <c r="D39" i="9"/>
  <c r="E39" i="9"/>
  <c r="A40" i="9"/>
  <c r="B40" i="9"/>
  <c r="D40" i="9"/>
  <c r="E40" i="9"/>
  <c r="A41" i="9"/>
  <c r="B41" i="9"/>
  <c r="D41" i="9"/>
  <c r="E41" i="9"/>
  <c r="A42" i="9"/>
  <c r="B42" i="9"/>
  <c r="D42" i="9"/>
  <c r="E42" i="9"/>
  <c r="A43" i="9"/>
  <c r="B43" i="9"/>
  <c r="D43" i="9"/>
  <c r="E43" i="9"/>
  <c r="A44" i="9"/>
  <c r="B44" i="9"/>
  <c r="D44" i="9"/>
  <c r="E44" i="9"/>
  <c r="A45" i="9"/>
  <c r="B45" i="9"/>
  <c r="D45" i="9"/>
  <c r="E45" i="9"/>
  <c r="A46" i="9"/>
  <c r="B46" i="9"/>
  <c r="D46" i="9"/>
  <c r="E46" i="9"/>
  <c r="A47" i="9"/>
  <c r="B47" i="9"/>
  <c r="D47" i="9"/>
  <c r="E47" i="9"/>
  <c r="A48" i="9"/>
  <c r="B48" i="9"/>
  <c r="D48" i="9"/>
  <c r="E48" i="9"/>
  <c r="A49" i="9"/>
  <c r="B49" i="9"/>
  <c r="D49" i="9"/>
  <c r="E49" i="9"/>
  <c r="A50" i="9"/>
  <c r="B50" i="9"/>
  <c r="D50" i="9"/>
  <c r="E50" i="9"/>
  <c r="A51" i="9"/>
  <c r="B51" i="9"/>
  <c r="D51" i="9"/>
  <c r="E51" i="9"/>
  <c r="A52" i="9"/>
  <c r="B52" i="9"/>
  <c r="D52" i="9"/>
  <c r="E52" i="9"/>
  <c r="A53" i="9"/>
  <c r="B53" i="9"/>
  <c r="D53" i="9"/>
  <c r="E53" i="9"/>
  <c r="A54" i="9"/>
  <c r="B54" i="9"/>
  <c r="D54" i="9"/>
  <c r="E54" i="9"/>
  <c r="A55" i="9"/>
  <c r="B55" i="9"/>
  <c r="D55" i="9"/>
  <c r="E55" i="9"/>
  <c r="A56" i="9"/>
  <c r="B56" i="9"/>
  <c r="D56" i="9"/>
  <c r="E56" i="9"/>
  <c r="A57" i="9"/>
  <c r="B57" i="9"/>
  <c r="D57" i="9"/>
  <c r="E57" i="9"/>
  <c r="A58" i="9"/>
  <c r="B58" i="9"/>
  <c r="D58" i="9"/>
  <c r="E58" i="9"/>
  <c r="A59" i="9"/>
  <c r="B59" i="9"/>
  <c r="D59" i="9"/>
  <c r="E59" i="9"/>
  <c r="A60" i="9"/>
  <c r="B60" i="9"/>
  <c r="D60" i="9"/>
  <c r="E60" i="9"/>
  <c r="A61" i="9"/>
  <c r="B61" i="9"/>
  <c r="D61" i="9"/>
  <c r="E61" i="9"/>
  <c r="A62" i="9"/>
  <c r="B62" i="9"/>
  <c r="D62" i="9"/>
  <c r="E62" i="9"/>
  <c r="A63" i="9"/>
  <c r="B63" i="9"/>
  <c r="D63" i="9"/>
  <c r="E63" i="9"/>
  <c r="A64" i="9"/>
  <c r="B64" i="9"/>
  <c r="D64" i="9"/>
  <c r="E64" i="9"/>
  <c r="A65" i="9"/>
  <c r="B65" i="9"/>
  <c r="D65" i="9"/>
  <c r="E65" i="9"/>
  <c r="A66" i="9"/>
  <c r="B66" i="9"/>
  <c r="D66" i="9"/>
  <c r="E66" i="9"/>
  <c r="A67" i="9"/>
  <c r="B67" i="9"/>
  <c r="D67" i="9"/>
  <c r="E67" i="9"/>
  <c r="A68" i="9"/>
  <c r="B68" i="9"/>
  <c r="D68" i="9"/>
  <c r="E68" i="9"/>
  <c r="A69" i="9"/>
  <c r="B69" i="9"/>
  <c r="D69" i="9"/>
  <c r="E69" i="9"/>
  <c r="A70" i="9"/>
  <c r="B70" i="9"/>
  <c r="D70" i="9"/>
  <c r="E70" i="9"/>
  <c r="A71" i="9"/>
  <c r="B71" i="9"/>
  <c r="D71" i="9"/>
  <c r="E71" i="9"/>
  <c r="A72" i="9"/>
  <c r="B72" i="9"/>
  <c r="D72" i="9"/>
  <c r="E72" i="9"/>
  <c r="A73" i="9"/>
  <c r="B73" i="9"/>
  <c r="D73" i="9"/>
  <c r="E73" i="9"/>
  <c r="A74" i="9"/>
  <c r="B74" i="9"/>
  <c r="D74" i="9"/>
  <c r="E74" i="9"/>
  <c r="A75" i="9"/>
  <c r="B75" i="9"/>
  <c r="D75" i="9"/>
  <c r="E75" i="9"/>
  <c r="A76" i="9"/>
  <c r="B76" i="9"/>
  <c r="D76" i="9"/>
  <c r="E76" i="9"/>
  <c r="A77" i="9"/>
  <c r="B77" i="9"/>
  <c r="D77" i="9"/>
  <c r="E77" i="9"/>
  <c r="A78" i="9"/>
  <c r="B78" i="9"/>
  <c r="D78" i="9"/>
  <c r="E78" i="9"/>
  <c r="A79" i="9"/>
  <c r="B79" i="9"/>
  <c r="D79" i="9"/>
  <c r="E79" i="9"/>
  <c r="A80" i="9"/>
  <c r="B80" i="9"/>
  <c r="D80" i="9"/>
  <c r="E80" i="9"/>
  <c r="A81" i="9"/>
  <c r="B81" i="9"/>
  <c r="D81" i="9"/>
  <c r="E81" i="9"/>
  <c r="A82" i="9"/>
  <c r="B82" i="9"/>
  <c r="D82" i="9"/>
  <c r="E82" i="9"/>
  <c r="A83" i="9"/>
  <c r="B83" i="9"/>
  <c r="D83" i="9"/>
  <c r="E83" i="9"/>
  <c r="A84" i="9"/>
  <c r="B84" i="9"/>
  <c r="D84" i="9"/>
  <c r="E84" i="9"/>
  <c r="A85" i="9"/>
  <c r="B85" i="9"/>
  <c r="D85" i="9"/>
  <c r="E85" i="9"/>
  <c r="A86" i="9"/>
  <c r="B86" i="9"/>
  <c r="D86" i="9"/>
  <c r="E86" i="9"/>
  <c r="A87" i="9"/>
  <c r="B87" i="9"/>
  <c r="D87" i="9"/>
  <c r="E87" i="9"/>
  <c r="A88" i="9"/>
  <c r="B88" i="9"/>
  <c r="D88" i="9"/>
  <c r="E88" i="9"/>
  <c r="A89" i="9"/>
  <c r="B89" i="9"/>
  <c r="D89" i="9"/>
  <c r="E89" i="9"/>
  <c r="A90" i="9"/>
  <c r="B90" i="9"/>
  <c r="D90" i="9"/>
  <c r="E90" i="9"/>
  <c r="A91" i="9"/>
  <c r="B91" i="9"/>
  <c r="D91" i="9"/>
  <c r="E91" i="9"/>
  <c r="A92" i="9"/>
  <c r="B92" i="9"/>
  <c r="D92" i="9"/>
  <c r="E92" i="9"/>
  <c r="A93" i="9"/>
  <c r="B93" i="9"/>
  <c r="D93" i="9"/>
  <c r="E93" i="9"/>
  <c r="A94" i="9"/>
  <c r="B94" i="9"/>
  <c r="D94" i="9"/>
  <c r="E94" i="9"/>
  <c r="A95" i="9"/>
  <c r="B95" i="9"/>
  <c r="D95" i="9"/>
  <c r="E95" i="9"/>
  <c r="A96" i="9"/>
  <c r="B96" i="9"/>
  <c r="D96" i="9"/>
  <c r="E96" i="9"/>
  <c r="A97" i="9"/>
  <c r="B97" i="9"/>
  <c r="D97" i="9"/>
  <c r="E97" i="9"/>
  <c r="A98" i="9"/>
  <c r="B98" i="9"/>
  <c r="D98" i="9"/>
  <c r="E98" i="9"/>
  <c r="A99" i="9"/>
  <c r="B99" i="9"/>
  <c r="D99" i="9"/>
  <c r="E99" i="9"/>
  <c r="A100" i="9"/>
  <c r="B100" i="9"/>
  <c r="D100" i="9"/>
  <c r="E100" i="9"/>
  <c r="A101" i="9"/>
  <c r="B101" i="9"/>
  <c r="D101" i="9"/>
  <c r="E101" i="9"/>
  <c r="A102" i="9"/>
  <c r="B102" i="9"/>
  <c r="D102" i="9"/>
  <c r="E102" i="9"/>
  <c r="A103" i="9"/>
  <c r="B103" i="9"/>
  <c r="D103" i="9"/>
  <c r="E103" i="9"/>
  <c r="A104" i="9"/>
  <c r="B104" i="9"/>
  <c r="D104" i="9"/>
  <c r="E104" i="9"/>
  <c r="A105" i="9"/>
  <c r="B105" i="9"/>
  <c r="D105" i="9"/>
  <c r="E105" i="9"/>
  <c r="A106" i="9"/>
  <c r="B106" i="9"/>
  <c r="D106" i="9"/>
  <c r="E106" i="9"/>
  <c r="A107" i="9"/>
  <c r="B107" i="9"/>
  <c r="D107" i="9"/>
  <c r="E107" i="9"/>
  <c r="A108" i="9"/>
  <c r="B108" i="9"/>
  <c r="D108" i="9"/>
  <c r="E108" i="9"/>
  <c r="A109" i="9"/>
  <c r="B109" i="9"/>
  <c r="D109" i="9"/>
  <c r="E109" i="9"/>
  <c r="A110" i="9"/>
  <c r="B110" i="9"/>
  <c r="D110" i="9"/>
  <c r="E110" i="9"/>
  <c r="A111" i="9"/>
  <c r="B111" i="9"/>
  <c r="D111" i="9"/>
  <c r="E111" i="9"/>
  <c r="A112" i="9"/>
  <c r="B112" i="9"/>
  <c r="D112" i="9"/>
  <c r="E112" i="9"/>
  <c r="A113" i="9"/>
  <c r="B113" i="9"/>
  <c r="D113" i="9"/>
  <c r="E113" i="9"/>
  <c r="A114" i="9"/>
  <c r="B114" i="9"/>
  <c r="D114" i="9"/>
  <c r="E114" i="9"/>
  <c r="A115" i="9"/>
  <c r="B115" i="9"/>
  <c r="D115" i="9"/>
  <c r="E115" i="9"/>
  <c r="A116" i="9"/>
  <c r="B116" i="9"/>
  <c r="D116" i="9"/>
  <c r="E116" i="9"/>
  <c r="A117" i="9"/>
  <c r="B117" i="9"/>
  <c r="D117" i="9"/>
  <c r="E117" i="9"/>
  <c r="A118" i="9"/>
  <c r="B118" i="9"/>
  <c r="D118" i="9"/>
  <c r="E118" i="9"/>
  <c r="A119" i="9"/>
  <c r="B119" i="9"/>
  <c r="D119" i="9"/>
  <c r="E119" i="9"/>
  <c r="A120" i="9"/>
  <c r="B120" i="9"/>
  <c r="D120" i="9"/>
  <c r="E120" i="9"/>
  <c r="A121" i="9"/>
  <c r="B121" i="9"/>
  <c r="D121" i="9"/>
  <c r="E121" i="9"/>
  <c r="A122" i="9"/>
  <c r="B122" i="9"/>
  <c r="D122" i="9"/>
  <c r="E122" i="9"/>
  <c r="A123" i="9"/>
  <c r="B123" i="9"/>
  <c r="D123" i="9"/>
  <c r="E123" i="9"/>
  <c r="A124" i="9"/>
  <c r="B124" i="9"/>
  <c r="D124" i="9"/>
  <c r="E124" i="9"/>
  <c r="A125" i="9"/>
  <c r="B125" i="9"/>
  <c r="D125" i="9"/>
  <c r="E125" i="9"/>
  <c r="A126" i="9"/>
  <c r="B126" i="9"/>
  <c r="D126" i="9"/>
  <c r="E126" i="9"/>
  <c r="A127" i="9"/>
  <c r="B127" i="9"/>
  <c r="D127" i="9"/>
  <c r="E127" i="9"/>
  <c r="A128" i="9"/>
  <c r="B128" i="9"/>
  <c r="D128" i="9"/>
  <c r="E128" i="9"/>
  <c r="A129" i="9"/>
  <c r="B129" i="9"/>
  <c r="D129" i="9"/>
  <c r="E129" i="9"/>
  <c r="A130" i="9"/>
  <c r="B130" i="9"/>
  <c r="D130" i="9"/>
  <c r="E130" i="9"/>
  <c r="A131" i="9"/>
  <c r="B131" i="9"/>
  <c r="D131" i="9"/>
  <c r="E131" i="9"/>
  <c r="A132" i="9"/>
  <c r="B132" i="9"/>
  <c r="D132" i="9"/>
  <c r="E132" i="9"/>
  <c r="A133" i="9"/>
  <c r="B133" i="9"/>
  <c r="D133" i="9"/>
  <c r="E133" i="9"/>
  <c r="A134" i="9"/>
  <c r="B134" i="9"/>
  <c r="D134" i="9"/>
  <c r="E134" i="9"/>
  <c r="A135" i="9"/>
  <c r="B135" i="9"/>
  <c r="D135" i="9"/>
  <c r="E135" i="9"/>
  <c r="A136" i="9"/>
  <c r="B136" i="9"/>
  <c r="D136" i="9"/>
  <c r="E136" i="9"/>
  <c r="A137" i="9"/>
  <c r="B137" i="9"/>
  <c r="D137" i="9"/>
  <c r="E137" i="9"/>
  <c r="A138" i="9"/>
  <c r="B138" i="9"/>
  <c r="D138" i="9"/>
  <c r="E138" i="9"/>
  <c r="A139" i="9"/>
  <c r="B139" i="9"/>
  <c r="D139" i="9"/>
  <c r="E139" i="9"/>
  <c r="A140" i="9"/>
  <c r="B140" i="9"/>
  <c r="D140" i="9"/>
  <c r="E140" i="9"/>
  <c r="A141" i="9"/>
  <c r="B141" i="9"/>
  <c r="D141" i="9"/>
  <c r="E141" i="9"/>
  <c r="A142" i="9"/>
  <c r="B142" i="9"/>
  <c r="D142" i="9"/>
  <c r="E142" i="9"/>
  <c r="A143" i="9"/>
  <c r="B143" i="9"/>
  <c r="D143" i="9"/>
  <c r="E143" i="9"/>
  <c r="A144" i="9"/>
  <c r="B144" i="9"/>
  <c r="D144" i="9"/>
  <c r="E144" i="9"/>
  <c r="A145" i="9"/>
  <c r="B145" i="9"/>
  <c r="D145" i="9"/>
  <c r="E145" i="9"/>
  <c r="A146" i="9"/>
  <c r="B146" i="9"/>
  <c r="D146" i="9"/>
  <c r="E146" i="9"/>
  <c r="A147" i="9"/>
  <c r="B147" i="9"/>
  <c r="D147" i="9"/>
  <c r="E147" i="9"/>
  <c r="A148" i="9"/>
  <c r="B148" i="9"/>
  <c r="D148" i="9"/>
  <c r="E148" i="9"/>
  <c r="A149" i="9"/>
  <c r="B149" i="9"/>
  <c r="D149" i="9"/>
  <c r="E149" i="9"/>
  <c r="A150" i="9"/>
  <c r="B150" i="9"/>
  <c r="D150" i="9"/>
  <c r="E150" i="9"/>
  <c r="A151" i="9"/>
  <c r="B151" i="9"/>
  <c r="D151" i="9"/>
  <c r="E151" i="9"/>
  <c r="A152" i="9"/>
  <c r="B152" i="9"/>
  <c r="D152" i="9"/>
  <c r="E152" i="9"/>
  <c r="A153" i="9"/>
  <c r="B153" i="9"/>
  <c r="D153" i="9"/>
  <c r="E153" i="9"/>
  <c r="A154" i="9"/>
  <c r="B154" i="9"/>
  <c r="D154" i="9"/>
  <c r="E154" i="9"/>
  <c r="A155" i="9"/>
  <c r="B155" i="9"/>
  <c r="D155" i="9"/>
  <c r="E155" i="9"/>
  <c r="A156" i="9"/>
  <c r="B156" i="9"/>
  <c r="D156" i="9"/>
  <c r="E156" i="9"/>
  <c r="A157" i="9"/>
  <c r="B157" i="9"/>
  <c r="D157" i="9"/>
  <c r="E157" i="9"/>
  <c r="A158" i="9"/>
  <c r="B158" i="9"/>
  <c r="D158" i="9"/>
  <c r="E158" i="9"/>
  <c r="A159" i="9"/>
  <c r="B159" i="9"/>
  <c r="D159" i="9"/>
  <c r="E159" i="9"/>
  <c r="A160" i="9"/>
  <c r="B160" i="9"/>
  <c r="D160" i="9"/>
  <c r="E160" i="9"/>
  <c r="A161" i="9"/>
  <c r="B161" i="9"/>
  <c r="D161" i="9"/>
  <c r="E161" i="9"/>
  <c r="A162" i="9"/>
  <c r="B162" i="9"/>
  <c r="D162" i="9"/>
  <c r="E162" i="9"/>
  <c r="A163" i="9"/>
  <c r="B163" i="9"/>
  <c r="D163" i="9"/>
  <c r="E163" i="9"/>
  <c r="A164" i="9"/>
  <c r="B164" i="9"/>
  <c r="D164" i="9"/>
  <c r="E164" i="9"/>
  <c r="A165" i="9"/>
  <c r="B165" i="9"/>
  <c r="D165" i="9"/>
  <c r="E165" i="9"/>
  <c r="A166" i="9"/>
  <c r="B166" i="9"/>
  <c r="D166" i="9"/>
  <c r="E166" i="9"/>
  <c r="A167" i="9"/>
  <c r="B167" i="9"/>
  <c r="D167" i="9"/>
  <c r="E167" i="9"/>
  <c r="A168" i="9"/>
  <c r="B168" i="9"/>
  <c r="D168" i="9"/>
  <c r="E168" i="9"/>
  <c r="A169" i="9"/>
  <c r="B169" i="9"/>
  <c r="D169" i="9"/>
  <c r="E169" i="9"/>
  <c r="A170" i="9"/>
  <c r="B170" i="9"/>
  <c r="D170" i="9"/>
  <c r="E170" i="9"/>
  <c r="A171" i="9"/>
  <c r="B171" i="9"/>
  <c r="D171" i="9"/>
  <c r="E171" i="9"/>
  <c r="A172" i="9"/>
  <c r="B172" i="9"/>
  <c r="D172" i="9"/>
  <c r="E172" i="9"/>
  <c r="A173" i="9"/>
  <c r="B173" i="9"/>
  <c r="D173" i="9"/>
  <c r="E173" i="9"/>
  <c r="A174" i="9"/>
  <c r="B174" i="9"/>
  <c r="D174" i="9"/>
  <c r="E174" i="9"/>
  <c r="A175" i="9"/>
  <c r="B175" i="9"/>
  <c r="D175" i="9"/>
  <c r="E175" i="9"/>
  <c r="A176" i="9"/>
  <c r="B176" i="9"/>
  <c r="D176" i="9"/>
  <c r="E176" i="9"/>
  <c r="A177" i="9"/>
  <c r="B177" i="9"/>
  <c r="D177" i="9"/>
  <c r="E177" i="9"/>
  <c r="A178" i="9"/>
  <c r="B178" i="9"/>
  <c r="D178" i="9"/>
  <c r="E178" i="9"/>
  <c r="A179" i="9"/>
  <c r="B179" i="9"/>
  <c r="D179" i="9"/>
  <c r="E179" i="9"/>
  <c r="A180" i="9"/>
  <c r="B180" i="9"/>
  <c r="D180" i="9"/>
  <c r="E180" i="9"/>
  <c r="A181" i="9"/>
  <c r="B181" i="9"/>
  <c r="D181" i="9"/>
  <c r="E181" i="9"/>
  <c r="A182" i="9"/>
  <c r="B182" i="9"/>
  <c r="D182" i="9"/>
  <c r="E182" i="9"/>
  <c r="A183" i="9"/>
  <c r="B183" i="9"/>
  <c r="D183" i="9"/>
  <c r="E183" i="9"/>
  <c r="A184" i="9"/>
  <c r="B184" i="9"/>
  <c r="D184" i="9"/>
  <c r="E184" i="9"/>
  <c r="A185" i="9"/>
  <c r="B185" i="9"/>
  <c r="D185" i="9"/>
  <c r="E185" i="9"/>
  <c r="A186" i="9"/>
  <c r="B186" i="9"/>
  <c r="D186" i="9"/>
  <c r="E186" i="9"/>
  <c r="A187" i="9"/>
  <c r="B187" i="9"/>
  <c r="D187" i="9"/>
  <c r="E187" i="9"/>
  <c r="A188" i="9"/>
  <c r="B188" i="9"/>
  <c r="D188" i="9"/>
  <c r="E188" i="9"/>
  <c r="A189" i="9"/>
  <c r="B189" i="9"/>
  <c r="D189" i="9"/>
  <c r="E189" i="9"/>
  <c r="A190" i="9"/>
  <c r="B190" i="9"/>
  <c r="D190" i="9"/>
  <c r="E190" i="9"/>
  <c r="A191" i="9"/>
  <c r="B191" i="9"/>
  <c r="D191" i="9"/>
  <c r="E191" i="9"/>
  <c r="A192" i="9"/>
  <c r="B192" i="9"/>
  <c r="D192" i="9"/>
  <c r="E192" i="9"/>
  <c r="A193" i="9"/>
  <c r="B193" i="9"/>
  <c r="D193" i="9"/>
  <c r="E193" i="9"/>
  <c r="A194" i="9"/>
  <c r="B194" i="9"/>
  <c r="D194" i="9"/>
  <c r="E194" i="9"/>
  <c r="A195" i="9"/>
  <c r="B195" i="9"/>
  <c r="D195" i="9"/>
  <c r="E195" i="9"/>
  <c r="A196" i="9"/>
  <c r="B196" i="9"/>
  <c r="D196" i="9"/>
  <c r="E196" i="9"/>
  <c r="A197" i="9"/>
  <c r="B197" i="9"/>
  <c r="D197" i="9"/>
  <c r="E197" i="9"/>
  <c r="A198" i="9"/>
  <c r="B198" i="9"/>
  <c r="D198" i="9"/>
  <c r="E198" i="9"/>
  <c r="A199" i="9"/>
  <c r="B199" i="9"/>
  <c r="D199" i="9"/>
  <c r="E199" i="9"/>
  <c r="A200" i="9"/>
  <c r="B200" i="9"/>
  <c r="D200" i="9"/>
  <c r="E200" i="9"/>
  <c r="A201" i="9"/>
  <c r="B201" i="9"/>
  <c r="D201" i="9"/>
  <c r="E201" i="9"/>
  <c r="A202" i="9"/>
  <c r="B202" i="9"/>
  <c r="D202" i="9"/>
  <c r="E202" i="9"/>
  <c r="A203" i="9"/>
  <c r="B203" i="9"/>
  <c r="D203" i="9"/>
  <c r="E203" i="9"/>
  <c r="A204" i="9"/>
  <c r="B204" i="9"/>
  <c r="D204" i="9"/>
  <c r="E204" i="9"/>
  <c r="A205" i="9"/>
  <c r="B205" i="9"/>
  <c r="D205" i="9"/>
  <c r="E205" i="9"/>
  <c r="A206" i="9"/>
  <c r="B206" i="9"/>
  <c r="D206" i="9"/>
  <c r="E206" i="9"/>
  <c r="A207" i="9"/>
  <c r="B207" i="9"/>
  <c r="D207" i="9"/>
  <c r="E207" i="9"/>
  <c r="A208" i="9"/>
  <c r="B208" i="9"/>
  <c r="D208" i="9"/>
  <c r="E208" i="9"/>
  <c r="A209" i="9"/>
  <c r="B209" i="9"/>
  <c r="D209" i="9"/>
  <c r="E209" i="9"/>
  <c r="A210" i="9"/>
  <c r="B210" i="9"/>
  <c r="D210" i="9"/>
  <c r="E210" i="9"/>
  <c r="A211" i="9"/>
  <c r="B211" i="9"/>
  <c r="D211" i="9"/>
  <c r="E211" i="9"/>
  <c r="A212" i="9"/>
  <c r="B212" i="9"/>
  <c r="D212" i="9"/>
  <c r="E212" i="9"/>
  <c r="A213" i="9"/>
  <c r="B213" i="9"/>
  <c r="D213" i="9"/>
  <c r="E213" i="9"/>
  <c r="A214" i="9"/>
  <c r="B214" i="9"/>
  <c r="D214" i="9"/>
  <c r="E214" i="9"/>
  <c r="A215" i="9"/>
  <c r="B215" i="9"/>
  <c r="D215" i="9"/>
  <c r="E215" i="9"/>
  <c r="A216" i="9"/>
  <c r="B216" i="9"/>
  <c r="D216" i="9"/>
  <c r="E216" i="9"/>
  <c r="A217" i="9"/>
  <c r="B217" i="9"/>
  <c r="D217" i="9"/>
  <c r="E217" i="9"/>
  <c r="A218" i="9"/>
  <c r="B218" i="9"/>
  <c r="D218" i="9"/>
  <c r="E218" i="9"/>
  <c r="A219" i="9"/>
  <c r="B219" i="9"/>
  <c r="D219" i="9"/>
  <c r="E219" i="9"/>
  <c r="A220" i="9"/>
  <c r="B220" i="9"/>
  <c r="D220" i="9"/>
  <c r="E220" i="9"/>
  <c r="A221" i="9"/>
  <c r="B221" i="9"/>
  <c r="D221" i="9"/>
  <c r="E221" i="9"/>
  <c r="A222" i="9"/>
  <c r="B222" i="9"/>
  <c r="D222" i="9"/>
  <c r="E222" i="9"/>
  <c r="A223" i="9"/>
  <c r="B223" i="9"/>
  <c r="D223" i="9"/>
  <c r="E223" i="9"/>
  <c r="A224" i="9"/>
  <c r="B224" i="9"/>
  <c r="D224" i="9"/>
  <c r="E224" i="9"/>
  <c r="A225" i="9"/>
  <c r="B225" i="9"/>
  <c r="D225" i="9"/>
  <c r="E225" i="9"/>
  <c r="A226" i="9"/>
  <c r="B226" i="9"/>
  <c r="D226" i="9"/>
  <c r="E226" i="9"/>
  <c r="A227" i="9"/>
  <c r="B227" i="9"/>
  <c r="D227" i="9"/>
  <c r="E227" i="9"/>
  <c r="A228" i="9"/>
  <c r="B228" i="9"/>
  <c r="D228" i="9"/>
  <c r="E228" i="9"/>
  <c r="A229" i="9"/>
  <c r="B229" i="9"/>
  <c r="D229" i="9"/>
  <c r="E229" i="9"/>
  <c r="A230" i="9"/>
  <c r="B230" i="9"/>
  <c r="D230" i="9"/>
  <c r="E230" i="9"/>
  <c r="A231" i="9"/>
  <c r="B231" i="9"/>
  <c r="D231" i="9"/>
  <c r="E231" i="9"/>
  <c r="A232" i="9"/>
  <c r="B232" i="9"/>
  <c r="D232" i="9"/>
  <c r="E232" i="9"/>
  <c r="A233" i="9"/>
  <c r="B233" i="9"/>
  <c r="D233" i="9"/>
  <c r="E233" i="9"/>
  <c r="A234" i="9"/>
  <c r="B234" i="9"/>
  <c r="D234" i="9"/>
  <c r="E234" i="9"/>
  <c r="A235" i="9"/>
  <c r="B235" i="9"/>
  <c r="D235" i="9"/>
  <c r="E235" i="9"/>
  <c r="A236" i="9"/>
  <c r="B236" i="9"/>
  <c r="D236" i="9"/>
  <c r="E236" i="9"/>
  <c r="A237" i="9"/>
  <c r="B237" i="9"/>
  <c r="D237" i="9"/>
  <c r="E237" i="9"/>
  <c r="A238" i="9"/>
  <c r="B238" i="9"/>
  <c r="D238" i="9"/>
  <c r="E238" i="9"/>
  <c r="A239" i="9"/>
  <c r="B239" i="9"/>
  <c r="D239" i="9"/>
  <c r="E239" i="9"/>
  <c r="A240" i="9"/>
  <c r="B240" i="9"/>
  <c r="D240" i="9"/>
  <c r="E240" i="9"/>
  <c r="A241" i="9"/>
  <c r="B241" i="9"/>
  <c r="D241" i="9"/>
  <c r="E241" i="9"/>
  <c r="A242" i="9"/>
  <c r="B242" i="9"/>
  <c r="D242" i="9"/>
  <c r="E242" i="9"/>
  <c r="A243" i="9"/>
  <c r="B243" i="9"/>
  <c r="D243" i="9"/>
  <c r="E243" i="9"/>
  <c r="A244" i="9"/>
  <c r="B244" i="9"/>
  <c r="D244" i="9"/>
  <c r="E244" i="9"/>
  <c r="A245" i="9"/>
  <c r="B245" i="9"/>
  <c r="D245" i="9"/>
  <c r="E245" i="9"/>
  <c r="A246" i="9"/>
  <c r="B246" i="9"/>
  <c r="D246" i="9"/>
  <c r="E246" i="9"/>
  <c r="A247" i="9"/>
  <c r="B247" i="9"/>
  <c r="D247" i="9"/>
  <c r="E247" i="9"/>
  <c r="A248" i="9"/>
  <c r="B248" i="9"/>
  <c r="D248" i="9"/>
  <c r="E248" i="9"/>
  <c r="A249" i="9"/>
  <c r="B249" i="9"/>
  <c r="D249" i="9"/>
  <c r="E249" i="9"/>
  <c r="A250" i="9"/>
  <c r="B250" i="9"/>
  <c r="D250" i="9"/>
  <c r="E250" i="9"/>
  <c r="A251" i="9"/>
  <c r="B251" i="9"/>
  <c r="D251" i="9"/>
  <c r="E251" i="9"/>
  <c r="A252" i="9"/>
  <c r="B252" i="9"/>
  <c r="D252" i="9"/>
  <c r="E252" i="9"/>
  <c r="A253" i="9"/>
  <c r="B253" i="9"/>
  <c r="D253" i="9"/>
  <c r="E253" i="9"/>
  <c r="A254" i="9"/>
  <c r="B254" i="9"/>
  <c r="D254" i="9"/>
  <c r="E254" i="9"/>
  <c r="A255" i="9"/>
  <c r="B255" i="9"/>
  <c r="D255" i="9"/>
  <c r="E255" i="9"/>
  <c r="A256" i="9"/>
  <c r="B256" i="9"/>
  <c r="D256" i="9"/>
  <c r="E256" i="9"/>
  <c r="A257" i="9"/>
  <c r="B257" i="9"/>
  <c r="D257" i="9"/>
  <c r="E257" i="9"/>
  <c r="A258" i="9"/>
  <c r="B258" i="9"/>
  <c r="D258" i="9"/>
  <c r="E258" i="9"/>
  <c r="A259" i="9"/>
  <c r="B259" i="9"/>
  <c r="D259" i="9"/>
  <c r="E259" i="9"/>
  <c r="A260" i="9"/>
  <c r="B260" i="9"/>
  <c r="D260" i="9"/>
  <c r="E260" i="9"/>
  <c r="A261" i="9"/>
  <c r="B261" i="9"/>
  <c r="D261" i="9"/>
  <c r="E261" i="9"/>
  <c r="A262" i="9"/>
  <c r="B262" i="9"/>
  <c r="D262" i="9"/>
  <c r="E262" i="9"/>
  <c r="A263" i="9"/>
  <c r="B263" i="9"/>
  <c r="D263" i="9"/>
  <c r="E263" i="9"/>
  <c r="A264" i="9"/>
  <c r="B264" i="9"/>
  <c r="D264" i="9"/>
  <c r="E264" i="9"/>
  <c r="A265" i="9"/>
  <c r="B265" i="9"/>
  <c r="D265" i="9"/>
  <c r="E265" i="9"/>
  <c r="A266" i="9"/>
  <c r="B266" i="9"/>
  <c r="D266" i="9"/>
  <c r="E266" i="9"/>
  <c r="A267" i="9"/>
  <c r="B267" i="9"/>
  <c r="D267" i="9"/>
  <c r="E267" i="9"/>
  <c r="A268" i="9"/>
  <c r="B268" i="9"/>
  <c r="D268" i="9"/>
  <c r="E268" i="9"/>
  <c r="A269" i="9"/>
  <c r="B269" i="9"/>
  <c r="D269" i="9"/>
  <c r="E269" i="9"/>
  <c r="A270" i="9"/>
  <c r="B270" i="9"/>
  <c r="D270" i="9"/>
  <c r="E270" i="9"/>
  <c r="A271" i="9"/>
  <c r="B271" i="9"/>
  <c r="D271" i="9"/>
  <c r="E271" i="9"/>
  <c r="A272" i="9"/>
  <c r="B272" i="9"/>
  <c r="D272" i="9"/>
  <c r="E272" i="9"/>
  <c r="A273" i="9"/>
  <c r="B273" i="9"/>
  <c r="D273" i="9"/>
  <c r="E273" i="9"/>
  <c r="A274" i="9"/>
  <c r="B274" i="9"/>
  <c r="D274" i="9"/>
  <c r="E274" i="9"/>
  <c r="A275" i="9"/>
  <c r="B275" i="9"/>
  <c r="D275" i="9"/>
  <c r="E275" i="9"/>
  <c r="A276" i="9"/>
  <c r="B276" i="9"/>
  <c r="D276" i="9"/>
  <c r="E276" i="9"/>
  <c r="A277" i="9"/>
  <c r="B277" i="9"/>
  <c r="D277" i="9"/>
  <c r="E277" i="9"/>
  <c r="A278" i="9"/>
  <c r="B278" i="9"/>
  <c r="D278" i="9"/>
  <c r="E278" i="9"/>
  <c r="A279" i="9"/>
  <c r="B279" i="9"/>
  <c r="D279" i="9"/>
  <c r="E279" i="9"/>
  <c r="A280" i="9"/>
  <c r="B280" i="9"/>
  <c r="D280" i="9"/>
  <c r="E280" i="9"/>
  <c r="A281" i="9"/>
  <c r="B281" i="9"/>
  <c r="D281" i="9"/>
  <c r="E281" i="9"/>
  <c r="A282" i="9"/>
  <c r="B282" i="9"/>
  <c r="D282" i="9"/>
  <c r="E282" i="9"/>
  <c r="A283" i="9"/>
  <c r="B283" i="9"/>
  <c r="D283" i="9"/>
  <c r="E283" i="9"/>
  <c r="A284" i="9"/>
  <c r="B284" i="9"/>
  <c r="D284" i="9"/>
  <c r="E284" i="9"/>
  <c r="A285" i="9"/>
  <c r="B285" i="9"/>
  <c r="D285" i="9"/>
  <c r="E285" i="9"/>
  <c r="A286" i="9"/>
  <c r="B286" i="9"/>
  <c r="D286" i="9"/>
  <c r="E286" i="9"/>
  <c r="A287" i="9"/>
  <c r="B287" i="9"/>
  <c r="D287" i="9"/>
  <c r="E287" i="9"/>
  <c r="A288" i="9"/>
  <c r="B288" i="9"/>
  <c r="D288" i="9"/>
  <c r="E288" i="9"/>
  <c r="A289" i="9"/>
  <c r="B289" i="9"/>
  <c r="D289" i="9"/>
  <c r="E289" i="9"/>
  <c r="A290" i="9"/>
  <c r="B290" i="9"/>
  <c r="D290" i="9"/>
  <c r="E290" i="9"/>
  <c r="A291" i="9"/>
  <c r="B291" i="9"/>
  <c r="D291" i="9"/>
  <c r="E291" i="9"/>
  <c r="A292" i="9"/>
  <c r="B292" i="9"/>
  <c r="D292" i="9"/>
  <c r="E292" i="9"/>
  <c r="A293" i="9"/>
  <c r="B293" i="9"/>
  <c r="D293" i="9"/>
  <c r="E293" i="9"/>
  <c r="A294" i="9"/>
  <c r="B294" i="9"/>
  <c r="D294" i="9"/>
  <c r="E294" i="9"/>
  <c r="A295" i="9"/>
  <c r="B295" i="9"/>
  <c r="D295" i="9"/>
  <c r="E295" i="9"/>
  <c r="A296" i="9"/>
  <c r="B296" i="9"/>
  <c r="D296" i="9"/>
  <c r="E296" i="9"/>
  <c r="A297" i="9"/>
  <c r="B297" i="9"/>
  <c r="D297" i="9"/>
  <c r="E297" i="9"/>
  <c r="A298" i="9"/>
  <c r="B298" i="9"/>
  <c r="D298" i="9"/>
  <c r="E298" i="9"/>
  <c r="A299" i="9"/>
  <c r="B299" i="9"/>
  <c r="D299" i="9"/>
  <c r="E299" i="9"/>
  <c r="A300" i="9"/>
  <c r="B300" i="9"/>
  <c r="D300" i="9"/>
  <c r="E300" i="9"/>
  <c r="A301" i="9"/>
  <c r="B301" i="9"/>
  <c r="D301" i="9"/>
  <c r="E301" i="9"/>
  <c r="A302" i="9"/>
  <c r="B302" i="9"/>
  <c r="D302" i="9"/>
  <c r="E302" i="9"/>
  <c r="A303" i="9"/>
  <c r="B303" i="9"/>
  <c r="D303" i="9"/>
  <c r="E303" i="9"/>
  <c r="A304" i="9"/>
  <c r="B304" i="9"/>
  <c r="D304" i="9"/>
  <c r="E304" i="9"/>
  <c r="A305" i="9"/>
  <c r="B305" i="9"/>
  <c r="D305" i="9"/>
  <c r="E305" i="9"/>
  <c r="A306" i="9"/>
  <c r="B306" i="9"/>
  <c r="D306" i="9"/>
  <c r="E306" i="9"/>
  <c r="A307" i="9"/>
  <c r="B307" i="9"/>
  <c r="D307" i="9"/>
  <c r="E307" i="9"/>
  <c r="A308" i="9"/>
  <c r="B308" i="9"/>
  <c r="D308" i="9"/>
  <c r="E308" i="9"/>
  <c r="A309" i="9"/>
  <c r="B309" i="9"/>
  <c r="D309" i="9"/>
  <c r="E309" i="9"/>
  <c r="A310" i="9"/>
  <c r="B310" i="9"/>
  <c r="D310" i="9"/>
  <c r="E310" i="9"/>
  <c r="A311" i="9"/>
  <c r="B311" i="9"/>
  <c r="D311" i="9"/>
  <c r="E311" i="9"/>
  <c r="A7" i="19"/>
  <c r="B7" i="19"/>
  <c r="C7" i="19"/>
  <c r="L7" i="19" s="1"/>
  <c r="D7" i="19"/>
  <c r="E7" i="19"/>
  <c r="F7" i="19"/>
  <c r="G7" i="19"/>
  <c r="H7" i="19"/>
  <c r="I7" i="19"/>
  <c r="J7" i="19"/>
  <c r="K7" i="19"/>
  <c r="M7" i="19"/>
  <c r="N7" i="19"/>
  <c r="O7" i="19"/>
  <c r="Q7" i="19"/>
  <c r="A8" i="19"/>
  <c r="B8" i="19"/>
  <c r="C8" i="19"/>
  <c r="D8" i="19"/>
  <c r="E8" i="19"/>
  <c r="F8" i="19"/>
  <c r="G8" i="19"/>
  <c r="H8" i="19"/>
  <c r="I8" i="19"/>
  <c r="J8" i="19"/>
  <c r="K8" i="19"/>
  <c r="M8" i="19"/>
  <c r="N8" i="19"/>
  <c r="O8" i="19"/>
  <c r="Q8" i="19"/>
  <c r="A9" i="19"/>
  <c r="B9" i="19"/>
  <c r="C9" i="19"/>
  <c r="D9" i="19"/>
  <c r="E9" i="19"/>
  <c r="F9" i="19"/>
  <c r="G9" i="19"/>
  <c r="H9" i="19"/>
  <c r="I9" i="19"/>
  <c r="J9" i="19"/>
  <c r="K9" i="19"/>
  <c r="L9" i="19"/>
  <c r="F9" i="49" s="1"/>
  <c r="G9" i="49" s="1"/>
  <c r="M9" i="19"/>
  <c r="N9" i="19"/>
  <c r="O9" i="19"/>
  <c r="P9" i="19"/>
  <c r="R9" i="19" s="1"/>
  <c r="C15" i="9" s="1"/>
  <c r="Q9" i="19"/>
  <c r="A10" i="19"/>
  <c r="B10" i="19"/>
  <c r="C10" i="19"/>
  <c r="D10" i="19"/>
  <c r="E10" i="19"/>
  <c r="F10" i="19"/>
  <c r="G10" i="19"/>
  <c r="H10" i="19"/>
  <c r="I10" i="19"/>
  <c r="J10" i="19"/>
  <c r="K10" i="19"/>
  <c r="M10" i="19"/>
  <c r="N10" i="19"/>
  <c r="O10" i="19"/>
  <c r="Q10" i="19"/>
  <c r="A11" i="19"/>
  <c r="B11" i="19"/>
  <c r="C11" i="19"/>
  <c r="D11" i="19"/>
  <c r="E11" i="19"/>
  <c r="F11" i="19"/>
  <c r="G11" i="19"/>
  <c r="H11" i="19"/>
  <c r="I11" i="19"/>
  <c r="J11" i="19"/>
  <c r="K11" i="19"/>
  <c r="L11" i="19"/>
  <c r="F11" i="49" s="1"/>
  <c r="G11" i="49" s="1"/>
  <c r="M11" i="19"/>
  <c r="N11" i="19"/>
  <c r="O11" i="19"/>
  <c r="P11" i="19"/>
  <c r="R11" i="19" s="1"/>
  <c r="C17" i="9" s="1"/>
  <c r="Q11" i="19"/>
  <c r="A12" i="19"/>
  <c r="B12" i="19"/>
  <c r="C12" i="19"/>
  <c r="D12" i="19"/>
  <c r="E12" i="19"/>
  <c r="F12" i="19"/>
  <c r="G12" i="19"/>
  <c r="H12" i="19"/>
  <c r="I12" i="19"/>
  <c r="J12" i="19"/>
  <c r="K12" i="19"/>
  <c r="M12" i="19"/>
  <c r="N12" i="19"/>
  <c r="O12" i="19"/>
  <c r="Q12" i="19"/>
  <c r="A13" i="19"/>
  <c r="B13" i="19"/>
  <c r="C13" i="19"/>
  <c r="D13" i="19"/>
  <c r="E13" i="19"/>
  <c r="F13" i="19"/>
  <c r="G13" i="19"/>
  <c r="H13" i="19"/>
  <c r="I13" i="19"/>
  <c r="J13" i="19"/>
  <c r="K13" i="19"/>
  <c r="L13" i="19"/>
  <c r="F13" i="49" s="1"/>
  <c r="G13" i="49" s="1"/>
  <c r="M13" i="19"/>
  <c r="N13" i="19"/>
  <c r="O13" i="19"/>
  <c r="P13" i="19"/>
  <c r="R13" i="19" s="1"/>
  <c r="C13" i="33" s="1"/>
  <c r="Q13" i="19"/>
  <c r="A14" i="19"/>
  <c r="B14" i="19"/>
  <c r="C14" i="19"/>
  <c r="D14" i="19"/>
  <c r="E14" i="19"/>
  <c r="F14" i="19"/>
  <c r="G14" i="19"/>
  <c r="H14" i="19"/>
  <c r="I14" i="19"/>
  <c r="J14" i="19"/>
  <c r="K14" i="19"/>
  <c r="M14" i="19"/>
  <c r="N14" i="19"/>
  <c r="O14" i="19"/>
  <c r="Q14" i="19"/>
  <c r="A15" i="19"/>
  <c r="B15" i="19"/>
  <c r="C15" i="19"/>
  <c r="D15" i="19"/>
  <c r="E15" i="19"/>
  <c r="F15" i="19"/>
  <c r="G15" i="19"/>
  <c r="H15" i="19"/>
  <c r="I15" i="19"/>
  <c r="J15" i="19"/>
  <c r="K15" i="19"/>
  <c r="L15" i="19"/>
  <c r="F15" i="49" s="1"/>
  <c r="G15" i="49" s="1"/>
  <c r="M15" i="19"/>
  <c r="N15" i="19"/>
  <c r="O15" i="19"/>
  <c r="P15" i="19"/>
  <c r="R15" i="19" s="1"/>
  <c r="C21" i="9" s="1"/>
  <c r="Q15" i="19"/>
  <c r="A16" i="19"/>
  <c r="B16" i="19"/>
  <c r="C16" i="19"/>
  <c r="D16" i="19"/>
  <c r="E16" i="19"/>
  <c r="F16" i="19"/>
  <c r="G16" i="19"/>
  <c r="H16" i="19"/>
  <c r="I16" i="19"/>
  <c r="J16" i="19"/>
  <c r="K16" i="19"/>
  <c r="M16" i="19"/>
  <c r="N16" i="19"/>
  <c r="O16" i="19"/>
  <c r="Q16" i="19"/>
  <c r="A17" i="19"/>
  <c r="B17" i="19"/>
  <c r="C17" i="19"/>
  <c r="D17" i="19"/>
  <c r="E17" i="19"/>
  <c r="F17" i="19"/>
  <c r="G17" i="19"/>
  <c r="H17" i="19"/>
  <c r="I17" i="19"/>
  <c r="J17" i="19"/>
  <c r="K17" i="19"/>
  <c r="L17" i="19"/>
  <c r="F17" i="49" s="1"/>
  <c r="G17" i="49" s="1"/>
  <c r="M17" i="19"/>
  <c r="N17" i="19"/>
  <c r="O17" i="19"/>
  <c r="P17" i="19"/>
  <c r="R17" i="19" s="1"/>
  <c r="C17" i="33" s="1"/>
  <c r="Q17" i="19"/>
  <c r="A18" i="19"/>
  <c r="B18" i="19"/>
  <c r="C18" i="19"/>
  <c r="D18" i="19"/>
  <c r="E18" i="19"/>
  <c r="F18" i="19"/>
  <c r="G18" i="19"/>
  <c r="H18" i="19"/>
  <c r="I18" i="19"/>
  <c r="J18" i="19"/>
  <c r="K18" i="19"/>
  <c r="M18" i="19"/>
  <c r="N18" i="19"/>
  <c r="O18" i="19"/>
  <c r="Q18" i="19"/>
  <c r="A19" i="19"/>
  <c r="B19" i="19"/>
  <c r="C19" i="19"/>
  <c r="D19" i="19"/>
  <c r="E19" i="19"/>
  <c r="F19" i="19"/>
  <c r="G19" i="19"/>
  <c r="H19" i="19"/>
  <c r="I19" i="19"/>
  <c r="J19" i="19"/>
  <c r="K19" i="19"/>
  <c r="L19" i="19"/>
  <c r="F19" i="49" s="1"/>
  <c r="G19" i="49" s="1"/>
  <c r="M19" i="19"/>
  <c r="N19" i="19"/>
  <c r="O19" i="19"/>
  <c r="P19" i="19"/>
  <c r="R19" i="19" s="1"/>
  <c r="C25" i="9" s="1"/>
  <c r="Q19" i="19"/>
  <c r="A20" i="19"/>
  <c r="B20" i="19"/>
  <c r="C20" i="19"/>
  <c r="D20" i="19"/>
  <c r="E20" i="19"/>
  <c r="F20" i="19"/>
  <c r="G20" i="19"/>
  <c r="H20" i="19"/>
  <c r="I20" i="19"/>
  <c r="J20" i="19"/>
  <c r="K20" i="19"/>
  <c r="M20" i="19"/>
  <c r="N20" i="19"/>
  <c r="O20" i="19"/>
  <c r="Q20" i="19"/>
  <c r="A21" i="19"/>
  <c r="B21" i="19"/>
  <c r="C21" i="19"/>
  <c r="D21" i="19"/>
  <c r="E21" i="19"/>
  <c r="F21" i="19"/>
  <c r="G21" i="19"/>
  <c r="H21" i="19"/>
  <c r="I21" i="19"/>
  <c r="J21" i="19"/>
  <c r="K21" i="19"/>
  <c r="L21" i="19"/>
  <c r="F21" i="49" s="1"/>
  <c r="G21" i="49" s="1"/>
  <c r="M21" i="19"/>
  <c r="N21" i="19"/>
  <c r="O21" i="19"/>
  <c r="P21" i="19"/>
  <c r="R21" i="19" s="1"/>
  <c r="C27" i="9" s="1"/>
  <c r="Q21" i="19"/>
  <c r="A22" i="19"/>
  <c r="B22" i="19"/>
  <c r="C22" i="19"/>
  <c r="D22" i="19"/>
  <c r="E22" i="19"/>
  <c r="F22" i="19"/>
  <c r="G22" i="19"/>
  <c r="H22" i="19"/>
  <c r="I22" i="19"/>
  <c r="J22" i="19"/>
  <c r="K22" i="19"/>
  <c r="M22" i="19"/>
  <c r="N22" i="19"/>
  <c r="O22" i="19"/>
  <c r="Q22" i="19"/>
  <c r="A23" i="19"/>
  <c r="B23" i="19"/>
  <c r="C23" i="19"/>
  <c r="D23" i="19"/>
  <c r="E23" i="19"/>
  <c r="F23" i="19"/>
  <c r="G23" i="19"/>
  <c r="H23" i="19"/>
  <c r="I23" i="19"/>
  <c r="J23" i="19"/>
  <c r="K23" i="19"/>
  <c r="L23" i="19"/>
  <c r="F23" i="49" s="1"/>
  <c r="G23" i="49" s="1"/>
  <c r="M23" i="19"/>
  <c r="N23" i="19"/>
  <c r="O23" i="19"/>
  <c r="P23" i="19"/>
  <c r="R23" i="19" s="1"/>
  <c r="C29" i="9" s="1"/>
  <c r="Q23" i="19"/>
  <c r="A24" i="19"/>
  <c r="B24" i="19"/>
  <c r="C24" i="19"/>
  <c r="D24" i="19"/>
  <c r="E24" i="19"/>
  <c r="F24" i="19"/>
  <c r="G24" i="19"/>
  <c r="H24" i="19"/>
  <c r="I24" i="19"/>
  <c r="J24" i="19"/>
  <c r="K24" i="19"/>
  <c r="M24" i="19"/>
  <c r="N24" i="19"/>
  <c r="O24" i="19"/>
  <c r="Q24" i="19"/>
  <c r="A25" i="19"/>
  <c r="B25" i="19"/>
  <c r="C25" i="19"/>
  <c r="D25" i="19"/>
  <c r="E25" i="19"/>
  <c r="F25" i="19"/>
  <c r="G25" i="19"/>
  <c r="H25" i="19"/>
  <c r="I25" i="19"/>
  <c r="J25" i="19"/>
  <c r="K25" i="19"/>
  <c r="L25" i="19"/>
  <c r="F25" i="49" s="1"/>
  <c r="M25" i="19"/>
  <c r="N25" i="19"/>
  <c r="O25" i="19"/>
  <c r="P25" i="19"/>
  <c r="R25" i="19" s="1"/>
  <c r="C31" i="9" s="1"/>
  <c r="Q25" i="19"/>
  <c r="A26" i="19"/>
  <c r="B26" i="19"/>
  <c r="C26" i="19"/>
  <c r="D26" i="19"/>
  <c r="E26" i="19"/>
  <c r="F26" i="19"/>
  <c r="G26" i="19"/>
  <c r="H26" i="19"/>
  <c r="I26" i="19"/>
  <c r="J26" i="19"/>
  <c r="K26" i="19"/>
  <c r="M26" i="19"/>
  <c r="N26" i="19"/>
  <c r="O26" i="19"/>
  <c r="Q26" i="19"/>
  <c r="A27" i="19"/>
  <c r="B27" i="19"/>
  <c r="C27" i="19"/>
  <c r="D27" i="19"/>
  <c r="E27" i="19"/>
  <c r="F27" i="19"/>
  <c r="G27" i="19"/>
  <c r="H27" i="19"/>
  <c r="I27" i="19"/>
  <c r="J27" i="19"/>
  <c r="K27" i="19"/>
  <c r="L27" i="19"/>
  <c r="F27" i="49" s="1"/>
  <c r="G27" i="49" s="1"/>
  <c r="M27" i="19"/>
  <c r="N27" i="19"/>
  <c r="O27" i="19"/>
  <c r="P27" i="19"/>
  <c r="R27" i="19" s="1"/>
  <c r="C27" i="33" s="1"/>
  <c r="Q27" i="19"/>
  <c r="A28" i="19"/>
  <c r="B28" i="19"/>
  <c r="C28" i="19"/>
  <c r="D28" i="19"/>
  <c r="E28" i="19"/>
  <c r="F28" i="19"/>
  <c r="G28" i="19"/>
  <c r="H28" i="19"/>
  <c r="I28" i="19"/>
  <c r="J28" i="19"/>
  <c r="K28" i="19"/>
  <c r="M28" i="19"/>
  <c r="N28" i="19"/>
  <c r="O28" i="19"/>
  <c r="Q28" i="19"/>
  <c r="A29" i="19"/>
  <c r="B29" i="19"/>
  <c r="C29" i="19"/>
  <c r="D29" i="19"/>
  <c r="E29" i="19"/>
  <c r="F29" i="19"/>
  <c r="G29" i="19"/>
  <c r="H29" i="19"/>
  <c r="I29" i="19"/>
  <c r="J29" i="19"/>
  <c r="K29" i="19"/>
  <c r="L29" i="19"/>
  <c r="F29" i="49" s="1"/>
  <c r="M29" i="19"/>
  <c r="N29" i="19"/>
  <c r="O29" i="19"/>
  <c r="P29" i="19"/>
  <c r="R29" i="19" s="1"/>
  <c r="C29" i="33" s="1"/>
  <c r="Q29" i="19"/>
  <c r="A30" i="19"/>
  <c r="B30" i="19"/>
  <c r="C30" i="19"/>
  <c r="D30" i="19"/>
  <c r="E30" i="19"/>
  <c r="F30" i="19"/>
  <c r="G30" i="19"/>
  <c r="H30" i="19"/>
  <c r="I30" i="19"/>
  <c r="J30" i="19"/>
  <c r="K30" i="19"/>
  <c r="M30" i="19"/>
  <c r="N30" i="19"/>
  <c r="O30" i="19"/>
  <c r="Q30" i="19"/>
  <c r="A31" i="19"/>
  <c r="B31" i="19"/>
  <c r="C31" i="19"/>
  <c r="D31" i="19"/>
  <c r="E31" i="19"/>
  <c r="F31" i="19"/>
  <c r="G31" i="19"/>
  <c r="H31" i="19"/>
  <c r="I31" i="19"/>
  <c r="J31" i="19"/>
  <c r="K31" i="19"/>
  <c r="L31" i="19"/>
  <c r="F31" i="49" s="1"/>
  <c r="G31" i="49" s="1"/>
  <c r="M31" i="19"/>
  <c r="N31" i="19"/>
  <c r="O31" i="19"/>
  <c r="P31" i="19"/>
  <c r="R31" i="19" s="1"/>
  <c r="C37" i="9" s="1"/>
  <c r="Q31" i="19"/>
  <c r="A32" i="19"/>
  <c r="B32" i="19"/>
  <c r="C32" i="19"/>
  <c r="D32" i="19"/>
  <c r="E32" i="19"/>
  <c r="F32" i="19"/>
  <c r="G32" i="19"/>
  <c r="H32" i="19"/>
  <c r="I32" i="19"/>
  <c r="J32" i="19"/>
  <c r="K32" i="19"/>
  <c r="M32" i="19"/>
  <c r="N32" i="19"/>
  <c r="O32" i="19"/>
  <c r="Q32" i="19"/>
  <c r="A33" i="19"/>
  <c r="B33" i="19"/>
  <c r="C33" i="19"/>
  <c r="D33" i="19"/>
  <c r="E33" i="19"/>
  <c r="F33" i="19"/>
  <c r="G33" i="19"/>
  <c r="H33" i="19"/>
  <c r="I33" i="19"/>
  <c r="J33" i="19"/>
  <c r="K33" i="19"/>
  <c r="L33" i="19"/>
  <c r="F33" i="49" s="1"/>
  <c r="G33" i="49" s="1"/>
  <c r="M33" i="19"/>
  <c r="N33" i="19"/>
  <c r="O33" i="19"/>
  <c r="P33" i="19"/>
  <c r="R33" i="19" s="1"/>
  <c r="C33" i="33" s="1"/>
  <c r="Q33" i="19"/>
  <c r="A34" i="19"/>
  <c r="B34" i="19"/>
  <c r="C34" i="19"/>
  <c r="D34" i="19"/>
  <c r="E34" i="19"/>
  <c r="F34" i="19"/>
  <c r="G34" i="19"/>
  <c r="H34" i="19"/>
  <c r="I34" i="19"/>
  <c r="J34" i="19"/>
  <c r="K34" i="19"/>
  <c r="M34" i="19"/>
  <c r="N34" i="19"/>
  <c r="O34" i="19"/>
  <c r="Q34" i="19"/>
  <c r="A35" i="19"/>
  <c r="B35" i="19"/>
  <c r="C35" i="19"/>
  <c r="D35" i="19"/>
  <c r="E35" i="19"/>
  <c r="F35" i="19"/>
  <c r="G35" i="19"/>
  <c r="H35" i="19"/>
  <c r="I35" i="19"/>
  <c r="J35" i="19"/>
  <c r="K35" i="19"/>
  <c r="L35" i="19"/>
  <c r="F35" i="49" s="1"/>
  <c r="G35" i="49" s="1"/>
  <c r="M35" i="19"/>
  <c r="N35" i="19"/>
  <c r="O35" i="19"/>
  <c r="P35" i="19"/>
  <c r="R35" i="19" s="1"/>
  <c r="C41" i="9" s="1"/>
  <c r="Q35" i="19"/>
  <c r="A36" i="19"/>
  <c r="B36" i="19"/>
  <c r="C36" i="19"/>
  <c r="D36" i="19"/>
  <c r="E36" i="19"/>
  <c r="F36" i="19"/>
  <c r="G36" i="19"/>
  <c r="H36" i="19"/>
  <c r="I36" i="19"/>
  <c r="J36" i="19"/>
  <c r="K36" i="19"/>
  <c r="M36" i="19"/>
  <c r="N36" i="19"/>
  <c r="O36" i="19"/>
  <c r="Q36" i="19"/>
  <c r="A37" i="19"/>
  <c r="B37" i="19"/>
  <c r="C37" i="19"/>
  <c r="D37" i="19"/>
  <c r="E37" i="19"/>
  <c r="F37" i="19"/>
  <c r="G37" i="19"/>
  <c r="H37" i="19"/>
  <c r="I37" i="19"/>
  <c r="J37" i="19"/>
  <c r="K37" i="19"/>
  <c r="L37" i="19"/>
  <c r="F37" i="49" s="1"/>
  <c r="G37" i="49" s="1"/>
  <c r="M37" i="19"/>
  <c r="N37" i="19"/>
  <c r="O37" i="19"/>
  <c r="P37" i="19"/>
  <c r="R37" i="19" s="1"/>
  <c r="C43" i="9" s="1"/>
  <c r="Q37" i="19"/>
  <c r="A38" i="19"/>
  <c r="B38" i="19"/>
  <c r="C38" i="19"/>
  <c r="D38" i="19"/>
  <c r="E38" i="19"/>
  <c r="F38" i="19"/>
  <c r="G38" i="19"/>
  <c r="H38" i="19"/>
  <c r="I38" i="19"/>
  <c r="J38" i="19"/>
  <c r="K38" i="19"/>
  <c r="M38" i="19"/>
  <c r="N38" i="19"/>
  <c r="O38" i="19"/>
  <c r="Q38" i="19"/>
  <c r="A39" i="19"/>
  <c r="B39" i="19"/>
  <c r="C39" i="19"/>
  <c r="D39" i="19"/>
  <c r="E39" i="19"/>
  <c r="F39" i="19"/>
  <c r="G39" i="19"/>
  <c r="H39" i="19"/>
  <c r="I39" i="19"/>
  <c r="J39" i="19"/>
  <c r="K39" i="19"/>
  <c r="L39" i="19"/>
  <c r="F39" i="49" s="1"/>
  <c r="G39" i="49" s="1"/>
  <c r="M39" i="19"/>
  <c r="N39" i="19"/>
  <c r="O39" i="19"/>
  <c r="P39" i="19"/>
  <c r="R39" i="19" s="1"/>
  <c r="C45" i="9" s="1"/>
  <c r="Q39" i="19"/>
  <c r="A40" i="19"/>
  <c r="B40" i="19"/>
  <c r="C40" i="19"/>
  <c r="D40" i="19"/>
  <c r="E40" i="19"/>
  <c r="F40" i="19"/>
  <c r="G40" i="19"/>
  <c r="H40" i="19"/>
  <c r="I40" i="19"/>
  <c r="J40" i="19"/>
  <c r="K40" i="19"/>
  <c r="M40" i="19"/>
  <c r="N40" i="19"/>
  <c r="O40" i="19"/>
  <c r="Q40" i="19"/>
  <c r="A41" i="19"/>
  <c r="B41" i="19"/>
  <c r="C41" i="19"/>
  <c r="D41" i="19"/>
  <c r="E41" i="19"/>
  <c r="F41" i="19"/>
  <c r="G41" i="19"/>
  <c r="H41" i="19"/>
  <c r="I41" i="19"/>
  <c r="J41" i="19"/>
  <c r="K41" i="19"/>
  <c r="L41" i="19"/>
  <c r="F41" i="49" s="1"/>
  <c r="M41" i="19"/>
  <c r="N41" i="19"/>
  <c r="O41" i="19"/>
  <c r="P41" i="19"/>
  <c r="R41" i="19" s="1"/>
  <c r="C47" i="9" s="1"/>
  <c r="Q41" i="19"/>
  <c r="A42" i="19"/>
  <c r="B42" i="19"/>
  <c r="C42" i="19"/>
  <c r="D42" i="19"/>
  <c r="E42" i="19"/>
  <c r="F42" i="19"/>
  <c r="G42" i="19"/>
  <c r="H42" i="19"/>
  <c r="I42" i="19"/>
  <c r="J42" i="19"/>
  <c r="K42" i="19"/>
  <c r="M42" i="19"/>
  <c r="N42" i="19"/>
  <c r="O42" i="19"/>
  <c r="Q42" i="19"/>
  <c r="A43" i="19"/>
  <c r="B43" i="19"/>
  <c r="C43" i="19"/>
  <c r="D43" i="19"/>
  <c r="E43" i="19"/>
  <c r="F43" i="19"/>
  <c r="G43" i="19"/>
  <c r="H43" i="19"/>
  <c r="I43" i="19"/>
  <c r="J43" i="19"/>
  <c r="K43" i="19"/>
  <c r="L43" i="19"/>
  <c r="F43" i="49" s="1"/>
  <c r="G43" i="49" s="1"/>
  <c r="M43" i="19"/>
  <c r="N43" i="19"/>
  <c r="O43" i="19"/>
  <c r="P43" i="19"/>
  <c r="R43" i="19" s="1"/>
  <c r="C43" i="33" s="1"/>
  <c r="Q43" i="19"/>
  <c r="A44" i="19"/>
  <c r="B44" i="19"/>
  <c r="C44" i="19"/>
  <c r="D44" i="19"/>
  <c r="E44" i="19"/>
  <c r="F44" i="19"/>
  <c r="G44" i="19"/>
  <c r="H44" i="19"/>
  <c r="I44" i="19"/>
  <c r="J44" i="19"/>
  <c r="K44" i="19"/>
  <c r="M44" i="19"/>
  <c r="N44" i="19"/>
  <c r="O44" i="19"/>
  <c r="Q44" i="19"/>
  <c r="A45" i="19"/>
  <c r="B45" i="19"/>
  <c r="C45" i="19"/>
  <c r="D45" i="19"/>
  <c r="E45" i="19"/>
  <c r="F45" i="19"/>
  <c r="G45" i="19"/>
  <c r="H45" i="19"/>
  <c r="I45" i="19"/>
  <c r="J45" i="19"/>
  <c r="K45" i="19"/>
  <c r="L45" i="19"/>
  <c r="F45" i="49" s="1"/>
  <c r="M45" i="19"/>
  <c r="N45" i="19"/>
  <c r="O45" i="19"/>
  <c r="P45" i="19"/>
  <c r="R45" i="19" s="1"/>
  <c r="C45" i="33" s="1"/>
  <c r="Q45" i="19"/>
  <c r="A46" i="19"/>
  <c r="B46" i="19"/>
  <c r="C46" i="19"/>
  <c r="D46" i="19"/>
  <c r="E46" i="19"/>
  <c r="F46" i="19"/>
  <c r="G46" i="19"/>
  <c r="H46" i="19"/>
  <c r="I46" i="19"/>
  <c r="J46" i="19"/>
  <c r="K46" i="19"/>
  <c r="M46" i="19"/>
  <c r="N46" i="19"/>
  <c r="O46" i="19"/>
  <c r="Q46" i="19"/>
  <c r="A47" i="19"/>
  <c r="B47" i="19"/>
  <c r="C47" i="19"/>
  <c r="D47" i="19"/>
  <c r="E47" i="19"/>
  <c r="F47" i="19"/>
  <c r="G47" i="19"/>
  <c r="H47" i="19"/>
  <c r="I47" i="19"/>
  <c r="J47" i="19"/>
  <c r="K47" i="19"/>
  <c r="L47" i="19"/>
  <c r="F47" i="49" s="1"/>
  <c r="G47" i="49" s="1"/>
  <c r="M47" i="19"/>
  <c r="N47" i="19"/>
  <c r="O47" i="19"/>
  <c r="P47" i="19"/>
  <c r="R47" i="19" s="1"/>
  <c r="C53" i="9" s="1"/>
  <c r="Q47" i="19"/>
  <c r="A48" i="19"/>
  <c r="B48" i="19"/>
  <c r="C48" i="19"/>
  <c r="D48" i="19"/>
  <c r="E48" i="19"/>
  <c r="F48" i="19"/>
  <c r="G48" i="19"/>
  <c r="H48" i="19"/>
  <c r="I48" i="19"/>
  <c r="J48" i="19"/>
  <c r="K48" i="19"/>
  <c r="M48" i="19"/>
  <c r="N48" i="19"/>
  <c r="O48" i="19"/>
  <c r="Q48" i="19"/>
  <c r="A49" i="19"/>
  <c r="B49" i="19"/>
  <c r="C49" i="19"/>
  <c r="D49" i="19"/>
  <c r="E49" i="19"/>
  <c r="F49" i="19"/>
  <c r="G49" i="19"/>
  <c r="H49" i="19"/>
  <c r="I49" i="19"/>
  <c r="J49" i="19"/>
  <c r="K49" i="19"/>
  <c r="L49" i="19"/>
  <c r="F49" i="49" s="1"/>
  <c r="G49" i="49" s="1"/>
  <c r="M49" i="19"/>
  <c r="N49" i="19"/>
  <c r="O49" i="19"/>
  <c r="P49" i="19"/>
  <c r="R49" i="19" s="1"/>
  <c r="C49" i="33" s="1"/>
  <c r="Q49" i="19"/>
  <c r="A50" i="19"/>
  <c r="B50" i="19"/>
  <c r="C50" i="19"/>
  <c r="D50" i="19"/>
  <c r="E50" i="19"/>
  <c r="F50" i="19"/>
  <c r="G50" i="19"/>
  <c r="H50" i="19"/>
  <c r="I50" i="19"/>
  <c r="J50" i="19"/>
  <c r="K50" i="19"/>
  <c r="M50" i="19"/>
  <c r="N50" i="19"/>
  <c r="O50" i="19"/>
  <c r="Q50" i="19"/>
  <c r="A51" i="19"/>
  <c r="B51" i="19"/>
  <c r="C51" i="19"/>
  <c r="D51" i="19"/>
  <c r="E51" i="19"/>
  <c r="F51" i="19"/>
  <c r="G51" i="19"/>
  <c r="H51" i="19"/>
  <c r="I51" i="19"/>
  <c r="J51" i="19"/>
  <c r="K51" i="19"/>
  <c r="L51" i="19"/>
  <c r="F51" i="49" s="1"/>
  <c r="G51" i="49" s="1"/>
  <c r="M51" i="19"/>
  <c r="N51" i="19"/>
  <c r="O51" i="19"/>
  <c r="P51" i="19"/>
  <c r="R51" i="19" s="1"/>
  <c r="C57" i="9" s="1"/>
  <c r="Q51" i="19"/>
  <c r="A52" i="19"/>
  <c r="B52" i="19"/>
  <c r="C52" i="19"/>
  <c r="D52" i="19"/>
  <c r="E52" i="19"/>
  <c r="F52" i="19"/>
  <c r="G52" i="19"/>
  <c r="H52" i="19"/>
  <c r="I52" i="19"/>
  <c r="J52" i="19"/>
  <c r="K52" i="19"/>
  <c r="M52" i="19"/>
  <c r="N52" i="19"/>
  <c r="O52" i="19"/>
  <c r="Q52" i="19"/>
  <c r="A53" i="19"/>
  <c r="B53" i="19"/>
  <c r="C53" i="19"/>
  <c r="D53" i="19"/>
  <c r="E53" i="19"/>
  <c r="F53" i="19"/>
  <c r="G53" i="19"/>
  <c r="H53" i="19"/>
  <c r="I53" i="19"/>
  <c r="J53" i="19"/>
  <c r="K53" i="19"/>
  <c r="L53" i="19"/>
  <c r="F53" i="49" s="1"/>
  <c r="G53" i="49" s="1"/>
  <c r="M53" i="19"/>
  <c r="N53" i="19"/>
  <c r="O53" i="19"/>
  <c r="P53" i="19"/>
  <c r="R53" i="19" s="1"/>
  <c r="C59" i="9" s="1"/>
  <c r="Q53" i="19"/>
  <c r="A54" i="19"/>
  <c r="B54" i="19"/>
  <c r="C54" i="19"/>
  <c r="D54" i="19"/>
  <c r="E54" i="19"/>
  <c r="F54" i="19"/>
  <c r="G54" i="19"/>
  <c r="H54" i="19"/>
  <c r="I54" i="19"/>
  <c r="J54" i="19"/>
  <c r="K54" i="19"/>
  <c r="M54" i="19"/>
  <c r="N54" i="19"/>
  <c r="O54" i="19"/>
  <c r="Q54" i="19"/>
  <c r="A55" i="19"/>
  <c r="B55" i="19"/>
  <c r="C55" i="19"/>
  <c r="D55" i="19"/>
  <c r="E55" i="19"/>
  <c r="F55" i="19"/>
  <c r="G55" i="19"/>
  <c r="H55" i="19"/>
  <c r="I55" i="19"/>
  <c r="J55" i="19"/>
  <c r="K55" i="19"/>
  <c r="L55" i="19"/>
  <c r="F55" i="49" s="1"/>
  <c r="G55" i="49" s="1"/>
  <c r="M55" i="19"/>
  <c r="N55" i="19"/>
  <c r="O55" i="19"/>
  <c r="P55" i="19"/>
  <c r="R55" i="19" s="1"/>
  <c r="C55" i="33" s="1"/>
  <c r="Q55" i="19"/>
  <c r="A56" i="19"/>
  <c r="B56" i="19"/>
  <c r="C56" i="19"/>
  <c r="D56" i="19"/>
  <c r="E56" i="19"/>
  <c r="F56" i="19"/>
  <c r="G56" i="19"/>
  <c r="H56" i="19"/>
  <c r="I56" i="19"/>
  <c r="J56" i="19"/>
  <c r="K56" i="19"/>
  <c r="M56" i="19"/>
  <c r="N56" i="19"/>
  <c r="O56" i="19"/>
  <c r="Q56" i="19"/>
  <c r="A57" i="19"/>
  <c r="B57" i="19"/>
  <c r="C57" i="19"/>
  <c r="D57" i="19"/>
  <c r="E57" i="19"/>
  <c r="F57" i="19"/>
  <c r="G57" i="19"/>
  <c r="H57" i="19"/>
  <c r="I57" i="19"/>
  <c r="J57" i="19"/>
  <c r="K57" i="19"/>
  <c r="L57" i="19"/>
  <c r="F57" i="49" s="1"/>
  <c r="M57" i="19"/>
  <c r="N57" i="19"/>
  <c r="O57" i="19"/>
  <c r="P57" i="19"/>
  <c r="R57" i="19" s="1"/>
  <c r="C57" i="33" s="1"/>
  <c r="Q57" i="19"/>
  <c r="A58" i="19"/>
  <c r="B58" i="19"/>
  <c r="C58" i="19"/>
  <c r="D58" i="19"/>
  <c r="E58" i="19"/>
  <c r="F58" i="19"/>
  <c r="G58" i="19"/>
  <c r="H58" i="19"/>
  <c r="I58" i="19"/>
  <c r="J58" i="19"/>
  <c r="K58" i="19"/>
  <c r="M58" i="19"/>
  <c r="N58" i="19"/>
  <c r="O58" i="19"/>
  <c r="Q58" i="19"/>
  <c r="A59" i="19"/>
  <c r="B59" i="19"/>
  <c r="C59" i="19"/>
  <c r="D59" i="19"/>
  <c r="E59" i="19"/>
  <c r="F59" i="19"/>
  <c r="G59" i="19"/>
  <c r="H59" i="19"/>
  <c r="I59" i="19"/>
  <c r="J59" i="19"/>
  <c r="K59" i="19"/>
  <c r="L59" i="19"/>
  <c r="F59" i="49" s="1"/>
  <c r="G59" i="49" s="1"/>
  <c r="M59" i="19"/>
  <c r="N59" i="19"/>
  <c r="O59" i="19"/>
  <c r="P59" i="19"/>
  <c r="R59" i="19" s="1"/>
  <c r="C65" i="9" s="1"/>
  <c r="Q59" i="19"/>
  <c r="A60" i="19"/>
  <c r="B60" i="19"/>
  <c r="C60" i="19"/>
  <c r="D60" i="19"/>
  <c r="E60" i="19"/>
  <c r="F60" i="19"/>
  <c r="G60" i="19"/>
  <c r="H60" i="19"/>
  <c r="I60" i="19"/>
  <c r="J60" i="19"/>
  <c r="K60" i="19"/>
  <c r="M60" i="19"/>
  <c r="N60" i="19"/>
  <c r="O60" i="19"/>
  <c r="Q60" i="19"/>
  <c r="A61" i="19"/>
  <c r="B61" i="19"/>
  <c r="C61" i="19"/>
  <c r="D61" i="19"/>
  <c r="E61" i="19"/>
  <c r="F61" i="19"/>
  <c r="G61" i="19"/>
  <c r="H61" i="19"/>
  <c r="I61" i="19"/>
  <c r="J61" i="19"/>
  <c r="K61" i="19"/>
  <c r="L61" i="19"/>
  <c r="F61" i="49" s="1"/>
  <c r="G61" i="49" s="1"/>
  <c r="M61" i="19"/>
  <c r="N61" i="19"/>
  <c r="O61" i="19"/>
  <c r="P61" i="19"/>
  <c r="R61" i="19" s="1"/>
  <c r="C61" i="33" s="1"/>
  <c r="Q61" i="19"/>
  <c r="A62" i="19"/>
  <c r="B62" i="19"/>
  <c r="C62" i="19"/>
  <c r="D62" i="19"/>
  <c r="E62" i="19"/>
  <c r="F62" i="19"/>
  <c r="G62" i="19"/>
  <c r="H62" i="19"/>
  <c r="I62" i="19"/>
  <c r="J62" i="19"/>
  <c r="K62" i="19"/>
  <c r="M62" i="19"/>
  <c r="N62" i="19"/>
  <c r="O62" i="19"/>
  <c r="Q62" i="19"/>
  <c r="A63" i="19"/>
  <c r="B63" i="19"/>
  <c r="C63" i="19"/>
  <c r="D63" i="19"/>
  <c r="E63" i="19"/>
  <c r="F63" i="19"/>
  <c r="G63" i="19"/>
  <c r="H63" i="19"/>
  <c r="I63" i="19"/>
  <c r="J63" i="19"/>
  <c r="K63" i="19"/>
  <c r="L63" i="19"/>
  <c r="F63" i="49" s="1"/>
  <c r="G63" i="49" s="1"/>
  <c r="M63" i="19"/>
  <c r="N63" i="19"/>
  <c r="O63" i="19"/>
  <c r="P63" i="19"/>
  <c r="R63" i="19" s="1"/>
  <c r="C69" i="9" s="1"/>
  <c r="Q63" i="19"/>
  <c r="A64" i="19"/>
  <c r="B64" i="19"/>
  <c r="C64" i="19"/>
  <c r="L64" i="19" s="1"/>
  <c r="D64" i="19"/>
  <c r="E64" i="19"/>
  <c r="F64" i="19"/>
  <c r="G64" i="19"/>
  <c r="H64" i="19"/>
  <c r="I64" i="19"/>
  <c r="J64" i="19"/>
  <c r="K64" i="19"/>
  <c r="M64" i="19"/>
  <c r="N64" i="19"/>
  <c r="O64" i="19"/>
  <c r="Q64" i="19"/>
  <c r="A65" i="19"/>
  <c r="B65" i="19"/>
  <c r="C65" i="19"/>
  <c r="D65" i="19"/>
  <c r="E65" i="19"/>
  <c r="F65" i="19"/>
  <c r="G65" i="19"/>
  <c r="H65" i="19"/>
  <c r="I65" i="19"/>
  <c r="J65" i="19"/>
  <c r="K65" i="19"/>
  <c r="M65" i="19"/>
  <c r="N65" i="19"/>
  <c r="O65" i="19"/>
  <c r="Q65" i="19"/>
  <c r="A66" i="19"/>
  <c r="B66" i="19"/>
  <c r="C66" i="19"/>
  <c r="D66" i="19"/>
  <c r="E66" i="19"/>
  <c r="F66" i="19"/>
  <c r="G66" i="19"/>
  <c r="H66" i="19"/>
  <c r="I66" i="19"/>
  <c r="J66" i="19"/>
  <c r="K66" i="19"/>
  <c r="M66" i="19"/>
  <c r="N66" i="19"/>
  <c r="O66" i="19"/>
  <c r="Q66" i="19"/>
  <c r="A67" i="19"/>
  <c r="B67" i="19"/>
  <c r="C67" i="19"/>
  <c r="D67" i="19"/>
  <c r="E67" i="19"/>
  <c r="F67" i="19"/>
  <c r="G67" i="19"/>
  <c r="H67" i="19"/>
  <c r="I67" i="19"/>
  <c r="J67" i="19"/>
  <c r="K67" i="19"/>
  <c r="M67" i="19"/>
  <c r="N67" i="19"/>
  <c r="O67" i="19"/>
  <c r="Q67" i="19"/>
  <c r="A68" i="19"/>
  <c r="B68" i="19"/>
  <c r="C68" i="19"/>
  <c r="D68" i="19"/>
  <c r="E68" i="19"/>
  <c r="F68" i="19"/>
  <c r="G68" i="19"/>
  <c r="H68" i="19"/>
  <c r="I68" i="19"/>
  <c r="J68" i="19"/>
  <c r="K68" i="19"/>
  <c r="M68" i="19"/>
  <c r="N68" i="19"/>
  <c r="O68" i="19"/>
  <c r="Q68" i="19"/>
  <c r="A69" i="19"/>
  <c r="B69" i="19"/>
  <c r="C69" i="19"/>
  <c r="D69" i="19"/>
  <c r="E69" i="19"/>
  <c r="F69" i="19"/>
  <c r="G69" i="19"/>
  <c r="H69" i="19"/>
  <c r="I69" i="19"/>
  <c r="J69" i="19"/>
  <c r="K69" i="19"/>
  <c r="M69" i="19"/>
  <c r="N69" i="19"/>
  <c r="O69" i="19"/>
  <c r="Q69" i="19"/>
  <c r="A70" i="19"/>
  <c r="B70" i="19"/>
  <c r="C70" i="19"/>
  <c r="D70" i="19"/>
  <c r="E70" i="19"/>
  <c r="F70" i="19"/>
  <c r="G70" i="19"/>
  <c r="H70" i="19"/>
  <c r="I70" i="19"/>
  <c r="J70" i="19"/>
  <c r="K70" i="19"/>
  <c r="M70" i="19"/>
  <c r="N70" i="19"/>
  <c r="O70" i="19"/>
  <c r="Q70" i="19"/>
  <c r="A71" i="19"/>
  <c r="B71" i="19"/>
  <c r="C71" i="19"/>
  <c r="D71" i="19"/>
  <c r="E71" i="19"/>
  <c r="F71" i="19"/>
  <c r="G71" i="19"/>
  <c r="H71" i="19"/>
  <c r="I71" i="19"/>
  <c r="J71" i="19"/>
  <c r="K71" i="19"/>
  <c r="M71" i="19"/>
  <c r="N71" i="19"/>
  <c r="O71" i="19"/>
  <c r="Q71" i="19"/>
  <c r="A72" i="19"/>
  <c r="B72" i="19"/>
  <c r="C72" i="19"/>
  <c r="D72" i="19"/>
  <c r="E72" i="19"/>
  <c r="F72" i="19"/>
  <c r="G72" i="19"/>
  <c r="H72" i="19"/>
  <c r="I72" i="19"/>
  <c r="J72" i="19"/>
  <c r="K72" i="19"/>
  <c r="M72" i="19"/>
  <c r="N72" i="19"/>
  <c r="O72" i="19"/>
  <c r="Q72" i="19"/>
  <c r="A73" i="19"/>
  <c r="B73" i="19"/>
  <c r="C73" i="19"/>
  <c r="D73" i="19"/>
  <c r="E73" i="19"/>
  <c r="F73" i="19"/>
  <c r="G73" i="19"/>
  <c r="H73" i="19"/>
  <c r="I73" i="19"/>
  <c r="J73" i="19"/>
  <c r="K73" i="19"/>
  <c r="M73" i="19"/>
  <c r="N73" i="19"/>
  <c r="O73" i="19"/>
  <c r="Q73" i="19"/>
  <c r="A74" i="19"/>
  <c r="B74" i="19"/>
  <c r="C74" i="19"/>
  <c r="D74" i="19"/>
  <c r="E74" i="19"/>
  <c r="F74" i="19"/>
  <c r="G74" i="19"/>
  <c r="H74" i="19"/>
  <c r="I74" i="19"/>
  <c r="J74" i="19"/>
  <c r="K74" i="19"/>
  <c r="M74" i="19"/>
  <c r="N74" i="19"/>
  <c r="O74" i="19"/>
  <c r="Q74" i="19"/>
  <c r="A75" i="19"/>
  <c r="B75" i="19"/>
  <c r="C75" i="19"/>
  <c r="D75" i="19"/>
  <c r="E75" i="19"/>
  <c r="F75" i="19"/>
  <c r="G75" i="19"/>
  <c r="H75" i="19"/>
  <c r="I75" i="19"/>
  <c r="J75" i="19"/>
  <c r="K75" i="19"/>
  <c r="M75" i="19"/>
  <c r="N75" i="19"/>
  <c r="O75" i="19"/>
  <c r="Q75" i="19"/>
  <c r="A76" i="19"/>
  <c r="B76" i="19"/>
  <c r="C76" i="19"/>
  <c r="D76" i="19"/>
  <c r="E76" i="19"/>
  <c r="F76" i="19"/>
  <c r="G76" i="19"/>
  <c r="H76" i="19"/>
  <c r="I76" i="19"/>
  <c r="J76" i="19"/>
  <c r="K76" i="19"/>
  <c r="M76" i="19"/>
  <c r="N76" i="19"/>
  <c r="O76" i="19"/>
  <c r="Q76" i="19"/>
  <c r="A77" i="19"/>
  <c r="B77" i="19"/>
  <c r="C77" i="19"/>
  <c r="D77" i="19"/>
  <c r="E77" i="19"/>
  <c r="F77" i="19"/>
  <c r="G77" i="19"/>
  <c r="H77" i="19"/>
  <c r="I77" i="19"/>
  <c r="J77" i="19"/>
  <c r="K77" i="19"/>
  <c r="M77" i="19"/>
  <c r="N77" i="19"/>
  <c r="O77" i="19"/>
  <c r="Q77" i="19"/>
  <c r="A78" i="19"/>
  <c r="B78" i="19"/>
  <c r="C78" i="19"/>
  <c r="D78" i="19"/>
  <c r="E78" i="19"/>
  <c r="F78" i="19"/>
  <c r="G78" i="19"/>
  <c r="H78" i="19"/>
  <c r="I78" i="19"/>
  <c r="J78" i="19"/>
  <c r="K78" i="19"/>
  <c r="M78" i="19"/>
  <c r="N78" i="19"/>
  <c r="O78" i="19"/>
  <c r="Q78" i="19"/>
  <c r="A79" i="19"/>
  <c r="B79" i="19"/>
  <c r="C79" i="19"/>
  <c r="D79" i="19"/>
  <c r="E79" i="19"/>
  <c r="F79" i="19"/>
  <c r="G79" i="19"/>
  <c r="H79" i="19"/>
  <c r="I79" i="19"/>
  <c r="J79" i="19"/>
  <c r="K79" i="19"/>
  <c r="M79" i="19"/>
  <c r="N79" i="19"/>
  <c r="O79" i="19"/>
  <c r="Q79" i="19"/>
  <c r="A80" i="19"/>
  <c r="B80" i="19"/>
  <c r="C80" i="19"/>
  <c r="D80" i="19"/>
  <c r="E80" i="19"/>
  <c r="F80" i="19"/>
  <c r="G80" i="19"/>
  <c r="H80" i="19"/>
  <c r="I80" i="19"/>
  <c r="J80" i="19"/>
  <c r="K80" i="19"/>
  <c r="M80" i="19"/>
  <c r="N80" i="19"/>
  <c r="O80" i="19"/>
  <c r="Q80" i="19"/>
  <c r="A81" i="19"/>
  <c r="B81" i="19"/>
  <c r="C81" i="19"/>
  <c r="D81" i="19"/>
  <c r="E81" i="19"/>
  <c r="F81" i="19"/>
  <c r="G81" i="19"/>
  <c r="H81" i="19"/>
  <c r="I81" i="19"/>
  <c r="J81" i="19"/>
  <c r="K81" i="19"/>
  <c r="M81" i="19"/>
  <c r="N81" i="19"/>
  <c r="O81" i="19"/>
  <c r="Q81" i="19"/>
  <c r="A82" i="19"/>
  <c r="B82" i="19"/>
  <c r="C82" i="19"/>
  <c r="D82" i="19"/>
  <c r="E82" i="19"/>
  <c r="F82" i="19"/>
  <c r="G82" i="19"/>
  <c r="H82" i="19"/>
  <c r="I82" i="19"/>
  <c r="J82" i="19"/>
  <c r="K82" i="19"/>
  <c r="M82" i="19"/>
  <c r="N82" i="19"/>
  <c r="O82" i="19"/>
  <c r="Q82" i="19"/>
  <c r="A83" i="19"/>
  <c r="B83" i="19"/>
  <c r="C83" i="19"/>
  <c r="D83" i="19"/>
  <c r="E83" i="19"/>
  <c r="F83" i="19"/>
  <c r="G83" i="19"/>
  <c r="H83" i="19"/>
  <c r="I83" i="19"/>
  <c r="J83" i="19"/>
  <c r="K83" i="19"/>
  <c r="M83" i="19"/>
  <c r="N83" i="19"/>
  <c r="O83" i="19"/>
  <c r="Q83" i="19"/>
  <c r="A84" i="19"/>
  <c r="B84" i="19"/>
  <c r="C84" i="19"/>
  <c r="D84" i="19"/>
  <c r="E84" i="19"/>
  <c r="F84" i="19"/>
  <c r="G84" i="19"/>
  <c r="H84" i="19"/>
  <c r="I84" i="19"/>
  <c r="J84" i="19"/>
  <c r="K84" i="19"/>
  <c r="M84" i="19"/>
  <c r="N84" i="19"/>
  <c r="O84" i="19"/>
  <c r="Q84" i="19"/>
  <c r="A85" i="19"/>
  <c r="B85" i="19"/>
  <c r="C85" i="19"/>
  <c r="D85" i="19"/>
  <c r="E85" i="19"/>
  <c r="F85" i="19"/>
  <c r="G85" i="19"/>
  <c r="H85" i="19"/>
  <c r="I85" i="19"/>
  <c r="J85" i="19"/>
  <c r="K85" i="19"/>
  <c r="M85" i="19"/>
  <c r="N85" i="19"/>
  <c r="O85" i="19"/>
  <c r="Q85" i="19"/>
  <c r="A86" i="19"/>
  <c r="B86" i="19"/>
  <c r="C86" i="19"/>
  <c r="D86" i="19"/>
  <c r="E86" i="19"/>
  <c r="F86" i="19"/>
  <c r="G86" i="19"/>
  <c r="H86" i="19"/>
  <c r="I86" i="19"/>
  <c r="J86" i="19"/>
  <c r="K86" i="19"/>
  <c r="M86" i="19"/>
  <c r="N86" i="19"/>
  <c r="O86" i="19"/>
  <c r="Q86" i="19"/>
  <c r="A87" i="19"/>
  <c r="B87" i="19"/>
  <c r="C87" i="19"/>
  <c r="D87" i="19"/>
  <c r="E87" i="19"/>
  <c r="F87" i="19"/>
  <c r="G87" i="19"/>
  <c r="H87" i="19"/>
  <c r="I87" i="19"/>
  <c r="J87" i="19"/>
  <c r="K87" i="19"/>
  <c r="M87" i="19"/>
  <c r="N87" i="19"/>
  <c r="O87" i="19"/>
  <c r="Q87" i="19"/>
  <c r="A88" i="19"/>
  <c r="B88" i="19"/>
  <c r="C88" i="19"/>
  <c r="D88" i="19"/>
  <c r="E88" i="19"/>
  <c r="F88" i="19"/>
  <c r="G88" i="19"/>
  <c r="H88" i="19"/>
  <c r="I88" i="19"/>
  <c r="J88" i="19"/>
  <c r="K88" i="19"/>
  <c r="M88" i="19"/>
  <c r="N88" i="19"/>
  <c r="O88" i="19"/>
  <c r="Q88" i="19"/>
  <c r="A89" i="19"/>
  <c r="B89" i="19"/>
  <c r="C89" i="19"/>
  <c r="D89" i="19"/>
  <c r="E89" i="19"/>
  <c r="F89" i="19"/>
  <c r="G89" i="19"/>
  <c r="H89" i="19"/>
  <c r="I89" i="19"/>
  <c r="J89" i="19"/>
  <c r="K89" i="19"/>
  <c r="M89" i="19"/>
  <c r="N89" i="19"/>
  <c r="O89" i="19"/>
  <c r="Q89" i="19"/>
  <c r="A90" i="19"/>
  <c r="B90" i="19"/>
  <c r="C90" i="19"/>
  <c r="D90" i="19"/>
  <c r="E90" i="19"/>
  <c r="F90" i="19"/>
  <c r="G90" i="19"/>
  <c r="H90" i="19"/>
  <c r="I90" i="19"/>
  <c r="J90" i="19"/>
  <c r="K90" i="19"/>
  <c r="M90" i="19"/>
  <c r="N90" i="19"/>
  <c r="O90" i="19"/>
  <c r="Q90" i="19"/>
  <c r="A91" i="19"/>
  <c r="B91" i="19"/>
  <c r="C91" i="19"/>
  <c r="D91" i="19"/>
  <c r="E91" i="19"/>
  <c r="F91" i="19"/>
  <c r="G91" i="19"/>
  <c r="H91" i="19"/>
  <c r="I91" i="19"/>
  <c r="J91" i="19"/>
  <c r="K91" i="19"/>
  <c r="M91" i="19"/>
  <c r="N91" i="19"/>
  <c r="O91" i="19"/>
  <c r="Q91" i="19"/>
  <c r="A92" i="19"/>
  <c r="B92" i="19"/>
  <c r="C92" i="19"/>
  <c r="D92" i="19"/>
  <c r="E92" i="19"/>
  <c r="F92" i="19"/>
  <c r="G92" i="19"/>
  <c r="H92" i="19"/>
  <c r="I92" i="19"/>
  <c r="J92" i="19"/>
  <c r="K92" i="19"/>
  <c r="M92" i="19"/>
  <c r="N92" i="19"/>
  <c r="O92" i="19"/>
  <c r="Q92" i="19"/>
  <c r="A93" i="19"/>
  <c r="B93" i="19"/>
  <c r="C93" i="19"/>
  <c r="D93" i="19"/>
  <c r="E93" i="19"/>
  <c r="F93" i="19"/>
  <c r="G93" i="19"/>
  <c r="H93" i="19"/>
  <c r="I93" i="19"/>
  <c r="J93" i="19"/>
  <c r="K93" i="19"/>
  <c r="M93" i="19"/>
  <c r="N93" i="19"/>
  <c r="O93" i="19"/>
  <c r="Q93" i="19"/>
  <c r="A94" i="19"/>
  <c r="B94" i="19"/>
  <c r="C94" i="19"/>
  <c r="D94" i="19"/>
  <c r="E94" i="19"/>
  <c r="F94" i="19"/>
  <c r="G94" i="19"/>
  <c r="H94" i="19"/>
  <c r="I94" i="19"/>
  <c r="J94" i="19"/>
  <c r="K94" i="19"/>
  <c r="M94" i="19"/>
  <c r="N94" i="19"/>
  <c r="O94" i="19"/>
  <c r="Q94" i="19"/>
  <c r="A95" i="19"/>
  <c r="B95" i="19"/>
  <c r="C95" i="19"/>
  <c r="D95" i="19"/>
  <c r="E95" i="19"/>
  <c r="F95" i="19"/>
  <c r="G95" i="19"/>
  <c r="H95" i="19"/>
  <c r="I95" i="19"/>
  <c r="J95" i="19"/>
  <c r="K95" i="19"/>
  <c r="M95" i="19"/>
  <c r="N95" i="19"/>
  <c r="O95" i="19"/>
  <c r="Q95" i="19"/>
  <c r="A96" i="19"/>
  <c r="B96" i="19"/>
  <c r="C96" i="19"/>
  <c r="D96" i="19"/>
  <c r="E96" i="19"/>
  <c r="F96" i="19"/>
  <c r="G96" i="19"/>
  <c r="H96" i="19"/>
  <c r="I96" i="19"/>
  <c r="J96" i="19"/>
  <c r="K96" i="19"/>
  <c r="M96" i="19"/>
  <c r="N96" i="19"/>
  <c r="O96" i="19"/>
  <c r="Q96" i="19"/>
  <c r="A97" i="19"/>
  <c r="B97" i="19"/>
  <c r="C97" i="19"/>
  <c r="D97" i="19"/>
  <c r="E97" i="19"/>
  <c r="F97" i="19"/>
  <c r="G97" i="19"/>
  <c r="H97" i="19"/>
  <c r="I97" i="19"/>
  <c r="J97" i="19"/>
  <c r="K97" i="19"/>
  <c r="M97" i="19"/>
  <c r="N97" i="19"/>
  <c r="O97" i="19"/>
  <c r="Q97" i="19"/>
  <c r="A98" i="19"/>
  <c r="B98" i="19"/>
  <c r="C98" i="19"/>
  <c r="D98" i="19"/>
  <c r="E98" i="19"/>
  <c r="F98" i="19"/>
  <c r="G98" i="19"/>
  <c r="H98" i="19"/>
  <c r="I98" i="19"/>
  <c r="J98" i="19"/>
  <c r="K98" i="19"/>
  <c r="M98" i="19"/>
  <c r="N98" i="19"/>
  <c r="O98" i="19"/>
  <c r="Q98" i="19"/>
  <c r="A99" i="19"/>
  <c r="B99" i="19"/>
  <c r="C99" i="19"/>
  <c r="D99" i="19"/>
  <c r="E99" i="19"/>
  <c r="F99" i="19"/>
  <c r="G99" i="19"/>
  <c r="H99" i="19"/>
  <c r="I99" i="19"/>
  <c r="J99" i="19"/>
  <c r="K99" i="19"/>
  <c r="M99" i="19"/>
  <c r="N99" i="19"/>
  <c r="O99" i="19"/>
  <c r="Q99" i="19"/>
  <c r="A100" i="19"/>
  <c r="B100" i="19"/>
  <c r="C100" i="19"/>
  <c r="D100" i="19"/>
  <c r="E100" i="19"/>
  <c r="F100" i="19"/>
  <c r="G100" i="19"/>
  <c r="H100" i="19"/>
  <c r="I100" i="19"/>
  <c r="J100" i="19"/>
  <c r="K100" i="19"/>
  <c r="M100" i="19"/>
  <c r="N100" i="19"/>
  <c r="O100" i="19"/>
  <c r="Q100" i="19"/>
  <c r="A101" i="19"/>
  <c r="B101" i="19"/>
  <c r="C101" i="19"/>
  <c r="D101" i="19"/>
  <c r="E101" i="19"/>
  <c r="F101" i="19"/>
  <c r="G101" i="19"/>
  <c r="H101" i="19"/>
  <c r="I101" i="19"/>
  <c r="J101" i="19"/>
  <c r="K101" i="19"/>
  <c r="M101" i="19"/>
  <c r="N101" i="19"/>
  <c r="O101" i="19"/>
  <c r="Q101" i="19"/>
  <c r="A102" i="19"/>
  <c r="B102" i="19"/>
  <c r="C102" i="19"/>
  <c r="L102" i="19" s="1"/>
  <c r="D102" i="19"/>
  <c r="E102" i="19"/>
  <c r="F102" i="19"/>
  <c r="G102" i="19"/>
  <c r="H102" i="19"/>
  <c r="I102" i="19"/>
  <c r="J102" i="19"/>
  <c r="K102" i="19"/>
  <c r="M102" i="19"/>
  <c r="N102" i="19"/>
  <c r="O102" i="19"/>
  <c r="Q102" i="19"/>
  <c r="A103" i="19"/>
  <c r="B103" i="19"/>
  <c r="C103" i="19"/>
  <c r="D103" i="19"/>
  <c r="E103" i="19"/>
  <c r="F103" i="19"/>
  <c r="G103" i="19"/>
  <c r="H103" i="19"/>
  <c r="I103" i="19"/>
  <c r="J103" i="19"/>
  <c r="K103" i="19"/>
  <c r="M103" i="19"/>
  <c r="N103" i="19"/>
  <c r="O103" i="19"/>
  <c r="Q103" i="19"/>
  <c r="A104" i="19"/>
  <c r="B104" i="19"/>
  <c r="C104" i="19"/>
  <c r="D104" i="19"/>
  <c r="E104" i="19"/>
  <c r="F104" i="19"/>
  <c r="G104" i="19"/>
  <c r="H104" i="19"/>
  <c r="I104" i="19"/>
  <c r="J104" i="19"/>
  <c r="K104" i="19"/>
  <c r="M104" i="19"/>
  <c r="N104" i="19"/>
  <c r="O104" i="19"/>
  <c r="Q104" i="19"/>
  <c r="A105" i="19"/>
  <c r="B105" i="19"/>
  <c r="C105" i="19"/>
  <c r="D105" i="19"/>
  <c r="E105" i="19"/>
  <c r="F105" i="19"/>
  <c r="G105" i="19"/>
  <c r="H105" i="19"/>
  <c r="I105" i="19"/>
  <c r="J105" i="19"/>
  <c r="K105" i="19"/>
  <c r="M105" i="19"/>
  <c r="N105" i="19"/>
  <c r="O105" i="19"/>
  <c r="Q105" i="19"/>
  <c r="A106" i="19"/>
  <c r="B106" i="19"/>
  <c r="C106" i="19"/>
  <c r="D106" i="19"/>
  <c r="E106" i="19"/>
  <c r="F106" i="19"/>
  <c r="G106" i="19"/>
  <c r="H106" i="19"/>
  <c r="I106" i="19"/>
  <c r="J106" i="19"/>
  <c r="K106" i="19"/>
  <c r="M106" i="19"/>
  <c r="N106" i="19"/>
  <c r="O106" i="19"/>
  <c r="Q106" i="19"/>
  <c r="A107" i="19"/>
  <c r="B107" i="19"/>
  <c r="C107" i="19"/>
  <c r="D107" i="19"/>
  <c r="E107" i="19"/>
  <c r="F107" i="19"/>
  <c r="G107" i="19"/>
  <c r="H107" i="19"/>
  <c r="I107" i="19"/>
  <c r="J107" i="19"/>
  <c r="K107" i="19"/>
  <c r="M107" i="19"/>
  <c r="N107" i="19"/>
  <c r="O107" i="19"/>
  <c r="Q107" i="19"/>
  <c r="A108" i="19"/>
  <c r="B108" i="19"/>
  <c r="C108" i="19"/>
  <c r="D108" i="19"/>
  <c r="E108" i="19"/>
  <c r="F108" i="19"/>
  <c r="G108" i="19"/>
  <c r="H108" i="19"/>
  <c r="I108" i="19"/>
  <c r="J108" i="19"/>
  <c r="K108" i="19"/>
  <c r="M108" i="19"/>
  <c r="N108" i="19"/>
  <c r="O108" i="19"/>
  <c r="Q108" i="19"/>
  <c r="A109" i="19"/>
  <c r="B109" i="19"/>
  <c r="C109" i="19"/>
  <c r="D109" i="19"/>
  <c r="E109" i="19"/>
  <c r="F109" i="19"/>
  <c r="G109" i="19"/>
  <c r="H109" i="19"/>
  <c r="I109" i="19"/>
  <c r="J109" i="19"/>
  <c r="K109" i="19"/>
  <c r="M109" i="19"/>
  <c r="N109" i="19"/>
  <c r="O109" i="19"/>
  <c r="Q109" i="19"/>
  <c r="A110" i="19"/>
  <c r="B110" i="19"/>
  <c r="C110" i="19"/>
  <c r="D110" i="19"/>
  <c r="E110" i="19"/>
  <c r="L110" i="19" s="1"/>
  <c r="F110" i="19"/>
  <c r="G110" i="19"/>
  <c r="H110" i="19"/>
  <c r="I110" i="19"/>
  <c r="J110" i="19"/>
  <c r="K110" i="19"/>
  <c r="M110" i="19"/>
  <c r="N110" i="19"/>
  <c r="O110" i="19"/>
  <c r="Q110" i="19"/>
  <c r="A111" i="19"/>
  <c r="B111" i="19"/>
  <c r="C111" i="19"/>
  <c r="D111" i="19"/>
  <c r="E111" i="19"/>
  <c r="F111" i="19"/>
  <c r="G111" i="19"/>
  <c r="H111" i="19"/>
  <c r="I111" i="19"/>
  <c r="J111" i="19"/>
  <c r="K111" i="19"/>
  <c r="M111" i="19"/>
  <c r="N111" i="19"/>
  <c r="O111" i="19"/>
  <c r="Q111" i="19"/>
  <c r="A112" i="19"/>
  <c r="B112" i="19"/>
  <c r="C112" i="19"/>
  <c r="D112" i="19"/>
  <c r="E112" i="19"/>
  <c r="F112" i="19"/>
  <c r="G112" i="19"/>
  <c r="H112" i="19"/>
  <c r="I112" i="19"/>
  <c r="J112" i="19"/>
  <c r="K112" i="19"/>
  <c r="M112" i="19"/>
  <c r="N112" i="19"/>
  <c r="O112" i="19"/>
  <c r="Q112" i="19"/>
  <c r="A113" i="19"/>
  <c r="B113" i="19"/>
  <c r="C113" i="19"/>
  <c r="D113" i="19"/>
  <c r="E113" i="19"/>
  <c r="L113" i="19" s="1"/>
  <c r="F113" i="19"/>
  <c r="G113" i="19"/>
  <c r="H113" i="19"/>
  <c r="I113" i="19"/>
  <c r="J113" i="19"/>
  <c r="K113" i="19"/>
  <c r="M113" i="19"/>
  <c r="N113" i="19"/>
  <c r="O113" i="19"/>
  <c r="Q113" i="19"/>
  <c r="A114" i="19"/>
  <c r="B114" i="19"/>
  <c r="C114" i="19"/>
  <c r="D114" i="19"/>
  <c r="E114" i="19"/>
  <c r="F114" i="19"/>
  <c r="G114" i="19"/>
  <c r="H114" i="19"/>
  <c r="I114" i="19"/>
  <c r="J114" i="19"/>
  <c r="K114" i="19"/>
  <c r="M114" i="19"/>
  <c r="N114" i="19"/>
  <c r="O114" i="19"/>
  <c r="Q114" i="19"/>
  <c r="A115" i="19"/>
  <c r="B115" i="19"/>
  <c r="C115" i="19"/>
  <c r="D115" i="19"/>
  <c r="E115" i="19"/>
  <c r="L115" i="19" s="1"/>
  <c r="F115" i="19"/>
  <c r="G115" i="19"/>
  <c r="H115" i="19"/>
  <c r="I115" i="19"/>
  <c r="J115" i="19"/>
  <c r="K115" i="19"/>
  <c r="M115" i="19"/>
  <c r="N115" i="19"/>
  <c r="O115" i="19"/>
  <c r="Q115" i="19"/>
  <c r="A116" i="19"/>
  <c r="B116" i="19"/>
  <c r="C116" i="19"/>
  <c r="D116" i="19"/>
  <c r="E116" i="19"/>
  <c r="F116" i="19"/>
  <c r="G116" i="19"/>
  <c r="H116" i="19"/>
  <c r="I116" i="19"/>
  <c r="J116" i="19"/>
  <c r="K116" i="19"/>
  <c r="M116" i="19"/>
  <c r="N116" i="19"/>
  <c r="O116" i="19"/>
  <c r="Q116" i="19"/>
  <c r="A117" i="19"/>
  <c r="B117" i="19"/>
  <c r="C117" i="19"/>
  <c r="D117" i="19"/>
  <c r="E117" i="19"/>
  <c r="L117" i="19" s="1"/>
  <c r="F117" i="19"/>
  <c r="G117" i="19"/>
  <c r="H117" i="19"/>
  <c r="I117" i="19"/>
  <c r="J117" i="19"/>
  <c r="K117" i="19"/>
  <c r="M117" i="19"/>
  <c r="N117" i="19"/>
  <c r="O117" i="19"/>
  <c r="Q117" i="19"/>
  <c r="A118" i="19"/>
  <c r="B118" i="19"/>
  <c r="C118" i="19"/>
  <c r="D118" i="19"/>
  <c r="E118" i="19"/>
  <c r="F118" i="19"/>
  <c r="G118" i="19"/>
  <c r="H118" i="19"/>
  <c r="I118" i="19"/>
  <c r="J118" i="19"/>
  <c r="K118" i="19"/>
  <c r="M118" i="19"/>
  <c r="N118" i="19"/>
  <c r="O118" i="19"/>
  <c r="Q118" i="19"/>
  <c r="A119" i="19"/>
  <c r="B119" i="19"/>
  <c r="C119" i="19"/>
  <c r="D119" i="19"/>
  <c r="E119" i="19"/>
  <c r="L119" i="19" s="1"/>
  <c r="F119" i="19"/>
  <c r="G119" i="19"/>
  <c r="H119" i="19"/>
  <c r="I119" i="19"/>
  <c r="J119" i="19"/>
  <c r="K119" i="19"/>
  <c r="M119" i="19"/>
  <c r="N119" i="19"/>
  <c r="O119" i="19"/>
  <c r="Q119" i="19"/>
  <c r="A120" i="19"/>
  <c r="B120" i="19"/>
  <c r="C120" i="19"/>
  <c r="D120" i="19"/>
  <c r="E120" i="19"/>
  <c r="F120" i="19"/>
  <c r="G120" i="19"/>
  <c r="H120" i="19"/>
  <c r="I120" i="19"/>
  <c r="J120" i="19"/>
  <c r="K120" i="19"/>
  <c r="M120" i="19"/>
  <c r="N120" i="19"/>
  <c r="O120" i="19"/>
  <c r="Q120" i="19"/>
  <c r="A121" i="19"/>
  <c r="B121" i="19"/>
  <c r="C121" i="19"/>
  <c r="D121" i="19"/>
  <c r="E121" i="19"/>
  <c r="L121" i="19" s="1"/>
  <c r="F121" i="19"/>
  <c r="G121" i="19"/>
  <c r="H121" i="19"/>
  <c r="I121" i="19"/>
  <c r="J121" i="19"/>
  <c r="K121" i="19"/>
  <c r="M121" i="19"/>
  <c r="N121" i="19"/>
  <c r="O121" i="19"/>
  <c r="Q121" i="19"/>
  <c r="A122" i="19"/>
  <c r="B122" i="19"/>
  <c r="C122" i="19"/>
  <c r="D122" i="19"/>
  <c r="E122" i="19"/>
  <c r="F122" i="19"/>
  <c r="G122" i="19"/>
  <c r="H122" i="19"/>
  <c r="I122" i="19"/>
  <c r="J122" i="19"/>
  <c r="K122" i="19"/>
  <c r="M122" i="19"/>
  <c r="N122" i="19"/>
  <c r="O122" i="19"/>
  <c r="Q122" i="19"/>
  <c r="A123" i="19"/>
  <c r="B123" i="19"/>
  <c r="C123" i="19"/>
  <c r="D123" i="19"/>
  <c r="E123" i="19"/>
  <c r="F123" i="19"/>
  <c r="G123" i="19"/>
  <c r="H123" i="19"/>
  <c r="I123" i="19"/>
  <c r="J123" i="19"/>
  <c r="K123" i="19"/>
  <c r="M123" i="19"/>
  <c r="N123" i="19"/>
  <c r="O123" i="19"/>
  <c r="Q123" i="19"/>
  <c r="A124" i="19"/>
  <c r="B124" i="19"/>
  <c r="C124" i="19"/>
  <c r="D124" i="19"/>
  <c r="E124" i="19"/>
  <c r="F124" i="19"/>
  <c r="G124" i="19"/>
  <c r="H124" i="19"/>
  <c r="I124" i="19"/>
  <c r="J124" i="19"/>
  <c r="K124" i="19"/>
  <c r="M124" i="19"/>
  <c r="N124" i="19"/>
  <c r="O124" i="19"/>
  <c r="Q124" i="19"/>
  <c r="A125" i="19"/>
  <c r="B125" i="19"/>
  <c r="C125" i="19"/>
  <c r="D125" i="19"/>
  <c r="E125" i="19"/>
  <c r="F125" i="19"/>
  <c r="G125" i="19"/>
  <c r="H125" i="19"/>
  <c r="I125" i="19"/>
  <c r="J125" i="19"/>
  <c r="K125" i="19"/>
  <c r="L125" i="19"/>
  <c r="F125" i="49" s="1"/>
  <c r="M125" i="19"/>
  <c r="N125" i="19"/>
  <c r="O125" i="19"/>
  <c r="P125" i="19"/>
  <c r="R125" i="19" s="1"/>
  <c r="C131" i="9" s="1"/>
  <c r="Q125" i="19"/>
  <c r="A126" i="19"/>
  <c r="B126" i="19"/>
  <c r="C126" i="19"/>
  <c r="D126" i="19"/>
  <c r="E126" i="19"/>
  <c r="F126" i="19"/>
  <c r="G126" i="19"/>
  <c r="H126" i="19"/>
  <c r="I126" i="19"/>
  <c r="J126" i="19"/>
  <c r="K126" i="19"/>
  <c r="M126" i="19"/>
  <c r="N126" i="19"/>
  <c r="O126" i="19"/>
  <c r="Q126" i="19"/>
  <c r="A127" i="19"/>
  <c r="B127" i="19"/>
  <c r="C127" i="19"/>
  <c r="D127" i="19"/>
  <c r="E127" i="19"/>
  <c r="F127" i="19"/>
  <c r="G127" i="19"/>
  <c r="H127" i="19"/>
  <c r="I127" i="19"/>
  <c r="J127" i="19"/>
  <c r="K127" i="19"/>
  <c r="L127" i="19"/>
  <c r="F127" i="49" s="1"/>
  <c r="G127" i="49" s="1"/>
  <c r="M127" i="19"/>
  <c r="N127" i="19"/>
  <c r="O127" i="19"/>
  <c r="P127" i="19"/>
  <c r="R127" i="19" s="1"/>
  <c r="C133" i="9" s="1"/>
  <c r="Q127" i="19"/>
  <c r="A128" i="19"/>
  <c r="B128" i="19"/>
  <c r="C128" i="19"/>
  <c r="D128" i="19"/>
  <c r="E128" i="19"/>
  <c r="F128" i="19"/>
  <c r="G128" i="19"/>
  <c r="H128" i="19"/>
  <c r="I128" i="19"/>
  <c r="J128" i="19"/>
  <c r="K128" i="19"/>
  <c r="M128" i="19"/>
  <c r="N128" i="19"/>
  <c r="O128" i="19"/>
  <c r="Q128" i="19"/>
  <c r="A129" i="19"/>
  <c r="B129" i="19"/>
  <c r="C129" i="19"/>
  <c r="D129" i="19"/>
  <c r="E129" i="19"/>
  <c r="F129" i="19"/>
  <c r="G129" i="19"/>
  <c r="H129" i="19"/>
  <c r="I129" i="19"/>
  <c r="J129" i="19"/>
  <c r="K129" i="19"/>
  <c r="L129" i="19"/>
  <c r="F129" i="49" s="1"/>
  <c r="G129" i="49" s="1"/>
  <c r="M129" i="19"/>
  <c r="N129" i="19"/>
  <c r="O129" i="19"/>
  <c r="P129" i="19"/>
  <c r="R129" i="19" s="1"/>
  <c r="C129" i="33" s="1"/>
  <c r="Q129" i="19"/>
  <c r="A130" i="19"/>
  <c r="B130" i="19"/>
  <c r="C130" i="19"/>
  <c r="D130" i="19"/>
  <c r="E130" i="19"/>
  <c r="F130" i="19"/>
  <c r="G130" i="19"/>
  <c r="H130" i="19"/>
  <c r="I130" i="19"/>
  <c r="J130" i="19"/>
  <c r="K130" i="19"/>
  <c r="M130" i="19"/>
  <c r="N130" i="19"/>
  <c r="O130" i="19"/>
  <c r="Q130" i="19"/>
  <c r="A131" i="19"/>
  <c r="B131" i="19"/>
  <c r="C131" i="19"/>
  <c r="D131" i="19"/>
  <c r="E131" i="19"/>
  <c r="F131" i="19"/>
  <c r="G131" i="19"/>
  <c r="H131" i="19"/>
  <c r="I131" i="19"/>
  <c r="J131" i="19"/>
  <c r="K131" i="19"/>
  <c r="L131" i="19"/>
  <c r="F131" i="49" s="1"/>
  <c r="G131" i="49" s="1"/>
  <c r="M131" i="19"/>
  <c r="N131" i="19"/>
  <c r="O131" i="19"/>
  <c r="P131" i="19"/>
  <c r="R131" i="19" s="1"/>
  <c r="C137" i="9" s="1"/>
  <c r="Q131" i="19"/>
  <c r="A132" i="19"/>
  <c r="B132" i="19"/>
  <c r="C132" i="19"/>
  <c r="D132" i="19"/>
  <c r="E132" i="19"/>
  <c r="F132" i="19"/>
  <c r="G132" i="19"/>
  <c r="H132" i="19"/>
  <c r="I132" i="19"/>
  <c r="J132" i="19"/>
  <c r="K132" i="19"/>
  <c r="M132" i="19"/>
  <c r="N132" i="19"/>
  <c r="O132" i="19"/>
  <c r="Q132" i="19"/>
  <c r="A133" i="19"/>
  <c r="B133" i="19"/>
  <c r="C133" i="19"/>
  <c r="D133" i="19"/>
  <c r="E133" i="19"/>
  <c r="F133" i="19"/>
  <c r="G133" i="19"/>
  <c r="H133" i="19"/>
  <c r="I133" i="19"/>
  <c r="J133" i="19"/>
  <c r="K133" i="19"/>
  <c r="L133" i="19"/>
  <c r="F133" i="49" s="1"/>
  <c r="G133" i="49" s="1"/>
  <c r="M133" i="19"/>
  <c r="N133" i="19"/>
  <c r="O133" i="19"/>
  <c r="P133" i="19"/>
  <c r="R133" i="19" s="1"/>
  <c r="C133" i="33" s="1"/>
  <c r="Q133" i="19"/>
  <c r="A134" i="19"/>
  <c r="B134" i="19"/>
  <c r="C134" i="19"/>
  <c r="D134" i="19"/>
  <c r="E134" i="19"/>
  <c r="F134" i="19"/>
  <c r="G134" i="19"/>
  <c r="H134" i="19"/>
  <c r="I134" i="19"/>
  <c r="J134" i="19"/>
  <c r="K134" i="19"/>
  <c r="M134" i="19"/>
  <c r="N134" i="19"/>
  <c r="O134" i="19"/>
  <c r="Q134" i="19"/>
  <c r="A135" i="19"/>
  <c r="B135" i="19"/>
  <c r="C135" i="19"/>
  <c r="D135" i="19"/>
  <c r="E135" i="19"/>
  <c r="F135" i="19"/>
  <c r="G135" i="19"/>
  <c r="H135" i="19"/>
  <c r="I135" i="19"/>
  <c r="J135" i="19"/>
  <c r="K135" i="19"/>
  <c r="L135" i="19"/>
  <c r="F135" i="49" s="1"/>
  <c r="G135" i="49" s="1"/>
  <c r="M135" i="19"/>
  <c r="N135" i="19"/>
  <c r="O135" i="19"/>
  <c r="P135" i="19"/>
  <c r="R135" i="19" s="1"/>
  <c r="C141" i="9" s="1"/>
  <c r="Q135" i="19"/>
  <c r="A136" i="19"/>
  <c r="B136" i="19"/>
  <c r="C136" i="19"/>
  <c r="D136" i="19"/>
  <c r="E136" i="19"/>
  <c r="F136" i="19"/>
  <c r="G136" i="19"/>
  <c r="H136" i="19"/>
  <c r="I136" i="19"/>
  <c r="J136" i="19"/>
  <c r="K136" i="19"/>
  <c r="M136" i="19"/>
  <c r="N136" i="19"/>
  <c r="O136" i="19"/>
  <c r="Q136" i="19"/>
  <c r="A137" i="19"/>
  <c r="B137" i="19"/>
  <c r="C137" i="19"/>
  <c r="D137" i="19"/>
  <c r="E137" i="19"/>
  <c r="F137" i="19"/>
  <c r="G137" i="19"/>
  <c r="H137" i="19"/>
  <c r="I137" i="19"/>
  <c r="J137" i="19"/>
  <c r="K137" i="19"/>
  <c r="L137" i="19"/>
  <c r="F137" i="49" s="1"/>
  <c r="G137" i="49" s="1"/>
  <c r="M137" i="19"/>
  <c r="N137" i="19"/>
  <c r="O137" i="19"/>
  <c r="P137" i="19"/>
  <c r="R137" i="19" s="1"/>
  <c r="C137" i="33" s="1"/>
  <c r="Q137" i="19"/>
  <c r="A138" i="19"/>
  <c r="B138" i="19"/>
  <c r="C138" i="19"/>
  <c r="D138" i="19"/>
  <c r="E138" i="19"/>
  <c r="F138" i="19"/>
  <c r="G138" i="19"/>
  <c r="H138" i="19"/>
  <c r="I138" i="19"/>
  <c r="J138" i="19"/>
  <c r="K138" i="19"/>
  <c r="M138" i="19"/>
  <c r="N138" i="19"/>
  <c r="O138" i="19"/>
  <c r="Q138" i="19"/>
  <c r="A139" i="19"/>
  <c r="B139" i="19"/>
  <c r="C139" i="19"/>
  <c r="D139" i="19"/>
  <c r="E139" i="19"/>
  <c r="F139" i="19"/>
  <c r="G139" i="19"/>
  <c r="H139" i="19"/>
  <c r="I139" i="19"/>
  <c r="J139" i="19"/>
  <c r="K139" i="19"/>
  <c r="L139" i="19"/>
  <c r="F139" i="49" s="1"/>
  <c r="G139" i="49" s="1"/>
  <c r="M139" i="19"/>
  <c r="N139" i="19"/>
  <c r="O139" i="19"/>
  <c r="P139" i="19"/>
  <c r="R139" i="19" s="1"/>
  <c r="C145" i="9" s="1"/>
  <c r="Q139" i="19"/>
  <c r="A140" i="19"/>
  <c r="B140" i="19"/>
  <c r="C140" i="19"/>
  <c r="D140" i="19"/>
  <c r="E140" i="19"/>
  <c r="F140" i="19"/>
  <c r="G140" i="19"/>
  <c r="H140" i="19"/>
  <c r="I140" i="19"/>
  <c r="J140" i="19"/>
  <c r="K140" i="19"/>
  <c r="M140" i="19"/>
  <c r="N140" i="19"/>
  <c r="O140" i="19"/>
  <c r="Q140" i="19"/>
  <c r="A141" i="19"/>
  <c r="B141" i="19"/>
  <c r="C141" i="19"/>
  <c r="D141" i="19"/>
  <c r="E141" i="19"/>
  <c r="F141" i="19"/>
  <c r="G141" i="19"/>
  <c r="H141" i="19"/>
  <c r="I141" i="19"/>
  <c r="J141" i="19"/>
  <c r="K141" i="19"/>
  <c r="L141" i="19"/>
  <c r="F141" i="49" s="1"/>
  <c r="G141" i="49" s="1"/>
  <c r="M141" i="19"/>
  <c r="N141" i="19"/>
  <c r="O141" i="19"/>
  <c r="P141" i="19"/>
  <c r="R141" i="19" s="1"/>
  <c r="C147" i="9" s="1"/>
  <c r="Q141" i="19"/>
  <c r="A142" i="19"/>
  <c r="B142" i="19"/>
  <c r="C142" i="19"/>
  <c r="D142" i="19"/>
  <c r="E142" i="19"/>
  <c r="F142" i="19"/>
  <c r="G142" i="19"/>
  <c r="H142" i="19"/>
  <c r="I142" i="19"/>
  <c r="J142" i="19"/>
  <c r="K142" i="19"/>
  <c r="M142" i="19"/>
  <c r="N142" i="19"/>
  <c r="O142" i="19"/>
  <c r="Q142" i="19"/>
  <c r="A143" i="19"/>
  <c r="B143" i="19"/>
  <c r="C143" i="19"/>
  <c r="D143" i="19"/>
  <c r="E143" i="19"/>
  <c r="F143" i="19"/>
  <c r="G143" i="19"/>
  <c r="H143" i="19"/>
  <c r="I143" i="19"/>
  <c r="J143" i="19"/>
  <c r="K143" i="19"/>
  <c r="L143" i="19"/>
  <c r="F143" i="49" s="1"/>
  <c r="G143" i="49" s="1"/>
  <c r="M143" i="19"/>
  <c r="N143" i="19"/>
  <c r="O143" i="19"/>
  <c r="P143" i="19"/>
  <c r="R143" i="19" s="1"/>
  <c r="C149" i="9" s="1"/>
  <c r="Q143" i="19"/>
  <c r="A144" i="19"/>
  <c r="B144" i="19"/>
  <c r="C144" i="19"/>
  <c r="D144" i="19"/>
  <c r="E144" i="19"/>
  <c r="F144" i="19"/>
  <c r="G144" i="19"/>
  <c r="H144" i="19"/>
  <c r="I144" i="19"/>
  <c r="J144" i="19"/>
  <c r="K144" i="19"/>
  <c r="M144" i="19"/>
  <c r="N144" i="19"/>
  <c r="O144" i="19"/>
  <c r="Q144" i="19"/>
  <c r="A145" i="19"/>
  <c r="B145" i="19"/>
  <c r="C145" i="19"/>
  <c r="D145" i="19"/>
  <c r="E145" i="19"/>
  <c r="F145" i="19"/>
  <c r="G145" i="19"/>
  <c r="H145" i="19"/>
  <c r="I145" i="19"/>
  <c r="J145" i="19"/>
  <c r="K145" i="19"/>
  <c r="L145" i="19"/>
  <c r="F145" i="49" s="1"/>
  <c r="G145" i="49" s="1"/>
  <c r="M145" i="19"/>
  <c r="N145" i="19"/>
  <c r="O145" i="19"/>
  <c r="P145" i="19"/>
  <c r="R145" i="19" s="1"/>
  <c r="C145" i="33" s="1"/>
  <c r="Q145" i="19"/>
  <c r="A146" i="19"/>
  <c r="B146" i="19"/>
  <c r="C146" i="19"/>
  <c r="D146" i="19"/>
  <c r="E146" i="19"/>
  <c r="F146" i="19"/>
  <c r="G146" i="19"/>
  <c r="H146" i="19"/>
  <c r="I146" i="19"/>
  <c r="J146" i="19"/>
  <c r="K146" i="19"/>
  <c r="M146" i="19"/>
  <c r="N146" i="19"/>
  <c r="O146" i="19"/>
  <c r="Q146" i="19"/>
  <c r="A147" i="19"/>
  <c r="B147" i="19"/>
  <c r="C147" i="19"/>
  <c r="D147" i="19"/>
  <c r="E147" i="19"/>
  <c r="F147" i="19"/>
  <c r="G147" i="19"/>
  <c r="H147" i="19"/>
  <c r="I147" i="19"/>
  <c r="J147" i="19"/>
  <c r="K147" i="19"/>
  <c r="M147" i="19"/>
  <c r="N147" i="19"/>
  <c r="O147" i="19"/>
  <c r="Q147" i="19"/>
  <c r="A148" i="19"/>
  <c r="B148" i="19"/>
  <c r="C148" i="19"/>
  <c r="D148" i="19"/>
  <c r="E148" i="19"/>
  <c r="F148" i="19"/>
  <c r="G148" i="19"/>
  <c r="H148" i="19"/>
  <c r="I148" i="19"/>
  <c r="J148" i="19"/>
  <c r="K148" i="19"/>
  <c r="M148" i="19"/>
  <c r="N148" i="19"/>
  <c r="O148" i="19"/>
  <c r="Q148" i="19"/>
  <c r="A149" i="19"/>
  <c r="B149" i="19"/>
  <c r="C149" i="19"/>
  <c r="D149" i="19"/>
  <c r="E149" i="19"/>
  <c r="L149" i="19" s="1"/>
  <c r="F149" i="19"/>
  <c r="G149" i="19"/>
  <c r="H149" i="19"/>
  <c r="I149" i="19"/>
  <c r="J149" i="19"/>
  <c r="K149" i="19"/>
  <c r="M149" i="19"/>
  <c r="N149" i="19"/>
  <c r="O149" i="19"/>
  <c r="Q149" i="19"/>
  <c r="A150" i="19"/>
  <c r="B150" i="19"/>
  <c r="C150" i="19"/>
  <c r="D150" i="19"/>
  <c r="E150" i="19"/>
  <c r="F150" i="19"/>
  <c r="G150" i="19"/>
  <c r="H150" i="19"/>
  <c r="I150" i="19"/>
  <c r="J150" i="19"/>
  <c r="K150" i="19"/>
  <c r="M150" i="19"/>
  <c r="N150" i="19"/>
  <c r="O150" i="19"/>
  <c r="Q150" i="19"/>
  <c r="A151" i="19"/>
  <c r="B151" i="19"/>
  <c r="C151" i="19"/>
  <c r="D151" i="19"/>
  <c r="E151" i="19"/>
  <c r="L151" i="19" s="1"/>
  <c r="F151" i="19"/>
  <c r="G151" i="19"/>
  <c r="H151" i="19"/>
  <c r="I151" i="19"/>
  <c r="J151" i="19"/>
  <c r="K151" i="19"/>
  <c r="M151" i="19"/>
  <c r="N151" i="19"/>
  <c r="O151" i="19"/>
  <c r="Q151" i="19"/>
  <c r="A152" i="19"/>
  <c r="B152" i="19"/>
  <c r="C152" i="19"/>
  <c r="D152" i="19"/>
  <c r="E152" i="19"/>
  <c r="F152" i="19"/>
  <c r="G152" i="19"/>
  <c r="H152" i="19"/>
  <c r="I152" i="19"/>
  <c r="J152" i="19"/>
  <c r="K152" i="19"/>
  <c r="M152" i="19"/>
  <c r="N152" i="19"/>
  <c r="O152" i="19"/>
  <c r="Q152" i="19"/>
  <c r="A153" i="19"/>
  <c r="B153" i="19"/>
  <c r="C153" i="19"/>
  <c r="L153" i="19" s="1"/>
  <c r="D153" i="19"/>
  <c r="E153" i="19"/>
  <c r="F153" i="19"/>
  <c r="G153" i="19"/>
  <c r="H153" i="19"/>
  <c r="I153" i="19"/>
  <c r="J153" i="19"/>
  <c r="K153" i="19"/>
  <c r="M153" i="19"/>
  <c r="N153" i="19"/>
  <c r="O153" i="19"/>
  <c r="Q153" i="19"/>
  <c r="A154" i="19"/>
  <c r="B154" i="19"/>
  <c r="C154" i="19"/>
  <c r="D154" i="19"/>
  <c r="E154" i="19"/>
  <c r="F154" i="19"/>
  <c r="G154" i="19"/>
  <c r="H154" i="19"/>
  <c r="I154" i="19"/>
  <c r="J154" i="19"/>
  <c r="K154" i="19"/>
  <c r="M154" i="19"/>
  <c r="N154" i="19"/>
  <c r="O154" i="19"/>
  <c r="Q154" i="19"/>
  <c r="A155" i="19"/>
  <c r="B155" i="19"/>
  <c r="C155" i="19"/>
  <c r="D155" i="19"/>
  <c r="E155" i="19"/>
  <c r="F155" i="19"/>
  <c r="G155" i="19"/>
  <c r="H155" i="19"/>
  <c r="I155" i="19"/>
  <c r="J155" i="19"/>
  <c r="K155" i="19"/>
  <c r="M155" i="19"/>
  <c r="N155" i="19"/>
  <c r="O155" i="19"/>
  <c r="Q155" i="19"/>
  <c r="A156" i="19"/>
  <c r="B156" i="19"/>
  <c r="C156" i="19"/>
  <c r="D156" i="19"/>
  <c r="E156" i="19"/>
  <c r="F156" i="19"/>
  <c r="G156" i="19"/>
  <c r="H156" i="19"/>
  <c r="I156" i="19"/>
  <c r="J156" i="19"/>
  <c r="K156" i="19"/>
  <c r="M156" i="19"/>
  <c r="N156" i="19"/>
  <c r="O156" i="19"/>
  <c r="Q156" i="19"/>
  <c r="A157" i="19"/>
  <c r="B157" i="19"/>
  <c r="C157" i="19"/>
  <c r="D157" i="19"/>
  <c r="E157" i="19"/>
  <c r="F157" i="19"/>
  <c r="G157" i="19"/>
  <c r="H157" i="19"/>
  <c r="I157" i="19"/>
  <c r="J157" i="19"/>
  <c r="K157" i="19"/>
  <c r="L157" i="19"/>
  <c r="F157" i="49" s="1"/>
  <c r="G157" i="49" s="1"/>
  <c r="M157" i="19"/>
  <c r="N157" i="19"/>
  <c r="O157" i="19"/>
  <c r="P157" i="19"/>
  <c r="R157" i="19" s="1"/>
  <c r="C157" i="33" s="1"/>
  <c r="Q157" i="19"/>
  <c r="A158" i="19"/>
  <c r="B158" i="19"/>
  <c r="C158" i="19"/>
  <c r="D158" i="19"/>
  <c r="E158" i="19"/>
  <c r="F158" i="19"/>
  <c r="G158" i="19"/>
  <c r="H158" i="19"/>
  <c r="I158" i="19"/>
  <c r="J158" i="19"/>
  <c r="K158" i="19"/>
  <c r="M158" i="19"/>
  <c r="N158" i="19"/>
  <c r="O158" i="19"/>
  <c r="Q158" i="19"/>
  <c r="A159" i="19"/>
  <c r="B159" i="19"/>
  <c r="C159" i="19"/>
  <c r="D159" i="19"/>
  <c r="E159" i="19"/>
  <c r="F159" i="19"/>
  <c r="G159" i="19"/>
  <c r="H159" i="19"/>
  <c r="I159" i="19"/>
  <c r="J159" i="19"/>
  <c r="K159" i="19"/>
  <c r="L159" i="19"/>
  <c r="F159" i="49" s="1"/>
  <c r="G159" i="49" s="1"/>
  <c r="M159" i="19"/>
  <c r="N159" i="19"/>
  <c r="O159" i="19"/>
  <c r="P159" i="19"/>
  <c r="R159" i="19" s="1"/>
  <c r="C159" i="33" s="1"/>
  <c r="Q159" i="19"/>
  <c r="A160" i="19"/>
  <c r="B160" i="19"/>
  <c r="C160" i="19"/>
  <c r="D160" i="19"/>
  <c r="E160" i="19"/>
  <c r="F160" i="19"/>
  <c r="G160" i="19"/>
  <c r="H160" i="19"/>
  <c r="I160" i="19"/>
  <c r="J160" i="19"/>
  <c r="K160" i="19"/>
  <c r="M160" i="19"/>
  <c r="N160" i="19"/>
  <c r="O160" i="19"/>
  <c r="Q160" i="19"/>
  <c r="A161" i="19"/>
  <c r="B161" i="19"/>
  <c r="C161" i="19"/>
  <c r="D161" i="19"/>
  <c r="E161" i="19"/>
  <c r="F161" i="19"/>
  <c r="G161" i="19"/>
  <c r="H161" i="19"/>
  <c r="I161" i="19"/>
  <c r="J161" i="19"/>
  <c r="K161" i="19"/>
  <c r="L161" i="19"/>
  <c r="F161" i="49" s="1"/>
  <c r="G161" i="49" s="1"/>
  <c r="M161" i="19"/>
  <c r="N161" i="19"/>
  <c r="O161" i="19"/>
  <c r="P161" i="19"/>
  <c r="R161" i="19" s="1"/>
  <c r="C161" i="33" s="1"/>
  <c r="Q161" i="19"/>
  <c r="A162" i="19"/>
  <c r="B162" i="19"/>
  <c r="C162" i="19"/>
  <c r="D162" i="19"/>
  <c r="E162" i="19"/>
  <c r="F162" i="19"/>
  <c r="G162" i="19"/>
  <c r="H162" i="19"/>
  <c r="I162" i="19"/>
  <c r="J162" i="19"/>
  <c r="K162" i="19"/>
  <c r="M162" i="19"/>
  <c r="N162" i="19"/>
  <c r="O162" i="19"/>
  <c r="Q162" i="19"/>
  <c r="A163" i="19"/>
  <c r="B163" i="19"/>
  <c r="C163" i="19"/>
  <c r="D163" i="19"/>
  <c r="E163" i="19"/>
  <c r="F163" i="19"/>
  <c r="G163" i="19"/>
  <c r="H163" i="19"/>
  <c r="I163" i="19"/>
  <c r="J163" i="19"/>
  <c r="K163" i="19"/>
  <c r="L163" i="19"/>
  <c r="F163" i="49" s="1"/>
  <c r="G163" i="49" s="1"/>
  <c r="M163" i="19"/>
  <c r="N163" i="19"/>
  <c r="O163" i="19"/>
  <c r="P163" i="19"/>
  <c r="R163" i="19" s="1"/>
  <c r="C169" i="9" s="1"/>
  <c r="Q163" i="19"/>
  <c r="A164" i="19"/>
  <c r="B164" i="19"/>
  <c r="C164" i="19"/>
  <c r="D164" i="19"/>
  <c r="E164" i="19"/>
  <c r="F164" i="19"/>
  <c r="G164" i="19"/>
  <c r="H164" i="19"/>
  <c r="I164" i="19"/>
  <c r="J164" i="19"/>
  <c r="K164" i="19"/>
  <c r="M164" i="19"/>
  <c r="N164" i="19"/>
  <c r="O164" i="19"/>
  <c r="Q164" i="19"/>
  <c r="A165" i="19"/>
  <c r="B165" i="19"/>
  <c r="C165" i="19"/>
  <c r="D165" i="19"/>
  <c r="E165" i="19"/>
  <c r="F165" i="19"/>
  <c r="G165" i="19"/>
  <c r="H165" i="19"/>
  <c r="I165" i="19"/>
  <c r="J165" i="19"/>
  <c r="K165" i="19"/>
  <c r="L165" i="19"/>
  <c r="F165" i="49" s="1"/>
  <c r="G165" i="49" s="1"/>
  <c r="M165" i="19"/>
  <c r="N165" i="19"/>
  <c r="O165" i="19"/>
  <c r="P165" i="19"/>
  <c r="R165" i="19" s="1"/>
  <c r="C165" i="33" s="1"/>
  <c r="Q165" i="19"/>
  <c r="A166" i="19"/>
  <c r="B166" i="19"/>
  <c r="C166" i="19"/>
  <c r="D166" i="19"/>
  <c r="E166" i="19"/>
  <c r="F166" i="19"/>
  <c r="G166" i="19"/>
  <c r="H166" i="19"/>
  <c r="I166" i="19"/>
  <c r="J166" i="19"/>
  <c r="K166" i="19"/>
  <c r="M166" i="19"/>
  <c r="N166" i="19"/>
  <c r="O166" i="19"/>
  <c r="Q166" i="19"/>
  <c r="A167" i="19"/>
  <c r="B167" i="19"/>
  <c r="C167" i="19"/>
  <c r="D167" i="19"/>
  <c r="E167" i="19"/>
  <c r="F167" i="19"/>
  <c r="G167" i="19"/>
  <c r="H167" i="19"/>
  <c r="I167" i="19"/>
  <c r="J167" i="19"/>
  <c r="K167" i="19"/>
  <c r="L167" i="19"/>
  <c r="F167" i="49" s="1"/>
  <c r="G167" i="49" s="1"/>
  <c r="M167" i="19"/>
  <c r="N167" i="19"/>
  <c r="O167" i="19"/>
  <c r="P167" i="19"/>
  <c r="R167" i="19" s="1"/>
  <c r="C173" i="9" s="1"/>
  <c r="Q167" i="19"/>
  <c r="A168" i="19"/>
  <c r="B168" i="19"/>
  <c r="C168" i="19"/>
  <c r="D168" i="19"/>
  <c r="E168" i="19"/>
  <c r="F168" i="19"/>
  <c r="G168" i="19"/>
  <c r="H168" i="19"/>
  <c r="I168" i="19"/>
  <c r="J168" i="19"/>
  <c r="K168" i="19"/>
  <c r="M168" i="19"/>
  <c r="N168" i="19"/>
  <c r="O168" i="19"/>
  <c r="Q168" i="19"/>
  <c r="A169" i="19"/>
  <c r="B169" i="19"/>
  <c r="C169" i="19"/>
  <c r="D169" i="19"/>
  <c r="E169" i="19"/>
  <c r="F169" i="19"/>
  <c r="G169" i="19"/>
  <c r="H169" i="19"/>
  <c r="I169" i="19"/>
  <c r="J169" i="19"/>
  <c r="K169" i="19"/>
  <c r="L169" i="19"/>
  <c r="F169" i="49" s="1"/>
  <c r="G169" i="49" s="1"/>
  <c r="M169" i="19"/>
  <c r="N169" i="19"/>
  <c r="O169" i="19"/>
  <c r="P169" i="19"/>
  <c r="R169" i="19" s="1"/>
  <c r="C169" i="33" s="1"/>
  <c r="Q169" i="19"/>
  <c r="A170" i="19"/>
  <c r="B170" i="19"/>
  <c r="C170" i="19"/>
  <c r="D170" i="19"/>
  <c r="E170" i="19"/>
  <c r="F170" i="19"/>
  <c r="G170" i="19"/>
  <c r="H170" i="19"/>
  <c r="I170" i="19"/>
  <c r="J170" i="19"/>
  <c r="K170" i="19"/>
  <c r="M170" i="19"/>
  <c r="N170" i="19"/>
  <c r="O170" i="19"/>
  <c r="Q170" i="19"/>
  <c r="A171" i="19"/>
  <c r="B171" i="19"/>
  <c r="C171" i="19"/>
  <c r="D171" i="19"/>
  <c r="E171" i="19"/>
  <c r="F171" i="19"/>
  <c r="G171" i="19"/>
  <c r="H171" i="19"/>
  <c r="I171" i="19"/>
  <c r="J171" i="19"/>
  <c r="K171" i="19"/>
  <c r="L171" i="19"/>
  <c r="F171" i="49" s="1"/>
  <c r="G171" i="49" s="1"/>
  <c r="M171" i="19"/>
  <c r="N171" i="19"/>
  <c r="O171" i="19"/>
  <c r="P171" i="19"/>
  <c r="R171" i="19" s="1"/>
  <c r="C171" i="33" s="1"/>
  <c r="Q171" i="19"/>
  <c r="A172" i="19"/>
  <c r="B172" i="19"/>
  <c r="C172" i="19"/>
  <c r="D172" i="19"/>
  <c r="E172" i="19"/>
  <c r="F172" i="19"/>
  <c r="G172" i="19"/>
  <c r="H172" i="19"/>
  <c r="I172" i="19"/>
  <c r="J172" i="19"/>
  <c r="K172" i="19"/>
  <c r="M172" i="19"/>
  <c r="N172" i="19"/>
  <c r="O172" i="19"/>
  <c r="Q172" i="19"/>
  <c r="A173" i="19"/>
  <c r="B173" i="19"/>
  <c r="C173" i="19"/>
  <c r="D173" i="19"/>
  <c r="E173" i="19"/>
  <c r="F173" i="19"/>
  <c r="G173" i="19"/>
  <c r="H173" i="19"/>
  <c r="I173" i="19"/>
  <c r="J173" i="19"/>
  <c r="K173" i="19"/>
  <c r="L173" i="19"/>
  <c r="F173" i="49" s="1"/>
  <c r="G173" i="49" s="1"/>
  <c r="M173" i="19"/>
  <c r="N173" i="19"/>
  <c r="O173" i="19"/>
  <c r="P173" i="19"/>
  <c r="R173" i="19" s="1"/>
  <c r="C173" i="33" s="1"/>
  <c r="Q173" i="19"/>
  <c r="A174" i="19"/>
  <c r="B174" i="19"/>
  <c r="C174" i="19"/>
  <c r="D174" i="19"/>
  <c r="E174" i="19"/>
  <c r="F174" i="19"/>
  <c r="G174" i="19"/>
  <c r="H174" i="19"/>
  <c r="I174" i="19"/>
  <c r="J174" i="19"/>
  <c r="K174" i="19"/>
  <c r="M174" i="19"/>
  <c r="N174" i="19"/>
  <c r="O174" i="19"/>
  <c r="Q174" i="19"/>
  <c r="A175" i="19"/>
  <c r="B175" i="19"/>
  <c r="C175" i="19"/>
  <c r="D175" i="19"/>
  <c r="E175" i="19"/>
  <c r="F175" i="19"/>
  <c r="G175" i="19"/>
  <c r="H175" i="19"/>
  <c r="I175" i="19"/>
  <c r="J175" i="19"/>
  <c r="K175" i="19"/>
  <c r="L175" i="19"/>
  <c r="F175" i="49" s="1"/>
  <c r="G175" i="49" s="1"/>
  <c r="M175" i="19"/>
  <c r="N175" i="19"/>
  <c r="O175" i="19"/>
  <c r="P175" i="19"/>
  <c r="R175" i="19" s="1"/>
  <c r="C181" i="9" s="1"/>
  <c r="Q175" i="19"/>
  <c r="A176" i="19"/>
  <c r="B176" i="19"/>
  <c r="C176" i="19"/>
  <c r="D176" i="19"/>
  <c r="E176" i="19"/>
  <c r="F176" i="19"/>
  <c r="G176" i="19"/>
  <c r="H176" i="19"/>
  <c r="I176" i="19"/>
  <c r="J176" i="19"/>
  <c r="K176" i="19"/>
  <c r="M176" i="19"/>
  <c r="N176" i="19"/>
  <c r="O176" i="19"/>
  <c r="Q176" i="19"/>
  <c r="A177" i="19"/>
  <c r="B177" i="19"/>
  <c r="C177" i="19"/>
  <c r="D177" i="19"/>
  <c r="E177" i="19"/>
  <c r="F177" i="19"/>
  <c r="G177" i="19"/>
  <c r="H177" i="19"/>
  <c r="I177" i="19"/>
  <c r="J177" i="19"/>
  <c r="K177" i="19"/>
  <c r="L177" i="19"/>
  <c r="F177" i="49" s="1"/>
  <c r="G177" i="49" s="1"/>
  <c r="M177" i="19"/>
  <c r="N177" i="19"/>
  <c r="O177" i="19"/>
  <c r="P177" i="19"/>
  <c r="R177" i="19" s="1"/>
  <c r="C183" i="9" s="1"/>
  <c r="Q177" i="19"/>
  <c r="A178" i="19"/>
  <c r="B178" i="19"/>
  <c r="C178" i="19"/>
  <c r="D178" i="19"/>
  <c r="E178" i="19"/>
  <c r="F178" i="19"/>
  <c r="G178" i="19"/>
  <c r="H178" i="19"/>
  <c r="I178" i="19"/>
  <c r="J178" i="19"/>
  <c r="K178" i="19"/>
  <c r="M178" i="19"/>
  <c r="N178" i="19"/>
  <c r="O178" i="19"/>
  <c r="Q178" i="19"/>
  <c r="A179" i="19"/>
  <c r="B179" i="19"/>
  <c r="C179" i="19"/>
  <c r="D179" i="19"/>
  <c r="E179" i="19"/>
  <c r="F179" i="19"/>
  <c r="G179" i="19"/>
  <c r="H179" i="19"/>
  <c r="I179" i="19"/>
  <c r="J179" i="19"/>
  <c r="K179" i="19"/>
  <c r="L179" i="19"/>
  <c r="M179" i="19"/>
  <c r="N179" i="19"/>
  <c r="O179" i="19"/>
  <c r="Q179" i="19"/>
  <c r="A180" i="19"/>
  <c r="B180" i="19"/>
  <c r="C180" i="19"/>
  <c r="D180" i="19"/>
  <c r="E180" i="19"/>
  <c r="F180" i="19"/>
  <c r="G180" i="19"/>
  <c r="H180" i="19"/>
  <c r="I180" i="19"/>
  <c r="J180" i="19"/>
  <c r="K180" i="19"/>
  <c r="M180" i="19"/>
  <c r="N180" i="19"/>
  <c r="O180" i="19"/>
  <c r="Q180" i="19"/>
  <c r="A181" i="19"/>
  <c r="B181" i="19"/>
  <c r="C181" i="19"/>
  <c r="D181" i="19"/>
  <c r="E181" i="19"/>
  <c r="L181" i="19" s="1"/>
  <c r="F181" i="19"/>
  <c r="G181" i="19"/>
  <c r="H181" i="19"/>
  <c r="I181" i="19"/>
  <c r="J181" i="19"/>
  <c r="K181" i="19"/>
  <c r="M181" i="19"/>
  <c r="N181" i="19"/>
  <c r="O181" i="19"/>
  <c r="Q181" i="19"/>
  <c r="A182" i="19"/>
  <c r="B182" i="19"/>
  <c r="C182" i="19"/>
  <c r="D182" i="19"/>
  <c r="E182" i="19"/>
  <c r="F182" i="19"/>
  <c r="G182" i="19"/>
  <c r="H182" i="19"/>
  <c r="I182" i="19"/>
  <c r="J182" i="19"/>
  <c r="K182" i="19"/>
  <c r="M182" i="19"/>
  <c r="N182" i="19"/>
  <c r="O182" i="19"/>
  <c r="Q182" i="19"/>
  <c r="A183" i="19"/>
  <c r="B183" i="19"/>
  <c r="C183" i="19"/>
  <c r="D183" i="19"/>
  <c r="E183" i="19"/>
  <c r="L183" i="19" s="1"/>
  <c r="F183" i="19"/>
  <c r="G183" i="19"/>
  <c r="H183" i="19"/>
  <c r="I183" i="19"/>
  <c r="J183" i="19"/>
  <c r="K183" i="19"/>
  <c r="M183" i="19"/>
  <c r="N183" i="19"/>
  <c r="O183" i="19"/>
  <c r="Q183" i="19"/>
  <c r="A184" i="19"/>
  <c r="B184" i="19"/>
  <c r="C184" i="19"/>
  <c r="D184" i="19"/>
  <c r="E184" i="19"/>
  <c r="F184" i="19"/>
  <c r="G184" i="19"/>
  <c r="H184" i="19"/>
  <c r="I184" i="19"/>
  <c r="J184" i="19"/>
  <c r="K184" i="19"/>
  <c r="M184" i="19"/>
  <c r="N184" i="19"/>
  <c r="O184" i="19"/>
  <c r="Q184" i="19"/>
  <c r="A185" i="19"/>
  <c r="B185" i="19"/>
  <c r="C185" i="19"/>
  <c r="D185" i="19"/>
  <c r="E185" i="19"/>
  <c r="L185" i="19" s="1"/>
  <c r="F185" i="19"/>
  <c r="G185" i="19"/>
  <c r="H185" i="19"/>
  <c r="I185" i="19"/>
  <c r="J185" i="19"/>
  <c r="K185" i="19"/>
  <c r="M185" i="19"/>
  <c r="N185" i="19"/>
  <c r="O185" i="19"/>
  <c r="Q185" i="19"/>
  <c r="A186" i="19"/>
  <c r="B186" i="19"/>
  <c r="C186" i="19"/>
  <c r="D186" i="19"/>
  <c r="E186" i="19"/>
  <c r="F186" i="19"/>
  <c r="G186" i="19"/>
  <c r="H186" i="19"/>
  <c r="I186" i="19"/>
  <c r="J186" i="19"/>
  <c r="K186" i="19"/>
  <c r="M186" i="19"/>
  <c r="N186" i="19"/>
  <c r="O186" i="19"/>
  <c r="Q186" i="19"/>
  <c r="A187" i="19"/>
  <c r="B187" i="19"/>
  <c r="C187" i="19"/>
  <c r="D187" i="19"/>
  <c r="E187" i="19"/>
  <c r="F187" i="19"/>
  <c r="G187" i="19"/>
  <c r="H187" i="19"/>
  <c r="I187" i="19"/>
  <c r="J187" i="19"/>
  <c r="K187" i="19"/>
  <c r="M187" i="19"/>
  <c r="N187" i="19"/>
  <c r="O187" i="19"/>
  <c r="Q187" i="19"/>
  <c r="A188" i="19"/>
  <c r="B188" i="19"/>
  <c r="C188" i="19"/>
  <c r="D188" i="19"/>
  <c r="E188" i="19"/>
  <c r="F188" i="19"/>
  <c r="G188" i="19"/>
  <c r="H188" i="19"/>
  <c r="I188" i="19"/>
  <c r="J188" i="19"/>
  <c r="K188" i="19"/>
  <c r="M188" i="19"/>
  <c r="N188" i="19"/>
  <c r="O188" i="19"/>
  <c r="Q188" i="19"/>
  <c r="A189" i="19"/>
  <c r="B189" i="19"/>
  <c r="C189" i="19"/>
  <c r="L189" i="19" s="1"/>
  <c r="D189" i="19"/>
  <c r="E189" i="19"/>
  <c r="F189" i="19"/>
  <c r="G189" i="19"/>
  <c r="H189" i="19"/>
  <c r="I189" i="19"/>
  <c r="J189" i="19"/>
  <c r="K189" i="19"/>
  <c r="M189" i="19"/>
  <c r="N189" i="19"/>
  <c r="O189" i="19"/>
  <c r="Q189" i="19"/>
  <c r="A190" i="19"/>
  <c r="B190" i="19"/>
  <c r="C190" i="19"/>
  <c r="D190" i="19"/>
  <c r="E190" i="19"/>
  <c r="F190" i="19"/>
  <c r="G190" i="19"/>
  <c r="H190" i="19"/>
  <c r="I190" i="19"/>
  <c r="J190" i="19"/>
  <c r="K190" i="19"/>
  <c r="M190" i="19"/>
  <c r="N190" i="19"/>
  <c r="O190" i="19"/>
  <c r="Q190" i="19"/>
  <c r="A191" i="19"/>
  <c r="B191" i="19"/>
  <c r="C191" i="19"/>
  <c r="L191" i="19" s="1"/>
  <c r="D191" i="19"/>
  <c r="E191" i="19"/>
  <c r="F191" i="19"/>
  <c r="G191" i="19"/>
  <c r="H191" i="19"/>
  <c r="I191" i="19"/>
  <c r="J191" i="19"/>
  <c r="K191" i="19"/>
  <c r="M191" i="19"/>
  <c r="N191" i="19"/>
  <c r="O191" i="19"/>
  <c r="Q191" i="19"/>
  <c r="A192" i="19"/>
  <c r="B192" i="19"/>
  <c r="C192" i="19"/>
  <c r="D192" i="19"/>
  <c r="E192" i="19"/>
  <c r="F192" i="19"/>
  <c r="G192" i="19"/>
  <c r="H192" i="19"/>
  <c r="I192" i="19"/>
  <c r="J192" i="19"/>
  <c r="K192" i="19"/>
  <c r="M192" i="19"/>
  <c r="N192" i="19"/>
  <c r="O192" i="19"/>
  <c r="Q192" i="19"/>
  <c r="A193" i="19"/>
  <c r="B193" i="19"/>
  <c r="C193" i="19"/>
  <c r="L193" i="19" s="1"/>
  <c r="D193" i="19"/>
  <c r="E193" i="19"/>
  <c r="F193" i="19"/>
  <c r="G193" i="19"/>
  <c r="H193" i="19"/>
  <c r="I193" i="19"/>
  <c r="J193" i="19"/>
  <c r="K193" i="19"/>
  <c r="M193" i="19"/>
  <c r="N193" i="19"/>
  <c r="O193" i="19"/>
  <c r="Q193" i="19"/>
  <c r="A194" i="19"/>
  <c r="B194" i="19"/>
  <c r="C194" i="19"/>
  <c r="D194" i="19"/>
  <c r="E194" i="19"/>
  <c r="F194" i="19"/>
  <c r="G194" i="19"/>
  <c r="H194" i="19"/>
  <c r="I194" i="19"/>
  <c r="J194" i="19"/>
  <c r="K194" i="19"/>
  <c r="M194" i="19"/>
  <c r="N194" i="19"/>
  <c r="O194" i="19"/>
  <c r="Q194" i="19"/>
  <c r="A195" i="19"/>
  <c r="B195" i="19"/>
  <c r="C195" i="19"/>
  <c r="L195" i="19" s="1"/>
  <c r="D195" i="19"/>
  <c r="E195" i="19"/>
  <c r="F195" i="19"/>
  <c r="G195" i="19"/>
  <c r="H195" i="19"/>
  <c r="I195" i="19"/>
  <c r="J195" i="19"/>
  <c r="K195" i="19"/>
  <c r="M195" i="19"/>
  <c r="N195" i="19"/>
  <c r="O195" i="19"/>
  <c r="Q195" i="19"/>
  <c r="A196" i="19"/>
  <c r="B196" i="19"/>
  <c r="C196" i="19"/>
  <c r="D196" i="19"/>
  <c r="E196" i="19"/>
  <c r="F196" i="19"/>
  <c r="G196" i="19"/>
  <c r="H196" i="19"/>
  <c r="I196" i="19"/>
  <c r="J196" i="19"/>
  <c r="K196" i="19"/>
  <c r="M196" i="19"/>
  <c r="N196" i="19"/>
  <c r="O196" i="19"/>
  <c r="Q196" i="19"/>
  <c r="A197" i="19"/>
  <c r="B197" i="19"/>
  <c r="C197" i="19"/>
  <c r="L197" i="19" s="1"/>
  <c r="D197" i="19"/>
  <c r="E197" i="19"/>
  <c r="F197" i="19"/>
  <c r="G197" i="19"/>
  <c r="H197" i="19"/>
  <c r="I197" i="19"/>
  <c r="J197" i="19"/>
  <c r="K197" i="19"/>
  <c r="M197" i="19"/>
  <c r="N197" i="19"/>
  <c r="O197" i="19"/>
  <c r="Q197" i="19"/>
  <c r="A198" i="19"/>
  <c r="B198" i="19"/>
  <c r="C198" i="19"/>
  <c r="D198" i="19"/>
  <c r="E198" i="19"/>
  <c r="F198" i="19"/>
  <c r="G198" i="19"/>
  <c r="H198" i="19"/>
  <c r="I198" i="19"/>
  <c r="J198" i="19"/>
  <c r="K198" i="19"/>
  <c r="M198" i="19"/>
  <c r="N198" i="19"/>
  <c r="O198" i="19"/>
  <c r="Q198" i="19"/>
  <c r="A199" i="19"/>
  <c r="B199" i="19"/>
  <c r="C199" i="19"/>
  <c r="L199" i="19" s="1"/>
  <c r="D199" i="19"/>
  <c r="E199" i="19"/>
  <c r="F199" i="19"/>
  <c r="G199" i="19"/>
  <c r="H199" i="19"/>
  <c r="I199" i="19"/>
  <c r="J199" i="19"/>
  <c r="K199" i="19"/>
  <c r="M199" i="19"/>
  <c r="N199" i="19"/>
  <c r="O199" i="19"/>
  <c r="Q199" i="19"/>
  <c r="A200" i="19"/>
  <c r="B200" i="19"/>
  <c r="C200" i="19"/>
  <c r="D200" i="19"/>
  <c r="E200" i="19"/>
  <c r="F200" i="19"/>
  <c r="G200" i="19"/>
  <c r="H200" i="19"/>
  <c r="I200" i="19"/>
  <c r="J200" i="19"/>
  <c r="K200" i="19"/>
  <c r="M200" i="19"/>
  <c r="N200" i="19"/>
  <c r="O200" i="19"/>
  <c r="Q200" i="19"/>
  <c r="A201" i="19"/>
  <c r="B201" i="19"/>
  <c r="C201" i="19"/>
  <c r="L201" i="19" s="1"/>
  <c r="D201" i="19"/>
  <c r="E201" i="19"/>
  <c r="F201" i="19"/>
  <c r="G201" i="19"/>
  <c r="H201" i="19"/>
  <c r="I201" i="19"/>
  <c r="J201" i="19"/>
  <c r="K201" i="19"/>
  <c r="M201" i="19"/>
  <c r="N201" i="19"/>
  <c r="O201" i="19"/>
  <c r="Q201" i="19"/>
  <c r="A202" i="19"/>
  <c r="B202" i="19"/>
  <c r="C202" i="19"/>
  <c r="D202" i="19"/>
  <c r="E202" i="19"/>
  <c r="F202" i="19"/>
  <c r="G202" i="19"/>
  <c r="H202" i="19"/>
  <c r="I202" i="19"/>
  <c r="J202" i="19"/>
  <c r="K202" i="19"/>
  <c r="M202" i="19"/>
  <c r="N202" i="19"/>
  <c r="O202" i="19"/>
  <c r="Q202" i="19"/>
  <c r="A203" i="19"/>
  <c r="B203" i="19"/>
  <c r="C203" i="19"/>
  <c r="L203" i="19" s="1"/>
  <c r="D203" i="19"/>
  <c r="E203" i="19"/>
  <c r="F203" i="19"/>
  <c r="G203" i="19"/>
  <c r="H203" i="19"/>
  <c r="I203" i="19"/>
  <c r="J203" i="19"/>
  <c r="K203" i="19"/>
  <c r="M203" i="19"/>
  <c r="N203" i="19"/>
  <c r="O203" i="19"/>
  <c r="Q203" i="19"/>
  <c r="A204" i="19"/>
  <c r="B204" i="19"/>
  <c r="C204" i="19"/>
  <c r="D204" i="19"/>
  <c r="E204" i="19"/>
  <c r="F204" i="19"/>
  <c r="G204" i="19"/>
  <c r="H204" i="19"/>
  <c r="I204" i="19"/>
  <c r="J204" i="19"/>
  <c r="K204" i="19"/>
  <c r="M204" i="19"/>
  <c r="N204" i="19"/>
  <c r="O204" i="19"/>
  <c r="Q204" i="19"/>
  <c r="A205" i="19"/>
  <c r="B205" i="19"/>
  <c r="C205" i="19"/>
  <c r="L205" i="19" s="1"/>
  <c r="D205" i="19"/>
  <c r="E205" i="19"/>
  <c r="F205" i="19"/>
  <c r="G205" i="19"/>
  <c r="H205" i="19"/>
  <c r="I205" i="19"/>
  <c r="J205" i="19"/>
  <c r="K205" i="19"/>
  <c r="M205" i="19"/>
  <c r="N205" i="19"/>
  <c r="O205" i="19"/>
  <c r="Q205" i="19"/>
  <c r="A206" i="19"/>
  <c r="B206" i="19"/>
  <c r="C206" i="19"/>
  <c r="D206" i="19"/>
  <c r="E206" i="19"/>
  <c r="F206" i="19"/>
  <c r="G206" i="19"/>
  <c r="H206" i="19"/>
  <c r="I206" i="19"/>
  <c r="J206" i="19"/>
  <c r="K206" i="19"/>
  <c r="M206" i="19"/>
  <c r="N206" i="19"/>
  <c r="O206" i="19"/>
  <c r="Q206" i="19"/>
  <c r="A207" i="19"/>
  <c r="B207" i="19"/>
  <c r="C207" i="19"/>
  <c r="L207" i="19" s="1"/>
  <c r="D207" i="19"/>
  <c r="E207" i="19"/>
  <c r="F207" i="19"/>
  <c r="G207" i="19"/>
  <c r="H207" i="19"/>
  <c r="I207" i="19"/>
  <c r="J207" i="19"/>
  <c r="K207" i="19"/>
  <c r="M207" i="19"/>
  <c r="N207" i="19"/>
  <c r="O207" i="19"/>
  <c r="Q207" i="19"/>
  <c r="A208" i="19"/>
  <c r="B208" i="19"/>
  <c r="C208" i="19"/>
  <c r="D208" i="19"/>
  <c r="E208" i="19"/>
  <c r="F208" i="19"/>
  <c r="G208" i="19"/>
  <c r="H208" i="19"/>
  <c r="I208" i="19"/>
  <c r="J208" i="19"/>
  <c r="K208" i="19"/>
  <c r="M208" i="19"/>
  <c r="N208" i="19"/>
  <c r="O208" i="19"/>
  <c r="Q208" i="19"/>
  <c r="A209" i="19"/>
  <c r="B209" i="19"/>
  <c r="C209" i="19"/>
  <c r="D209" i="19"/>
  <c r="E209" i="19"/>
  <c r="F209" i="19"/>
  <c r="G209" i="19"/>
  <c r="H209" i="19"/>
  <c r="I209" i="19"/>
  <c r="J209" i="19"/>
  <c r="K209" i="19"/>
  <c r="M209" i="19"/>
  <c r="N209" i="19"/>
  <c r="O209" i="19"/>
  <c r="Q209" i="19"/>
  <c r="A210" i="19"/>
  <c r="B210" i="19"/>
  <c r="C210" i="19"/>
  <c r="D210" i="19"/>
  <c r="E210" i="19"/>
  <c r="F210" i="19"/>
  <c r="G210" i="19"/>
  <c r="H210" i="19"/>
  <c r="I210" i="19"/>
  <c r="J210" i="19"/>
  <c r="K210" i="19"/>
  <c r="M210" i="19"/>
  <c r="N210" i="19"/>
  <c r="O210" i="19"/>
  <c r="Q210" i="19"/>
  <c r="A211" i="19"/>
  <c r="B211" i="19"/>
  <c r="C211" i="19"/>
  <c r="D211" i="19"/>
  <c r="E211" i="19"/>
  <c r="L211" i="19" s="1"/>
  <c r="F211" i="19"/>
  <c r="G211" i="19"/>
  <c r="H211" i="19"/>
  <c r="I211" i="19"/>
  <c r="J211" i="19"/>
  <c r="K211" i="19"/>
  <c r="M211" i="19"/>
  <c r="N211" i="19"/>
  <c r="O211" i="19"/>
  <c r="Q211" i="19"/>
  <c r="A212" i="19"/>
  <c r="B212" i="19"/>
  <c r="C212" i="19"/>
  <c r="D212" i="19"/>
  <c r="E212" i="19"/>
  <c r="F212" i="19"/>
  <c r="G212" i="19"/>
  <c r="H212" i="19"/>
  <c r="I212" i="19"/>
  <c r="J212" i="19"/>
  <c r="K212" i="19"/>
  <c r="M212" i="19"/>
  <c r="N212" i="19"/>
  <c r="O212" i="19"/>
  <c r="Q212" i="19"/>
  <c r="A213" i="19"/>
  <c r="B213" i="19"/>
  <c r="C213" i="19"/>
  <c r="D213" i="19"/>
  <c r="E213" i="19"/>
  <c r="F213" i="19"/>
  <c r="G213" i="19"/>
  <c r="H213" i="19"/>
  <c r="I213" i="19"/>
  <c r="J213" i="19"/>
  <c r="K213" i="19"/>
  <c r="M213" i="19"/>
  <c r="N213" i="19"/>
  <c r="O213" i="19"/>
  <c r="Q213" i="19"/>
  <c r="A214" i="19"/>
  <c r="B214" i="19"/>
  <c r="C214" i="19"/>
  <c r="D214" i="19"/>
  <c r="E214" i="19"/>
  <c r="F214" i="19"/>
  <c r="G214" i="19"/>
  <c r="H214" i="19"/>
  <c r="I214" i="19"/>
  <c r="J214" i="19"/>
  <c r="K214" i="19"/>
  <c r="M214" i="19"/>
  <c r="N214" i="19"/>
  <c r="O214" i="19"/>
  <c r="Q214" i="19"/>
  <c r="A215" i="19"/>
  <c r="B215" i="19"/>
  <c r="C215" i="19"/>
  <c r="D215" i="19"/>
  <c r="E215" i="19"/>
  <c r="F215" i="19"/>
  <c r="G215" i="19"/>
  <c r="H215" i="19"/>
  <c r="I215" i="19"/>
  <c r="J215" i="19"/>
  <c r="K215" i="19"/>
  <c r="M215" i="19"/>
  <c r="N215" i="19"/>
  <c r="O215" i="19"/>
  <c r="Q215" i="19"/>
  <c r="A216" i="19"/>
  <c r="B216" i="19"/>
  <c r="C216" i="19"/>
  <c r="D216" i="19"/>
  <c r="E216" i="19"/>
  <c r="F216" i="19"/>
  <c r="G216" i="19"/>
  <c r="H216" i="19"/>
  <c r="I216" i="19"/>
  <c r="J216" i="19"/>
  <c r="K216" i="19"/>
  <c r="M216" i="19"/>
  <c r="N216" i="19"/>
  <c r="O216" i="19"/>
  <c r="Q216" i="19"/>
  <c r="A217" i="19"/>
  <c r="B217" i="19"/>
  <c r="C217" i="19"/>
  <c r="D217" i="19"/>
  <c r="E217" i="19"/>
  <c r="F217" i="19"/>
  <c r="G217" i="19"/>
  <c r="H217" i="19"/>
  <c r="I217" i="19"/>
  <c r="J217" i="19"/>
  <c r="K217" i="19"/>
  <c r="M217" i="19"/>
  <c r="N217" i="19"/>
  <c r="O217" i="19"/>
  <c r="Q217" i="19"/>
  <c r="A218" i="19"/>
  <c r="B218" i="19"/>
  <c r="C218" i="19"/>
  <c r="D218" i="19"/>
  <c r="E218" i="19"/>
  <c r="F218" i="19"/>
  <c r="G218" i="19"/>
  <c r="H218" i="19"/>
  <c r="I218" i="19"/>
  <c r="J218" i="19"/>
  <c r="K218" i="19"/>
  <c r="M218" i="19"/>
  <c r="N218" i="19"/>
  <c r="O218" i="19"/>
  <c r="Q218" i="19"/>
  <c r="A219" i="19"/>
  <c r="B219" i="19"/>
  <c r="C219" i="19"/>
  <c r="D219" i="19"/>
  <c r="E219" i="19"/>
  <c r="F219" i="19"/>
  <c r="G219" i="19"/>
  <c r="H219" i="19"/>
  <c r="I219" i="19"/>
  <c r="J219" i="19"/>
  <c r="K219" i="19"/>
  <c r="M219" i="19"/>
  <c r="N219" i="19"/>
  <c r="O219" i="19"/>
  <c r="Q219" i="19"/>
  <c r="A220" i="19"/>
  <c r="B220" i="19"/>
  <c r="C220" i="19"/>
  <c r="D220" i="19"/>
  <c r="E220" i="19"/>
  <c r="F220" i="19"/>
  <c r="G220" i="19"/>
  <c r="H220" i="19"/>
  <c r="I220" i="19"/>
  <c r="J220" i="19"/>
  <c r="K220" i="19"/>
  <c r="M220" i="19"/>
  <c r="N220" i="19"/>
  <c r="O220" i="19"/>
  <c r="Q220" i="19"/>
  <c r="A221" i="19"/>
  <c r="B221" i="19"/>
  <c r="C221" i="19"/>
  <c r="D221" i="19"/>
  <c r="E221" i="19"/>
  <c r="F221" i="19"/>
  <c r="G221" i="19"/>
  <c r="H221" i="19"/>
  <c r="I221" i="19"/>
  <c r="J221" i="19"/>
  <c r="K221" i="19"/>
  <c r="M221" i="19"/>
  <c r="N221" i="19"/>
  <c r="O221" i="19"/>
  <c r="Q221" i="19"/>
  <c r="A222" i="19"/>
  <c r="B222" i="19"/>
  <c r="C222" i="19"/>
  <c r="D222" i="19"/>
  <c r="E222" i="19"/>
  <c r="F222" i="19"/>
  <c r="G222" i="19"/>
  <c r="H222" i="19"/>
  <c r="I222" i="19"/>
  <c r="J222" i="19"/>
  <c r="K222" i="19"/>
  <c r="M222" i="19"/>
  <c r="N222" i="19"/>
  <c r="O222" i="19"/>
  <c r="Q222" i="19"/>
  <c r="A223" i="19"/>
  <c r="B223" i="19"/>
  <c r="C223" i="19"/>
  <c r="D223" i="19"/>
  <c r="E223" i="19"/>
  <c r="F223" i="19"/>
  <c r="G223" i="19"/>
  <c r="H223" i="19"/>
  <c r="I223" i="19"/>
  <c r="J223" i="19"/>
  <c r="K223" i="19"/>
  <c r="M223" i="19"/>
  <c r="N223" i="19"/>
  <c r="O223" i="19"/>
  <c r="Q223" i="19"/>
  <c r="A224" i="19"/>
  <c r="B224" i="19"/>
  <c r="C224" i="19"/>
  <c r="D224" i="19"/>
  <c r="E224" i="19"/>
  <c r="F224" i="19"/>
  <c r="G224" i="19"/>
  <c r="H224" i="19"/>
  <c r="I224" i="19"/>
  <c r="J224" i="19"/>
  <c r="K224" i="19"/>
  <c r="M224" i="19"/>
  <c r="N224" i="19"/>
  <c r="O224" i="19"/>
  <c r="Q224" i="19"/>
  <c r="A225" i="19"/>
  <c r="B225" i="19"/>
  <c r="C225" i="19"/>
  <c r="D225" i="19"/>
  <c r="E225" i="19"/>
  <c r="F225" i="19"/>
  <c r="G225" i="19"/>
  <c r="H225" i="19"/>
  <c r="I225" i="19"/>
  <c r="J225" i="19"/>
  <c r="K225" i="19"/>
  <c r="M225" i="19"/>
  <c r="N225" i="19"/>
  <c r="O225" i="19"/>
  <c r="Q225" i="19"/>
  <c r="A226" i="19"/>
  <c r="B226" i="19"/>
  <c r="C226" i="19"/>
  <c r="D226" i="19"/>
  <c r="E226" i="19"/>
  <c r="F226" i="19"/>
  <c r="G226" i="19"/>
  <c r="H226" i="19"/>
  <c r="I226" i="19"/>
  <c r="J226" i="19"/>
  <c r="K226" i="19"/>
  <c r="M226" i="19"/>
  <c r="N226" i="19"/>
  <c r="O226" i="19"/>
  <c r="Q226" i="19"/>
  <c r="A227" i="19"/>
  <c r="B227" i="19"/>
  <c r="C227" i="19"/>
  <c r="D227" i="19"/>
  <c r="E227" i="19"/>
  <c r="F227" i="19"/>
  <c r="G227" i="19"/>
  <c r="H227" i="19"/>
  <c r="I227" i="19"/>
  <c r="J227" i="19"/>
  <c r="K227" i="19"/>
  <c r="M227" i="19"/>
  <c r="N227" i="19"/>
  <c r="O227" i="19"/>
  <c r="Q227" i="19"/>
  <c r="A228" i="19"/>
  <c r="B228" i="19"/>
  <c r="C228" i="19"/>
  <c r="D228" i="19"/>
  <c r="E228" i="19"/>
  <c r="F228" i="19"/>
  <c r="G228" i="19"/>
  <c r="H228" i="19"/>
  <c r="I228" i="19"/>
  <c r="J228" i="19"/>
  <c r="K228" i="19"/>
  <c r="M228" i="19"/>
  <c r="N228" i="19"/>
  <c r="O228" i="19"/>
  <c r="Q228" i="19"/>
  <c r="A229" i="19"/>
  <c r="B229" i="19"/>
  <c r="C229" i="19"/>
  <c r="D229" i="19"/>
  <c r="E229" i="19"/>
  <c r="F229" i="19"/>
  <c r="G229" i="19"/>
  <c r="H229" i="19"/>
  <c r="I229" i="19"/>
  <c r="J229" i="19"/>
  <c r="K229" i="19"/>
  <c r="M229" i="19"/>
  <c r="N229" i="19"/>
  <c r="O229" i="19"/>
  <c r="Q229" i="19"/>
  <c r="A230" i="19"/>
  <c r="B230" i="19"/>
  <c r="C230" i="19"/>
  <c r="D230" i="19"/>
  <c r="E230" i="19"/>
  <c r="F230" i="19"/>
  <c r="G230" i="19"/>
  <c r="H230" i="19"/>
  <c r="I230" i="19"/>
  <c r="J230" i="19"/>
  <c r="K230" i="19"/>
  <c r="M230" i="19"/>
  <c r="N230" i="19"/>
  <c r="O230" i="19"/>
  <c r="Q230" i="19"/>
  <c r="A231" i="19"/>
  <c r="B231" i="19"/>
  <c r="C231" i="19"/>
  <c r="D231" i="19"/>
  <c r="E231" i="19"/>
  <c r="F231" i="19"/>
  <c r="G231" i="19"/>
  <c r="H231" i="19"/>
  <c r="I231" i="19"/>
  <c r="J231" i="19"/>
  <c r="K231" i="19"/>
  <c r="M231" i="19"/>
  <c r="N231" i="19"/>
  <c r="O231" i="19"/>
  <c r="Q231" i="19"/>
  <c r="A232" i="19"/>
  <c r="B232" i="19"/>
  <c r="C232" i="19"/>
  <c r="D232" i="19"/>
  <c r="E232" i="19"/>
  <c r="F232" i="19"/>
  <c r="G232" i="19"/>
  <c r="H232" i="19"/>
  <c r="I232" i="19"/>
  <c r="J232" i="19"/>
  <c r="K232" i="19"/>
  <c r="M232" i="19"/>
  <c r="N232" i="19"/>
  <c r="O232" i="19"/>
  <c r="Q232" i="19"/>
  <c r="A233" i="19"/>
  <c r="B233" i="19"/>
  <c r="C233" i="19"/>
  <c r="D233" i="19"/>
  <c r="E233" i="19"/>
  <c r="F233" i="19"/>
  <c r="G233" i="19"/>
  <c r="H233" i="19"/>
  <c r="I233" i="19"/>
  <c r="J233" i="19"/>
  <c r="K233" i="19"/>
  <c r="M233" i="19"/>
  <c r="N233" i="19"/>
  <c r="O233" i="19"/>
  <c r="Q233" i="19"/>
  <c r="A234" i="19"/>
  <c r="B234" i="19"/>
  <c r="C234" i="19"/>
  <c r="D234" i="19"/>
  <c r="E234" i="19"/>
  <c r="F234" i="19"/>
  <c r="G234" i="19"/>
  <c r="H234" i="19"/>
  <c r="I234" i="19"/>
  <c r="J234" i="19"/>
  <c r="K234" i="19"/>
  <c r="M234" i="19"/>
  <c r="N234" i="19"/>
  <c r="O234" i="19"/>
  <c r="Q234" i="19"/>
  <c r="A235" i="19"/>
  <c r="B235" i="19"/>
  <c r="C235" i="19"/>
  <c r="D235" i="19"/>
  <c r="E235" i="19"/>
  <c r="F235" i="19"/>
  <c r="G235" i="19"/>
  <c r="H235" i="19"/>
  <c r="I235" i="19"/>
  <c r="J235" i="19"/>
  <c r="K235" i="19"/>
  <c r="M235" i="19"/>
  <c r="N235" i="19"/>
  <c r="O235" i="19"/>
  <c r="Q235" i="19"/>
  <c r="A236" i="19"/>
  <c r="B236" i="19"/>
  <c r="C236" i="19"/>
  <c r="D236" i="19"/>
  <c r="E236" i="19"/>
  <c r="F236" i="19"/>
  <c r="G236" i="19"/>
  <c r="H236" i="19"/>
  <c r="I236" i="19"/>
  <c r="J236" i="19"/>
  <c r="K236" i="19"/>
  <c r="M236" i="19"/>
  <c r="N236" i="19"/>
  <c r="O236" i="19"/>
  <c r="Q236" i="19"/>
  <c r="A237" i="19"/>
  <c r="B237" i="19"/>
  <c r="C237" i="19"/>
  <c r="D237" i="19"/>
  <c r="E237" i="19"/>
  <c r="F237" i="19"/>
  <c r="G237" i="19"/>
  <c r="H237" i="19"/>
  <c r="I237" i="19"/>
  <c r="J237" i="19"/>
  <c r="K237" i="19"/>
  <c r="M237" i="19"/>
  <c r="N237" i="19"/>
  <c r="O237" i="19"/>
  <c r="Q237" i="19"/>
  <c r="A238" i="19"/>
  <c r="B238" i="19"/>
  <c r="C238" i="19"/>
  <c r="D238" i="19"/>
  <c r="E238" i="19"/>
  <c r="F238" i="19"/>
  <c r="G238" i="19"/>
  <c r="H238" i="19"/>
  <c r="I238" i="19"/>
  <c r="J238" i="19"/>
  <c r="K238" i="19"/>
  <c r="M238" i="19"/>
  <c r="N238" i="19"/>
  <c r="O238" i="19"/>
  <c r="Q238" i="19"/>
  <c r="A239" i="19"/>
  <c r="B239" i="19"/>
  <c r="C239" i="19"/>
  <c r="D239" i="19"/>
  <c r="E239" i="19"/>
  <c r="F239" i="19"/>
  <c r="G239" i="19"/>
  <c r="H239" i="19"/>
  <c r="I239" i="19"/>
  <c r="J239" i="19"/>
  <c r="K239" i="19"/>
  <c r="M239" i="19"/>
  <c r="N239" i="19"/>
  <c r="O239" i="19"/>
  <c r="Q239" i="19"/>
  <c r="A240" i="19"/>
  <c r="B240" i="19"/>
  <c r="C240" i="19"/>
  <c r="D240" i="19"/>
  <c r="E240" i="19"/>
  <c r="F240" i="19"/>
  <c r="G240" i="19"/>
  <c r="H240" i="19"/>
  <c r="I240" i="19"/>
  <c r="J240" i="19"/>
  <c r="K240" i="19"/>
  <c r="M240" i="19"/>
  <c r="N240" i="19"/>
  <c r="O240" i="19"/>
  <c r="Q240" i="19"/>
  <c r="A241" i="19"/>
  <c r="B241" i="19"/>
  <c r="C241" i="19"/>
  <c r="D241" i="19"/>
  <c r="E241" i="19"/>
  <c r="F241" i="19"/>
  <c r="G241" i="19"/>
  <c r="H241" i="19"/>
  <c r="I241" i="19"/>
  <c r="J241" i="19"/>
  <c r="K241" i="19"/>
  <c r="M241" i="19"/>
  <c r="N241" i="19"/>
  <c r="O241" i="19"/>
  <c r="Q241" i="19"/>
  <c r="A242" i="19"/>
  <c r="B242" i="19"/>
  <c r="C242" i="19"/>
  <c r="D242" i="19"/>
  <c r="E242" i="19"/>
  <c r="F242" i="19"/>
  <c r="G242" i="19"/>
  <c r="H242" i="19"/>
  <c r="I242" i="19"/>
  <c r="J242" i="19"/>
  <c r="K242" i="19"/>
  <c r="M242" i="19"/>
  <c r="N242" i="19"/>
  <c r="O242" i="19"/>
  <c r="Q242" i="19"/>
  <c r="A243" i="19"/>
  <c r="B243" i="19"/>
  <c r="C243" i="19"/>
  <c r="D243" i="19"/>
  <c r="E243" i="19"/>
  <c r="F243" i="19"/>
  <c r="G243" i="19"/>
  <c r="H243" i="19"/>
  <c r="I243" i="19"/>
  <c r="J243" i="19"/>
  <c r="K243" i="19"/>
  <c r="M243" i="19"/>
  <c r="N243" i="19"/>
  <c r="O243" i="19"/>
  <c r="Q243" i="19"/>
  <c r="A244" i="19"/>
  <c r="B244" i="19"/>
  <c r="C244" i="19"/>
  <c r="D244" i="19"/>
  <c r="E244" i="19"/>
  <c r="F244" i="19"/>
  <c r="G244" i="19"/>
  <c r="H244" i="19"/>
  <c r="I244" i="19"/>
  <c r="J244" i="19"/>
  <c r="K244" i="19"/>
  <c r="M244" i="19"/>
  <c r="N244" i="19"/>
  <c r="O244" i="19"/>
  <c r="Q244" i="19"/>
  <c r="A245" i="19"/>
  <c r="B245" i="19"/>
  <c r="C245" i="19"/>
  <c r="D245" i="19"/>
  <c r="E245" i="19"/>
  <c r="F245" i="19"/>
  <c r="G245" i="19"/>
  <c r="H245" i="19"/>
  <c r="I245" i="19"/>
  <c r="J245" i="19"/>
  <c r="K245" i="19"/>
  <c r="M245" i="19"/>
  <c r="N245" i="19"/>
  <c r="O245" i="19"/>
  <c r="Q245" i="19"/>
  <c r="A246" i="19"/>
  <c r="B246" i="19"/>
  <c r="C246" i="19"/>
  <c r="D246" i="19"/>
  <c r="E246" i="19"/>
  <c r="F246" i="19"/>
  <c r="G246" i="19"/>
  <c r="H246" i="19"/>
  <c r="I246" i="19"/>
  <c r="J246" i="19"/>
  <c r="K246" i="19"/>
  <c r="M246" i="19"/>
  <c r="N246" i="19"/>
  <c r="O246" i="19"/>
  <c r="Q246" i="19"/>
  <c r="A247" i="19"/>
  <c r="B247" i="19"/>
  <c r="C247" i="19"/>
  <c r="D247" i="19"/>
  <c r="E247" i="19"/>
  <c r="F247" i="19"/>
  <c r="G247" i="19"/>
  <c r="H247" i="19"/>
  <c r="I247" i="19"/>
  <c r="J247" i="19"/>
  <c r="K247" i="19"/>
  <c r="M247" i="19"/>
  <c r="N247" i="19"/>
  <c r="O247" i="19"/>
  <c r="Q247" i="19"/>
  <c r="A248" i="19"/>
  <c r="B248" i="19"/>
  <c r="C248" i="19"/>
  <c r="D248" i="19"/>
  <c r="E248" i="19"/>
  <c r="F248" i="19"/>
  <c r="G248" i="19"/>
  <c r="H248" i="19"/>
  <c r="I248" i="19"/>
  <c r="J248" i="19"/>
  <c r="K248" i="19"/>
  <c r="M248" i="19"/>
  <c r="N248" i="19"/>
  <c r="O248" i="19"/>
  <c r="Q248" i="19"/>
  <c r="A249" i="19"/>
  <c r="B249" i="19"/>
  <c r="C249" i="19"/>
  <c r="D249" i="19"/>
  <c r="E249" i="19"/>
  <c r="F249" i="19"/>
  <c r="G249" i="19"/>
  <c r="H249" i="19"/>
  <c r="I249" i="19"/>
  <c r="J249" i="19"/>
  <c r="K249" i="19"/>
  <c r="M249" i="19"/>
  <c r="N249" i="19"/>
  <c r="O249" i="19"/>
  <c r="Q249" i="19"/>
  <c r="A250" i="19"/>
  <c r="B250" i="19"/>
  <c r="C250" i="19"/>
  <c r="D250" i="19"/>
  <c r="E250" i="19"/>
  <c r="F250" i="19"/>
  <c r="G250" i="19"/>
  <c r="H250" i="19"/>
  <c r="I250" i="19"/>
  <c r="J250" i="19"/>
  <c r="K250" i="19"/>
  <c r="M250" i="19"/>
  <c r="N250" i="19"/>
  <c r="O250" i="19"/>
  <c r="Q250" i="19"/>
  <c r="A251" i="19"/>
  <c r="B251" i="19"/>
  <c r="C251" i="19"/>
  <c r="D251" i="19"/>
  <c r="E251" i="19"/>
  <c r="F251" i="19"/>
  <c r="G251" i="19"/>
  <c r="H251" i="19"/>
  <c r="I251" i="19"/>
  <c r="J251" i="19"/>
  <c r="K251" i="19"/>
  <c r="M251" i="19"/>
  <c r="N251" i="19"/>
  <c r="O251" i="19"/>
  <c r="Q251" i="19"/>
  <c r="A252" i="19"/>
  <c r="B252" i="19"/>
  <c r="C252" i="19"/>
  <c r="D252" i="19"/>
  <c r="E252" i="19"/>
  <c r="F252" i="19"/>
  <c r="G252" i="19"/>
  <c r="H252" i="19"/>
  <c r="I252" i="19"/>
  <c r="J252" i="19"/>
  <c r="K252" i="19"/>
  <c r="M252" i="19"/>
  <c r="N252" i="19"/>
  <c r="O252" i="19"/>
  <c r="Q252" i="19"/>
  <c r="A253" i="19"/>
  <c r="B253" i="19"/>
  <c r="C253" i="19"/>
  <c r="D253" i="19"/>
  <c r="E253" i="19"/>
  <c r="F253" i="19"/>
  <c r="G253" i="19"/>
  <c r="H253" i="19"/>
  <c r="I253" i="19"/>
  <c r="J253" i="19"/>
  <c r="K253" i="19"/>
  <c r="M253" i="19"/>
  <c r="N253" i="19"/>
  <c r="O253" i="19"/>
  <c r="Q253" i="19"/>
  <c r="A254" i="19"/>
  <c r="B254" i="19"/>
  <c r="C254" i="19"/>
  <c r="D254" i="19"/>
  <c r="E254" i="19"/>
  <c r="F254" i="19"/>
  <c r="G254" i="19"/>
  <c r="H254" i="19"/>
  <c r="I254" i="19"/>
  <c r="J254" i="19"/>
  <c r="K254" i="19"/>
  <c r="M254" i="19"/>
  <c r="N254" i="19"/>
  <c r="O254" i="19"/>
  <c r="Q254" i="19"/>
  <c r="A255" i="19"/>
  <c r="B255" i="19"/>
  <c r="C255" i="19"/>
  <c r="D255" i="19"/>
  <c r="E255" i="19"/>
  <c r="F255" i="19"/>
  <c r="G255" i="19"/>
  <c r="H255" i="19"/>
  <c r="I255" i="19"/>
  <c r="J255" i="19"/>
  <c r="K255" i="19"/>
  <c r="M255" i="19"/>
  <c r="N255" i="19"/>
  <c r="O255" i="19"/>
  <c r="Q255" i="19"/>
  <c r="A256" i="19"/>
  <c r="B256" i="19"/>
  <c r="C256" i="19"/>
  <c r="D256" i="19"/>
  <c r="E256" i="19"/>
  <c r="F256" i="19"/>
  <c r="G256" i="19"/>
  <c r="H256" i="19"/>
  <c r="I256" i="19"/>
  <c r="J256" i="19"/>
  <c r="K256" i="19"/>
  <c r="M256" i="19"/>
  <c r="N256" i="19"/>
  <c r="O256" i="19"/>
  <c r="Q256" i="19"/>
  <c r="A257" i="19"/>
  <c r="B257" i="19"/>
  <c r="C257" i="19"/>
  <c r="D257" i="19"/>
  <c r="E257" i="19"/>
  <c r="F257" i="19"/>
  <c r="G257" i="19"/>
  <c r="H257" i="19"/>
  <c r="I257" i="19"/>
  <c r="J257" i="19"/>
  <c r="K257" i="19"/>
  <c r="M257" i="19"/>
  <c r="N257" i="19"/>
  <c r="O257" i="19"/>
  <c r="Q257" i="19"/>
  <c r="A258" i="19"/>
  <c r="B258" i="19"/>
  <c r="C258" i="19"/>
  <c r="D258" i="19"/>
  <c r="E258" i="19"/>
  <c r="F258" i="19"/>
  <c r="G258" i="19"/>
  <c r="H258" i="19"/>
  <c r="I258" i="19"/>
  <c r="J258" i="19"/>
  <c r="K258" i="19"/>
  <c r="M258" i="19"/>
  <c r="N258" i="19"/>
  <c r="O258" i="19"/>
  <c r="Q258" i="19"/>
  <c r="A259" i="19"/>
  <c r="B259" i="19"/>
  <c r="C259" i="19"/>
  <c r="L259" i="19" s="1"/>
  <c r="D259" i="19"/>
  <c r="E259" i="19"/>
  <c r="F259" i="19"/>
  <c r="G259" i="19"/>
  <c r="H259" i="19"/>
  <c r="I259" i="19"/>
  <c r="J259" i="19"/>
  <c r="K259" i="19"/>
  <c r="M259" i="19"/>
  <c r="N259" i="19"/>
  <c r="O259" i="19"/>
  <c r="Q259" i="19"/>
  <c r="A260" i="19"/>
  <c r="B260" i="19"/>
  <c r="C260" i="19"/>
  <c r="D260" i="19"/>
  <c r="E260" i="19"/>
  <c r="F260" i="19"/>
  <c r="G260" i="19"/>
  <c r="H260" i="19"/>
  <c r="I260" i="19"/>
  <c r="J260" i="19"/>
  <c r="K260" i="19"/>
  <c r="M260" i="19"/>
  <c r="N260" i="19"/>
  <c r="O260" i="19"/>
  <c r="Q260" i="19"/>
  <c r="A261" i="19"/>
  <c r="B261" i="19"/>
  <c r="C261" i="19"/>
  <c r="D261" i="19"/>
  <c r="E261" i="19"/>
  <c r="F261" i="19"/>
  <c r="G261" i="19"/>
  <c r="H261" i="19"/>
  <c r="I261" i="19"/>
  <c r="J261" i="19"/>
  <c r="K261" i="19"/>
  <c r="M261" i="19"/>
  <c r="N261" i="19"/>
  <c r="O261" i="19"/>
  <c r="Q261" i="19"/>
  <c r="A262" i="19"/>
  <c r="B262" i="19"/>
  <c r="C262" i="19"/>
  <c r="D262" i="19"/>
  <c r="E262" i="19"/>
  <c r="F262" i="19"/>
  <c r="G262" i="19"/>
  <c r="H262" i="19"/>
  <c r="I262" i="19"/>
  <c r="J262" i="19"/>
  <c r="K262" i="19"/>
  <c r="M262" i="19"/>
  <c r="N262" i="19"/>
  <c r="O262" i="19"/>
  <c r="Q262" i="19"/>
  <c r="A263" i="19"/>
  <c r="B263" i="19"/>
  <c r="C263" i="19"/>
  <c r="D263" i="19"/>
  <c r="E263" i="19"/>
  <c r="F263" i="19"/>
  <c r="G263" i="19"/>
  <c r="H263" i="19"/>
  <c r="I263" i="19"/>
  <c r="J263" i="19"/>
  <c r="K263" i="19"/>
  <c r="M263" i="19"/>
  <c r="N263" i="19"/>
  <c r="O263" i="19"/>
  <c r="Q263" i="19"/>
  <c r="A264" i="19"/>
  <c r="B264" i="19"/>
  <c r="C264" i="19"/>
  <c r="D264" i="19"/>
  <c r="E264" i="19"/>
  <c r="F264" i="19"/>
  <c r="G264" i="19"/>
  <c r="H264" i="19"/>
  <c r="I264" i="19"/>
  <c r="J264" i="19"/>
  <c r="K264" i="19"/>
  <c r="M264" i="19"/>
  <c r="N264" i="19"/>
  <c r="O264" i="19"/>
  <c r="Q264" i="19"/>
  <c r="A265" i="19"/>
  <c r="B265" i="19"/>
  <c r="C265" i="19"/>
  <c r="D265" i="19"/>
  <c r="E265" i="19"/>
  <c r="F265" i="19"/>
  <c r="G265" i="19"/>
  <c r="H265" i="19"/>
  <c r="I265" i="19"/>
  <c r="J265" i="19"/>
  <c r="K265" i="19"/>
  <c r="M265" i="19"/>
  <c r="N265" i="19"/>
  <c r="O265" i="19"/>
  <c r="Q265" i="19"/>
  <c r="A266" i="19"/>
  <c r="B266" i="19"/>
  <c r="C266" i="19"/>
  <c r="D266" i="19"/>
  <c r="E266" i="19"/>
  <c r="F266" i="19"/>
  <c r="G266" i="19"/>
  <c r="H266" i="19"/>
  <c r="I266" i="19"/>
  <c r="J266" i="19"/>
  <c r="K266" i="19"/>
  <c r="M266" i="19"/>
  <c r="N266" i="19"/>
  <c r="O266" i="19"/>
  <c r="Q266" i="19"/>
  <c r="A267" i="19"/>
  <c r="B267" i="19"/>
  <c r="C267" i="19"/>
  <c r="L267" i="19" s="1"/>
  <c r="D267" i="19"/>
  <c r="E267" i="19"/>
  <c r="F267" i="19"/>
  <c r="G267" i="19"/>
  <c r="H267" i="19"/>
  <c r="I267" i="19"/>
  <c r="J267" i="19"/>
  <c r="K267" i="19"/>
  <c r="M267" i="19"/>
  <c r="N267" i="19"/>
  <c r="O267" i="19"/>
  <c r="Q267" i="19"/>
  <c r="A268" i="19"/>
  <c r="B268" i="19"/>
  <c r="C268" i="19"/>
  <c r="D268" i="19"/>
  <c r="E268" i="19"/>
  <c r="F268" i="19"/>
  <c r="G268" i="19"/>
  <c r="H268" i="19"/>
  <c r="I268" i="19"/>
  <c r="J268" i="19"/>
  <c r="K268" i="19"/>
  <c r="M268" i="19"/>
  <c r="N268" i="19"/>
  <c r="O268" i="19"/>
  <c r="Q268" i="19"/>
  <c r="A269" i="19"/>
  <c r="B269" i="19"/>
  <c r="C269" i="19"/>
  <c r="D269" i="19"/>
  <c r="E269" i="19"/>
  <c r="F269" i="19"/>
  <c r="G269" i="19"/>
  <c r="H269" i="19"/>
  <c r="I269" i="19"/>
  <c r="J269" i="19"/>
  <c r="K269" i="19"/>
  <c r="M269" i="19"/>
  <c r="N269" i="19"/>
  <c r="O269" i="19"/>
  <c r="Q269" i="19"/>
  <c r="A270" i="19"/>
  <c r="B270" i="19"/>
  <c r="C270" i="19"/>
  <c r="D270" i="19"/>
  <c r="E270" i="19"/>
  <c r="F270" i="19"/>
  <c r="G270" i="19"/>
  <c r="H270" i="19"/>
  <c r="I270" i="19"/>
  <c r="J270" i="19"/>
  <c r="K270" i="19"/>
  <c r="M270" i="19"/>
  <c r="N270" i="19"/>
  <c r="O270" i="19"/>
  <c r="Q270" i="19"/>
  <c r="A271" i="19"/>
  <c r="B271" i="19"/>
  <c r="C271" i="19"/>
  <c r="L271" i="19" s="1"/>
  <c r="D271" i="19"/>
  <c r="E271" i="19"/>
  <c r="F271" i="19"/>
  <c r="G271" i="19"/>
  <c r="H271" i="19"/>
  <c r="I271" i="19"/>
  <c r="J271" i="19"/>
  <c r="K271" i="19"/>
  <c r="M271" i="19"/>
  <c r="N271" i="19"/>
  <c r="O271" i="19"/>
  <c r="Q271" i="19"/>
  <c r="A272" i="19"/>
  <c r="B272" i="19"/>
  <c r="C272" i="19"/>
  <c r="D272" i="19"/>
  <c r="E272" i="19"/>
  <c r="F272" i="19"/>
  <c r="G272" i="19"/>
  <c r="H272" i="19"/>
  <c r="I272" i="19"/>
  <c r="J272" i="19"/>
  <c r="K272" i="19"/>
  <c r="M272" i="19"/>
  <c r="N272" i="19"/>
  <c r="O272" i="19"/>
  <c r="Q272" i="19"/>
  <c r="A273" i="19"/>
  <c r="B273" i="19"/>
  <c r="C273" i="19"/>
  <c r="D273" i="19"/>
  <c r="E273" i="19"/>
  <c r="F273" i="19"/>
  <c r="G273" i="19"/>
  <c r="H273" i="19"/>
  <c r="I273" i="19"/>
  <c r="J273" i="19"/>
  <c r="K273" i="19"/>
  <c r="M273" i="19"/>
  <c r="N273" i="19"/>
  <c r="O273" i="19"/>
  <c r="Q273" i="19"/>
  <c r="A274" i="19"/>
  <c r="B274" i="19"/>
  <c r="C274" i="19"/>
  <c r="D274" i="19"/>
  <c r="E274" i="19"/>
  <c r="F274" i="19"/>
  <c r="G274" i="19"/>
  <c r="H274" i="19"/>
  <c r="I274" i="19"/>
  <c r="J274" i="19"/>
  <c r="K274" i="19"/>
  <c r="M274" i="19"/>
  <c r="N274" i="19"/>
  <c r="O274" i="19"/>
  <c r="Q274" i="19"/>
  <c r="A275" i="19"/>
  <c r="B275" i="19"/>
  <c r="C275" i="19"/>
  <c r="D275" i="19"/>
  <c r="E275" i="19"/>
  <c r="F275" i="19"/>
  <c r="G275" i="19"/>
  <c r="H275" i="19"/>
  <c r="I275" i="19"/>
  <c r="J275" i="19"/>
  <c r="K275" i="19"/>
  <c r="M275" i="19"/>
  <c r="N275" i="19"/>
  <c r="O275" i="19"/>
  <c r="Q275" i="19"/>
  <c r="A276" i="19"/>
  <c r="B276" i="19"/>
  <c r="C276" i="19"/>
  <c r="D276" i="19"/>
  <c r="E276" i="19"/>
  <c r="F276" i="19"/>
  <c r="G276" i="19"/>
  <c r="H276" i="19"/>
  <c r="I276" i="19"/>
  <c r="J276" i="19"/>
  <c r="K276" i="19"/>
  <c r="M276" i="19"/>
  <c r="N276" i="19"/>
  <c r="O276" i="19"/>
  <c r="Q276" i="19"/>
  <c r="A277" i="19"/>
  <c r="B277" i="19"/>
  <c r="C277" i="19"/>
  <c r="D277" i="19"/>
  <c r="E277" i="19"/>
  <c r="F277" i="19"/>
  <c r="G277" i="19"/>
  <c r="H277" i="19"/>
  <c r="I277" i="19"/>
  <c r="J277" i="19"/>
  <c r="K277" i="19"/>
  <c r="M277" i="19"/>
  <c r="N277" i="19"/>
  <c r="O277" i="19"/>
  <c r="Q277" i="19"/>
  <c r="A278" i="19"/>
  <c r="B278" i="19"/>
  <c r="C278" i="19"/>
  <c r="D278" i="19"/>
  <c r="E278" i="19"/>
  <c r="F278" i="19"/>
  <c r="G278" i="19"/>
  <c r="H278" i="19"/>
  <c r="I278" i="19"/>
  <c r="J278" i="19"/>
  <c r="K278" i="19"/>
  <c r="M278" i="19"/>
  <c r="N278" i="19"/>
  <c r="O278" i="19"/>
  <c r="Q278" i="19"/>
  <c r="A279" i="19"/>
  <c r="B279" i="19"/>
  <c r="C279" i="19"/>
  <c r="D279" i="19"/>
  <c r="E279" i="19"/>
  <c r="F279" i="19"/>
  <c r="G279" i="19"/>
  <c r="H279" i="19"/>
  <c r="I279" i="19"/>
  <c r="J279" i="19"/>
  <c r="K279" i="19"/>
  <c r="M279" i="19"/>
  <c r="N279" i="19"/>
  <c r="O279" i="19"/>
  <c r="Q279" i="19"/>
  <c r="A280" i="19"/>
  <c r="B280" i="19"/>
  <c r="C280" i="19"/>
  <c r="D280" i="19"/>
  <c r="E280" i="19"/>
  <c r="F280" i="19"/>
  <c r="G280" i="19"/>
  <c r="H280" i="19"/>
  <c r="I280" i="19"/>
  <c r="J280" i="19"/>
  <c r="K280" i="19"/>
  <c r="M280" i="19"/>
  <c r="N280" i="19"/>
  <c r="O280" i="19"/>
  <c r="Q280" i="19"/>
  <c r="A281" i="19"/>
  <c r="B281" i="19"/>
  <c r="C281" i="19"/>
  <c r="D281" i="19"/>
  <c r="E281" i="19"/>
  <c r="F281" i="19"/>
  <c r="G281" i="19"/>
  <c r="H281" i="19"/>
  <c r="I281" i="19"/>
  <c r="J281" i="19"/>
  <c r="K281" i="19"/>
  <c r="M281" i="19"/>
  <c r="N281" i="19"/>
  <c r="O281" i="19"/>
  <c r="Q281" i="19"/>
  <c r="A282" i="19"/>
  <c r="B282" i="19"/>
  <c r="C282" i="19"/>
  <c r="D282" i="19"/>
  <c r="E282" i="19"/>
  <c r="F282" i="19"/>
  <c r="G282" i="19"/>
  <c r="H282" i="19"/>
  <c r="I282" i="19"/>
  <c r="J282" i="19"/>
  <c r="K282" i="19"/>
  <c r="M282" i="19"/>
  <c r="N282" i="19"/>
  <c r="O282" i="19"/>
  <c r="Q282" i="19"/>
  <c r="A283" i="19"/>
  <c r="B283" i="19"/>
  <c r="C283" i="19"/>
  <c r="D283" i="19"/>
  <c r="E283" i="19"/>
  <c r="F283" i="19"/>
  <c r="G283" i="19"/>
  <c r="H283" i="19"/>
  <c r="I283" i="19"/>
  <c r="J283" i="19"/>
  <c r="K283" i="19"/>
  <c r="M283" i="19"/>
  <c r="N283" i="19"/>
  <c r="O283" i="19"/>
  <c r="Q283" i="19"/>
  <c r="A284" i="19"/>
  <c r="B284" i="19"/>
  <c r="C284" i="19"/>
  <c r="D284" i="19"/>
  <c r="E284" i="19"/>
  <c r="F284" i="19"/>
  <c r="G284" i="19"/>
  <c r="H284" i="19"/>
  <c r="I284" i="19"/>
  <c r="J284" i="19"/>
  <c r="K284" i="19"/>
  <c r="M284" i="19"/>
  <c r="N284" i="19"/>
  <c r="O284" i="19"/>
  <c r="Q284" i="19"/>
  <c r="A285" i="19"/>
  <c r="B285" i="19"/>
  <c r="C285" i="19"/>
  <c r="D285" i="19"/>
  <c r="E285" i="19"/>
  <c r="F285" i="19"/>
  <c r="G285" i="19"/>
  <c r="H285" i="19"/>
  <c r="I285" i="19"/>
  <c r="J285" i="19"/>
  <c r="K285" i="19"/>
  <c r="M285" i="19"/>
  <c r="N285" i="19"/>
  <c r="O285" i="19"/>
  <c r="Q285" i="19"/>
  <c r="A286" i="19"/>
  <c r="B286" i="19"/>
  <c r="C286" i="19"/>
  <c r="D286" i="19"/>
  <c r="E286" i="19"/>
  <c r="F286" i="19"/>
  <c r="G286" i="19"/>
  <c r="H286" i="19"/>
  <c r="I286" i="19"/>
  <c r="J286" i="19"/>
  <c r="K286" i="19"/>
  <c r="M286" i="19"/>
  <c r="N286" i="19"/>
  <c r="O286" i="19"/>
  <c r="Q286" i="19"/>
  <c r="A287" i="19"/>
  <c r="B287" i="19"/>
  <c r="C287" i="19"/>
  <c r="D287" i="19"/>
  <c r="E287" i="19"/>
  <c r="F287" i="19"/>
  <c r="G287" i="19"/>
  <c r="H287" i="19"/>
  <c r="I287" i="19"/>
  <c r="J287" i="19"/>
  <c r="K287" i="19"/>
  <c r="M287" i="19"/>
  <c r="N287" i="19"/>
  <c r="O287" i="19"/>
  <c r="Q287" i="19"/>
  <c r="A288" i="19"/>
  <c r="B288" i="19"/>
  <c r="C288" i="19"/>
  <c r="D288" i="19"/>
  <c r="E288" i="19"/>
  <c r="F288" i="19"/>
  <c r="G288" i="19"/>
  <c r="H288" i="19"/>
  <c r="I288" i="19"/>
  <c r="J288" i="19"/>
  <c r="K288" i="19"/>
  <c r="M288" i="19"/>
  <c r="N288" i="19"/>
  <c r="O288" i="19"/>
  <c r="Q288" i="19"/>
  <c r="A289" i="19"/>
  <c r="B289" i="19"/>
  <c r="C289" i="19"/>
  <c r="D289" i="19"/>
  <c r="E289" i="19"/>
  <c r="F289" i="19"/>
  <c r="G289" i="19"/>
  <c r="H289" i="19"/>
  <c r="I289" i="19"/>
  <c r="J289" i="19"/>
  <c r="K289" i="19"/>
  <c r="M289" i="19"/>
  <c r="N289" i="19"/>
  <c r="O289" i="19"/>
  <c r="Q289" i="19"/>
  <c r="A290" i="19"/>
  <c r="B290" i="19"/>
  <c r="C290" i="19"/>
  <c r="D290" i="19"/>
  <c r="E290" i="19"/>
  <c r="F290" i="19"/>
  <c r="G290" i="19"/>
  <c r="H290" i="19"/>
  <c r="I290" i="19"/>
  <c r="J290" i="19"/>
  <c r="K290" i="19"/>
  <c r="M290" i="19"/>
  <c r="N290" i="19"/>
  <c r="O290" i="19"/>
  <c r="Q290" i="19"/>
  <c r="A291" i="19"/>
  <c r="B291" i="19"/>
  <c r="C291" i="19"/>
  <c r="D291" i="19"/>
  <c r="E291" i="19"/>
  <c r="F291" i="19"/>
  <c r="G291" i="19"/>
  <c r="H291" i="19"/>
  <c r="I291" i="19"/>
  <c r="J291" i="19"/>
  <c r="K291" i="19"/>
  <c r="M291" i="19"/>
  <c r="N291" i="19"/>
  <c r="O291" i="19"/>
  <c r="Q291" i="19"/>
  <c r="A292" i="19"/>
  <c r="B292" i="19"/>
  <c r="C292" i="19"/>
  <c r="D292" i="19"/>
  <c r="E292" i="19"/>
  <c r="F292" i="19"/>
  <c r="G292" i="19"/>
  <c r="H292" i="19"/>
  <c r="I292" i="19"/>
  <c r="J292" i="19"/>
  <c r="K292" i="19"/>
  <c r="M292" i="19"/>
  <c r="N292" i="19"/>
  <c r="O292" i="19"/>
  <c r="Q292" i="19"/>
  <c r="A293" i="19"/>
  <c r="B293" i="19"/>
  <c r="C293" i="19"/>
  <c r="D293" i="19"/>
  <c r="E293" i="19"/>
  <c r="F293" i="19"/>
  <c r="G293" i="19"/>
  <c r="H293" i="19"/>
  <c r="I293" i="19"/>
  <c r="J293" i="19"/>
  <c r="K293" i="19"/>
  <c r="M293" i="19"/>
  <c r="N293" i="19"/>
  <c r="O293" i="19"/>
  <c r="Q293" i="19"/>
  <c r="A294" i="19"/>
  <c r="B294" i="19"/>
  <c r="C294" i="19"/>
  <c r="D294" i="19"/>
  <c r="E294" i="19"/>
  <c r="L294" i="19" s="1"/>
  <c r="F294" i="19"/>
  <c r="G294" i="19"/>
  <c r="H294" i="19"/>
  <c r="I294" i="19"/>
  <c r="J294" i="19"/>
  <c r="K294" i="19"/>
  <c r="M294" i="19"/>
  <c r="N294" i="19"/>
  <c r="O294" i="19"/>
  <c r="Q294" i="19"/>
  <c r="A295" i="19"/>
  <c r="B295" i="19"/>
  <c r="C295" i="19"/>
  <c r="D295" i="19"/>
  <c r="E295" i="19"/>
  <c r="F295" i="19"/>
  <c r="G295" i="19"/>
  <c r="H295" i="19"/>
  <c r="I295" i="19"/>
  <c r="J295" i="19"/>
  <c r="K295" i="19"/>
  <c r="M295" i="19"/>
  <c r="N295" i="19"/>
  <c r="O295" i="19"/>
  <c r="Q295" i="19"/>
  <c r="A296" i="19"/>
  <c r="B296" i="19"/>
  <c r="C296" i="19"/>
  <c r="L296" i="19" s="1"/>
  <c r="D296" i="19"/>
  <c r="E296" i="19"/>
  <c r="F296" i="19"/>
  <c r="G296" i="19"/>
  <c r="H296" i="19"/>
  <c r="I296" i="19"/>
  <c r="J296" i="19"/>
  <c r="K296" i="19"/>
  <c r="M296" i="19"/>
  <c r="N296" i="19"/>
  <c r="O296" i="19"/>
  <c r="Q296" i="19"/>
  <c r="A297" i="19"/>
  <c r="B297" i="19"/>
  <c r="C297" i="19"/>
  <c r="D297" i="19"/>
  <c r="E297" i="19"/>
  <c r="F297" i="19"/>
  <c r="G297" i="19"/>
  <c r="H297" i="19"/>
  <c r="I297" i="19"/>
  <c r="J297" i="19"/>
  <c r="K297" i="19"/>
  <c r="M297" i="19"/>
  <c r="N297" i="19"/>
  <c r="O297" i="19"/>
  <c r="Q297" i="19"/>
  <c r="A298" i="19"/>
  <c r="B298" i="19"/>
  <c r="C298" i="19"/>
  <c r="L298" i="19" s="1"/>
  <c r="D298" i="19"/>
  <c r="E298" i="19"/>
  <c r="F298" i="19"/>
  <c r="G298" i="19"/>
  <c r="H298" i="19"/>
  <c r="I298" i="19"/>
  <c r="J298" i="19"/>
  <c r="K298" i="19"/>
  <c r="M298" i="19"/>
  <c r="N298" i="19"/>
  <c r="O298" i="19"/>
  <c r="Q298" i="19"/>
  <c r="A299" i="19"/>
  <c r="B299" i="19"/>
  <c r="C299" i="19"/>
  <c r="D299" i="19"/>
  <c r="E299" i="19"/>
  <c r="F299" i="19"/>
  <c r="G299" i="19"/>
  <c r="H299" i="19"/>
  <c r="I299" i="19"/>
  <c r="J299" i="19"/>
  <c r="K299" i="19"/>
  <c r="M299" i="19"/>
  <c r="N299" i="19"/>
  <c r="O299" i="19"/>
  <c r="Q299" i="19"/>
  <c r="A300" i="19"/>
  <c r="B300" i="19"/>
  <c r="C300" i="19"/>
  <c r="L300" i="19" s="1"/>
  <c r="D300" i="19"/>
  <c r="E300" i="19"/>
  <c r="F300" i="19"/>
  <c r="G300" i="19"/>
  <c r="H300" i="19"/>
  <c r="I300" i="19"/>
  <c r="J300" i="19"/>
  <c r="K300" i="19"/>
  <c r="M300" i="19"/>
  <c r="N300" i="19"/>
  <c r="O300" i="19"/>
  <c r="Q300" i="19"/>
  <c r="A301" i="19"/>
  <c r="B301" i="19"/>
  <c r="C301" i="19"/>
  <c r="D301" i="19"/>
  <c r="E301" i="19"/>
  <c r="F301" i="19"/>
  <c r="G301" i="19"/>
  <c r="H301" i="19"/>
  <c r="I301" i="19"/>
  <c r="J301" i="19"/>
  <c r="K301" i="19"/>
  <c r="M301" i="19"/>
  <c r="N301" i="19"/>
  <c r="O301" i="19"/>
  <c r="Q301" i="19"/>
  <c r="A302" i="19"/>
  <c r="B302" i="19"/>
  <c r="C302" i="19"/>
  <c r="L302" i="19" s="1"/>
  <c r="D302" i="19"/>
  <c r="E302" i="19"/>
  <c r="F302" i="19"/>
  <c r="G302" i="19"/>
  <c r="H302" i="19"/>
  <c r="I302" i="19"/>
  <c r="J302" i="19"/>
  <c r="K302" i="19"/>
  <c r="M302" i="19"/>
  <c r="N302" i="19"/>
  <c r="O302" i="19"/>
  <c r="Q302" i="19"/>
  <c r="A303" i="19"/>
  <c r="B303" i="19"/>
  <c r="C303" i="19"/>
  <c r="L303" i="19" s="1"/>
  <c r="D303" i="19"/>
  <c r="E303" i="19"/>
  <c r="F303" i="19"/>
  <c r="G303" i="19"/>
  <c r="H303" i="19"/>
  <c r="I303" i="19"/>
  <c r="J303" i="19"/>
  <c r="K303" i="19"/>
  <c r="M303" i="19"/>
  <c r="N303" i="19"/>
  <c r="O303" i="19"/>
  <c r="Q303" i="19"/>
  <c r="A304" i="19"/>
  <c r="B304" i="19"/>
  <c r="C304" i="19"/>
  <c r="D304" i="19"/>
  <c r="L304" i="19" s="1"/>
  <c r="E304" i="19"/>
  <c r="F304" i="19"/>
  <c r="G304" i="19"/>
  <c r="H304" i="19"/>
  <c r="I304" i="19"/>
  <c r="J304" i="19"/>
  <c r="K304" i="19"/>
  <c r="M304" i="19"/>
  <c r="N304" i="19"/>
  <c r="O304" i="19"/>
  <c r="Q304" i="19"/>
  <c r="A305" i="19"/>
  <c r="B305" i="19"/>
  <c r="C305" i="19"/>
  <c r="D305" i="19"/>
  <c r="E305" i="19"/>
  <c r="F305" i="19"/>
  <c r="G305" i="19"/>
  <c r="H305" i="19"/>
  <c r="I305" i="19"/>
  <c r="J305" i="19"/>
  <c r="K305" i="19"/>
  <c r="M305" i="19"/>
  <c r="N305" i="19"/>
  <c r="O305" i="19"/>
  <c r="Q305" i="19"/>
  <c r="F211" i="49" l="1"/>
  <c r="G211" i="49" s="1"/>
  <c r="P211" i="19"/>
  <c r="R211" i="19" s="1"/>
  <c r="F205" i="49"/>
  <c r="G205" i="49" s="1"/>
  <c r="P205" i="19"/>
  <c r="R205" i="19" s="1"/>
  <c r="F201" i="49"/>
  <c r="P201" i="19"/>
  <c r="R201" i="19" s="1"/>
  <c r="F197" i="49"/>
  <c r="P197" i="19"/>
  <c r="R197" i="19" s="1"/>
  <c r="F193" i="49"/>
  <c r="G193" i="49" s="1"/>
  <c r="P193" i="19"/>
  <c r="R193" i="19" s="1"/>
  <c r="F189" i="49"/>
  <c r="G189" i="49" s="1"/>
  <c r="P189" i="19"/>
  <c r="R189" i="19" s="1"/>
  <c r="F183" i="49"/>
  <c r="G183" i="49" s="1"/>
  <c r="P183" i="19"/>
  <c r="R183" i="19" s="1"/>
  <c r="C145" i="11"/>
  <c r="C151" i="34"/>
  <c r="C137" i="11"/>
  <c r="C143" i="34"/>
  <c r="E133" i="33"/>
  <c r="D133" i="37" s="1"/>
  <c r="C133" i="11"/>
  <c r="C139" i="34"/>
  <c r="C129" i="11"/>
  <c r="C135" i="34"/>
  <c r="F110" i="49"/>
  <c r="G110" i="49" s="1"/>
  <c r="P110" i="19"/>
  <c r="R110" i="19" s="1"/>
  <c r="F64" i="49"/>
  <c r="G64" i="49" s="1"/>
  <c r="P64" i="19"/>
  <c r="R64" i="19" s="1"/>
  <c r="C61" i="11"/>
  <c r="C67" i="34"/>
  <c r="E61" i="33"/>
  <c r="D61" i="37" s="1"/>
  <c r="E57" i="33"/>
  <c r="D57" i="37" s="1"/>
  <c r="C57" i="11"/>
  <c r="C63" i="34"/>
  <c r="C55" i="11"/>
  <c r="C61" i="34"/>
  <c r="E55" i="33"/>
  <c r="D55" i="37" s="1"/>
  <c r="C49" i="11"/>
  <c r="C55" i="34"/>
  <c r="E49" i="33"/>
  <c r="D49" i="37" s="1"/>
  <c r="C45" i="11"/>
  <c r="C51" i="34"/>
  <c r="C43" i="11"/>
  <c r="C49" i="34"/>
  <c r="E33" i="33"/>
  <c r="D33" i="37" s="1"/>
  <c r="C33" i="11"/>
  <c r="C39" i="34"/>
  <c r="C29" i="11"/>
  <c r="C35" i="34"/>
  <c r="C27" i="11"/>
  <c r="C33" i="34"/>
  <c r="E17" i="33"/>
  <c r="D17" i="37" s="1"/>
  <c r="C17" i="11"/>
  <c r="C23" i="34"/>
  <c r="C13" i="11"/>
  <c r="C19" i="34"/>
  <c r="P302" i="19"/>
  <c r="R302" i="19" s="1"/>
  <c r="F302" i="49"/>
  <c r="G302" i="49" s="1"/>
  <c r="P298" i="19"/>
  <c r="R298" i="19" s="1"/>
  <c r="F298" i="49"/>
  <c r="G298" i="49" s="1"/>
  <c r="F149" i="49"/>
  <c r="G149" i="49" s="1"/>
  <c r="P149" i="19"/>
  <c r="R149" i="19" s="1"/>
  <c r="F119" i="49"/>
  <c r="G119" i="49" s="1"/>
  <c r="P119" i="19"/>
  <c r="R119" i="19" s="1"/>
  <c r="F115" i="49"/>
  <c r="G115" i="49" s="1"/>
  <c r="P115" i="19"/>
  <c r="R115" i="19" s="1"/>
  <c r="P271" i="19"/>
  <c r="R271" i="19" s="1"/>
  <c r="F271" i="49"/>
  <c r="F207" i="49"/>
  <c r="G207" i="49" s="1"/>
  <c r="P207" i="19"/>
  <c r="R207" i="19" s="1"/>
  <c r="F203" i="49"/>
  <c r="G203" i="49" s="1"/>
  <c r="P203" i="19"/>
  <c r="R203" i="19" s="1"/>
  <c r="F199" i="49"/>
  <c r="G199" i="49" s="1"/>
  <c r="P199" i="19"/>
  <c r="R199" i="19" s="1"/>
  <c r="F195" i="49"/>
  <c r="G195" i="49" s="1"/>
  <c r="P195" i="19"/>
  <c r="R195" i="19" s="1"/>
  <c r="F191" i="49"/>
  <c r="G191" i="49" s="1"/>
  <c r="P191" i="19"/>
  <c r="R191" i="19" s="1"/>
  <c r="F185" i="49"/>
  <c r="G185" i="49" s="1"/>
  <c r="P185" i="19"/>
  <c r="R185" i="19" s="1"/>
  <c r="F181" i="49"/>
  <c r="G181" i="49" s="1"/>
  <c r="P181" i="19"/>
  <c r="R181" i="19" s="1"/>
  <c r="E173" i="33"/>
  <c r="D173" i="37" s="1"/>
  <c r="C173" i="11"/>
  <c r="C179" i="34"/>
  <c r="C171" i="11"/>
  <c r="C177" i="34"/>
  <c r="E171" i="33"/>
  <c r="D171" i="37" s="1"/>
  <c r="C169" i="11"/>
  <c r="C175" i="34"/>
  <c r="C165" i="11"/>
  <c r="C171" i="34"/>
  <c r="E165" i="33"/>
  <c r="D165" i="37" s="1"/>
  <c r="C161" i="11"/>
  <c r="C167" i="34"/>
  <c r="C159" i="11"/>
  <c r="C165" i="34"/>
  <c r="E159" i="33"/>
  <c r="D159" i="37" s="1"/>
  <c r="E157" i="33"/>
  <c r="D157" i="37" s="1"/>
  <c r="C157" i="11"/>
  <c r="C163" i="34"/>
  <c r="F102" i="49"/>
  <c r="G102" i="49" s="1"/>
  <c r="P102" i="19"/>
  <c r="R102" i="19" s="1"/>
  <c r="F300" i="49"/>
  <c r="G300" i="49" s="1"/>
  <c r="P300" i="19"/>
  <c r="R300" i="19" s="1"/>
  <c r="F296" i="49"/>
  <c r="G296" i="49" s="1"/>
  <c r="P296" i="19"/>
  <c r="R296" i="19" s="1"/>
  <c r="P294" i="19"/>
  <c r="R294" i="19" s="1"/>
  <c r="F294" i="49"/>
  <c r="G294" i="49" s="1"/>
  <c r="F153" i="49"/>
  <c r="G153" i="49" s="1"/>
  <c r="P153" i="19"/>
  <c r="R153" i="19" s="1"/>
  <c r="F151" i="49"/>
  <c r="G151" i="49" s="1"/>
  <c r="P151" i="19"/>
  <c r="R151" i="19" s="1"/>
  <c r="F121" i="49"/>
  <c r="P121" i="19"/>
  <c r="R121" i="19" s="1"/>
  <c r="F117" i="49"/>
  <c r="G117" i="49" s="1"/>
  <c r="P117" i="19"/>
  <c r="R117" i="19" s="1"/>
  <c r="F113" i="49"/>
  <c r="G113" i="49" s="1"/>
  <c r="P113" i="19"/>
  <c r="R113" i="19" s="1"/>
  <c r="P7" i="19"/>
  <c r="R7" i="19" s="1"/>
  <c r="F7" i="49"/>
  <c r="G7" i="49" s="1"/>
  <c r="C250" i="25"/>
  <c r="E251" i="13"/>
  <c r="F251" i="13" s="1"/>
  <c r="C292" i="25"/>
  <c r="E293" i="13"/>
  <c r="F293" i="13" s="1"/>
  <c r="C288" i="25"/>
  <c r="E289" i="13"/>
  <c r="C284" i="25"/>
  <c r="E285" i="13"/>
  <c r="F285" i="13" s="1"/>
  <c r="C280" i="25"/>
  <c r="E281" i="13"/>
  <c r="C276" i="25"/>
  <c r="E277" i="13"/>
  <c r="F277" i="13" s="1"/>
  <c r="C272" i="25"/>
  <c r="E273" i="13"/>
  <c r="C267" i="25"/>
  <c r="E268" i="13"/>
  <c r="F268" i="13" s="1"/>
  <c r="C263" i="25"/>
  <c r="E264" i="13"/>
  <c r="F264" i="13" s="1"/>
  <c r="L261" i="19"/>
  <c r="C259" i="25"/>
  <c r="E260" i="13"/>
  <c r="F260" i="13" s="1"/>
  <c r="C255" i="25"/>
  <c r="E256" i="13"/>
  <c r="F256" i="13" s="1"/>
  <c r="L256" i="19"/>
  <c r="L253" i="19"/>
  <c r="C251" i="25"/>
  <c r="E252" i="13"/>
  <c r="F252" i="13" s="1"/>
  <c r="C247" i="25"/>
  <c r="E248" i="13"/>
  <c r="F248" i="13" s="1"/>
  <c r="C243" i="25"/>
  <c r="E244" i="13"/>
  <c r="F244" i="13" s="1"/>
  <c r="C239" i="25"/>
  <c r="E240" i="13"/>
  <c r="F240" i="13" s="1"/>
  <c r="C235" i="25"/>
  <c r="E236" i="13"/>
  <c r="F236" i="13" s="1"/>
  <c r="C231" i="25"/>
  <c r="E232" i="13"/>
  <c r="F232" i="13" s="1"/>
  <c r="C227" i="25"/>
  <c r="E228" i="13"/>
  <c r="F228" i="13" s="1"/>
  <c r="C223" i="25"/>
  <c r="E224" i="13"/>
  <c r="F224" i="13" s="1"/>
  <c r="C219" i="25"/>
  <c r="E220" i="13"/>
  <c r="F220" i="13" s="1"/>
  <c r="C215" i="25"/>
  <c r="E216" i="13"/>
  <c r="F216" i="13" s="1"/>
  <c r="L216" i="19"/>
  <c r="C211" i="25"/>
  <c r="E212" i="13"/>
  <c r="F212" i="13" s="1"/>
  <c r="C209" i="25"/>
  <c r="E210" i="13"/>
  <c r="F210" i="13" s="1"/>
  <c r="L187" i="19"/>
  <c r="C185" i="25"/>
  <c r="E186" i="13"/>
  <c r="F186" i="13" s="1"/>
  <c r="C183" i="25"/>
  <c r="E184" i="13"/>
  <c r="F184" i="13" s="1"/>
  <c r="L184" i="19"/>
  <c r="F184" i="49" s="1"/>
  <c r="G184" i="49" s="1"/>
  <c r="C181" i="25"/>
  <c r="E182" i="13"/>
  <c r="F182" i="13" s="1"/>
  <c r="C179" i="25"/>
  <c r="E180" i="13"/>
  <c r="L180" i="19"/>
  <c r="C152" i="25"/>
  <c r="E153" i="13"/>
  <c r="F153" i="13" s="1"/>
  <c r="C150" i="25"/>
  <c r="E151" i="13"/>
  <c r="F151" i="13" s="1"/>
  <c r="C148" i="25"/>
  <c r="E149" i="13"/>
  <c r="F149" i="13" s="1"/>
  <c r="C146" i="25"/>
  <c r="E147" i="13"/>
  <c r="F147" i="13" s="1"/>
  <c r="C120" i="25"/>
  <c r="E121" i="13"/>
  <c r="F121" i="13" s="1"/>
  <c r="C118" i="25"/>
  <c r="E119" i="13"/>
  <c r="F119" i="13" s="1"/>
  <c r="C116" i="25"/>
  <c r="E117" i="13"/>
  <c r="F117" i="13" s="1"/>
  <c r="C114" i="25"/>
  <c r="E115" i="13"/>
  <c r="F115" i="13" s="1"/>
  <c r="C112" i="25"/>
  <c r="E113" i="13"/>
  <c r="F113" i="13" s="1"/>
  <c r="C110" i="25"/>
  <c r="E111" i="13"/>
  <c r="F111" i="13" s="1"/>
  <c r="C108" i="25"/>
  <c r="E109" i="13"/>
  <c r="F109" i="13" s="1"/>
  <c r="C104" i="25"/>
  <c r="E105" i="13"/>
  <c r="F105" i="13" s="1"/>
  <c r="C98" i="25"/>
  <c r="E99" i="13"/>
  <c r="F99" i="13" s="1"/>
  <c r="C94" i="25"/>
  <c r="E95" i="13"/>
  <c r="F95" i="13" s="1"/>
  <c r="C90" i="25"/>
  <c r="E91" i="13"/>
  <c r="F91" i="13" s="1"/>
  <c r="C86" i="25"/>
  <c r="E87" i="13"/>
  <c r="F87" i="13" s="1"/>
  <c r="C82" i="25"/>
  <c r="E83" i="13"/>
  <c r="F83" i="13" s="1"/>
  <c r="C78" i="25"/>
  <c r="E79" i="13"/>
  <c r="F79" i="13" s="1"/>
  <c r="C74" i="25"/>
  <c r="E75" i="13"/>
  <c r="F75" i="13" s="1"/>
  <c r="C70" i="25"/>
  <c r="E71" i="13"/>
  <c r="F71" i="13" s="1"/>
  <c r="C66" i="25"/>
  <c r="E67" i="13"/>
  <c r="F67" i="13" s="1"/>
  <c r="C179" i="9"/>
  <c r="C175" i="9"/>
  <c r="C171" i="9"/>
  <c r="C167" i="9"/>
  <c r="C163" i="9"/>
  <c r="C151" i="9"/>
  <c r="C143" i="9"/>
  <c r="C139" i="9"/>
  <c r="C135" i="9"/>
  <c r="C67" i="9"/>
  <c r="C63" i="9"/>
  <c r="C55" i="9"/>
  <c r="C51" i="9"/>
  <c r="C39" i="9"/>
  <c r="C35" i="9"/>
  <c r="C23" i="9"/>
  <c r="C19" i="9"/>
  <c r="C163" i="33"/>
  <c r="C59" i="33"/>
  <c r="C35" i="33"/>
  <c r="C19" i="33"/>
  <c r="P304" i="19"/>
  <c r="R304" i="19" s="1"/>
  <c r="F304" i="49"/>
  <c r="G304" i="49" s="1"/>
  <c r="C287" i="25"/>
  <c r="E288" i="13"/>
  <c r="F288" i="13" s="1"/>
  <c r="C279" i="25"/>
  <c r="E280" i="13"/>
  <c r="F280" i="13" s="1"/>
  <c r="C258" i="25"/>
  <c r="E259" i="13"/>
  <c r="C303" i="25"/>
  <c r="E304" i="13"/>
  <c r="F304" i="13" s="1"/>
  <c r="C295" i="25"/>
  <c r="E296" i="13"/>
  <c r="F296" i="13" s="1"/>
  <c r="L289" i="19"/>
  <c r="L282" i="19"/>
  <c r="L281" i="19"/>
  <c r="L269" i="19"/>
  <c r="C304" i="25"/>
  <c r="E305" i="13"/>
  <c r="L305" i="19"/>
  <c r="C299" i="25"/>
  <c r="E300" i="13"/>
  <c r="F300" i="13" s="1"/>
  <c r="C297" i="25"/>
  <c r="E298" i="13"/>
  <c r="F298" i="13" s="1"/>
  <c r="C296" i="25"/>
  <c r="E297" i="13"/>
  <c r="L297" i="19"/>
  <c r="C294" i="25"/>
  <c r="E295" i="13"/>
  <c r="F295" i="13" s="1"/>
  <c r="L295" i="19"/>
  <c r="C289" i="25"/>
  <c r="E290" i="13"/>
  <c r="F290" i="13" s="1"/>
  <c r="C285" i="25"/>
  <c r="E286" i="13"/>
  <c r="F286" i="13" s="1"/>
  <c r="C281" i="25"/>
  <c r="E282" i="13"/>
  <c r="F282" i="13" s="1"/>
  <c r="C277" i="25"/>
  <c r="E278" i="13"/>
  <c r="F278" i="13" s="1"/>
  <c r="C273" i="25"/>
  <c r="E274" i="13"/>
  <c r="F274" i="13" s="1"/>
  <c r="C268" i="25"/>
  <c r="E269" i="13"/>
  <c r="F269" i="13" s="1"/>
  <c r="C264" i="25"/>
  <c r="E265" i="13"/>
  <c r="L265" i="19"/>
  <c r="C260" i="25"/>
  <c r="E261" i="13"/>
  <c r="F261" i="13" s="1"/>
  <c r="C256" i="25"/>
  <c r="E257" i="13"/>
  <c r="L257" i="19"/>
  <c r="C252" i="25"/>
  <c r="E253" i="13"/>
  <c r="F253" i="13" s="1"/>
  <c r="C248" i="25"/>
  <c r="E249" i="13"/>
  <c r="F249" i="13" s="1"/>
  <c r="C244" i="25"/>
  <c r="E245" i="13"/>
  <c r="F245" i="13" s="1"/>
  <c r="C240" i="25"/>
  <c r="E241" i="13"/>
  <c r="F241" i="13" s="1"/>
  <c r="C236" i="25"/>
  <c r="E237" i="13"/>
  <c r="F237" i="13" s="1"/>
  <c r="C232" i="25"/>
  <c r="E233" i="13"/>
  <c r="F233" i="13" s="1"/>
  <c r="C228" i="25"/>
  <c r="E229" i="13"/>
  <c r="F229" i="13" s="1"/>
  <c r="L229" i="19"/>
  <c r="C224" i="25"/>
  <c r="E225" i="13"/>
  <c r="F225" i="13" s="1"/>
  <c r="L225" i="19"/>
  <c r="C220" i="25"/>
  <c r="E221" i="13"/>
  <c r="F221" i="13" s="1"/>
  <c r="L221" i="19"/>
  <c r="C216" i="25"/>
  <c r="E217" i="13"/>
  <c r="F217" i="13" s="1"/>
  <c r="L215" i="19"/>
  <c r="C212" i="25"/>
  <c r="E213" i="13"/>
  <c r="F213" i="13" s="1"/>
  <c r="L209" i="19"/>
  <c r="C206" i="25"/>
  <c r="E207" i="13"/>
  <c r="F207" i="13" s="1"/>
  <c r="C204" i="25"/>
  <c r="E205" i="13"/>
  <c r="F205" i="13" s="1"/>
  <c r="C202" i="25"/>
  <c r="E203" i="13"/>
  <c r="F203" i="13" s="1"/>
  <c r="C200" i="25"/>
  <c r="E201" i="13"/>
  <c r="F201" i="13" s="1"/>
  <c r="C198" i="25"/>
  <c r="E199" i="13"/>
  <c r="F199" i="13" s="1"/>
  <c r="C196" i="25"/>
  <c r="E197" i="13"/>
  <c r="F197" i="13" s="1"/>
  <c r="C194" i="25"/>
  <c r="E195" i="13"/>
  <c r="F195" i="13" s="1"/>
  <c r="C192" i="25"/>
  <c r="E193" i="13"/>
  <c r="F193" i="13" s="1"/>
  <c r="C190" i="25"/>
  <c r="E191" i="13"/>
  <c r="F191" i="13" s="1"/>
  <c r="C188" i="25"/>
  <c r="E189" i="13"/>
  <c r="F189" i="13" s="1"/>
  <c r="C186" i="25"/>
  <c r="E187" i="13"/>
  <c r="F187" i="13" s="1"/>
  <c r="L155" i="19"/>
  <c r="C153" i="25"/>
  <c r="E154" i="13"/>
  <c r="F154" i="13" s="1"/>
  <c r="C151" i="25"/>
  <c r="E152" i="13"/>
  <c r="L152" i="19"/>
  <c r="F152" i="49" s="1"/>
  <c r="G152" i="49" s="1"/>
  <c r="C149" i="25"/>
  <c r="E150" i="13"/>
  <c r="F150" i="13" s="1"/>
  <c r="C147" i="25"/>
  <c r="E148" i="13"/>
  <c r="L148" i="19"/>
  <c r="L123" i="19"/>
  <c r="C121" i="25"/>
  <c r="E122" i="13"/>
  <c r="F122" i="13" s="1"/>
  <c r="C119" i="25"/>
  <c r="E120" i="13"/>
  <c r="L120" i="19"/>
  <c r="F120" i="49" s="1"/>
  <c r="G120" i="49" s="1"/>
  <c r="C117" i="25"/>
  <c r="E118" i="13"/>
  <c r="F118" i="13" s="1"/>
  <c r="C115" i="25"/>
  <c r="E116" i="13"/>
  <c r="L116" i="19"/>
  <c r="C113" i="25"/>
  <c r="E114" i="13"/>
  <c r="F114" i="13" s="1"/>
  <c r="C111" i="25"/>
  <c r="E112" i="13"/>
  <c r="L112" i="19"/>
  <c r="F112" i="49" s="1"/>
  <c r="C105" i="25"/>
  <c r="E106" i="13"/>
  <c r="F106" i="13" s="1"/>
  <c r="L106" i="19"/>
  <c r="C101" i="25"/>
  <c r="E102" i="13"/>
  <c r="F102" i="13" s="1"/>
  <c r="C99" i="25"/>
  <c r="E100" i="13"/>
  <c r="L100" i="19"/>
  <c r="C95" i="25"/>
  <c r="E96" i="13"/>
  <c r="C91" i="25"/>
  <c r="E92" i="13"/>
  <c r="C87" i="25"/>
  <c r="E88" i="13"/>
  <c r="F88" i="13" s="1"/>
  <c r="C83" i="25"/>
  <c r="E84" i="13"/>
  <c r="F84" i="13" s="1"/>
  <c r="C79" i="25"/>
  <c r="E80" i="13"/>
  <c r="F80" i="13" s="1"/>
  <c r="C75" i="25"/>
  <c r="E76" i="13"/>
  <c r="F76" i="13" s="1"/>
  <c r="C71" i="25"/>
  <c r="E72" i="13"/>
  <c r="F72" i="13" s="1"/>
  <c r="C67" i="25"/>
  <c r="E68" i="13"/>
  <c r="F68" i="13" s="1"/>
  <c r="C63" i="25"/>
  <c r="E64" i="13"/>
  <c r="F64" i="13" s="1"/>
  <c r="C175" i="33"/>
  <c r="E169" i="33"/>
  <c r="D169" i="37" s="1"/>
  <c r="C135" i="33"/>
  <c r="C131" i="33"/>
  <c r="E129" i="33"/>
  <c r="D129" i="37" s="1"/>
  <c r="C47" i="33"/>
  <c r="E43" i="33"/>
  <c r="D43" i="37" s="1"/>
  <c r="C31" i="33"/>
  <c r="E31" i="33" s="1"/>
  <c r="D31" i="37" s="1"/>
  <c r="E27" i="33"/>
  <c r="D27" i="37" s="1"/>
  <c r="C15" i="33"/>
  <c r="C11" i="33"/>
  <c r="C302" i="25"/>
  <c r="E303" i="13"/>
  <c r="F303" i="13" s="1"/>
  <c r="C275" i="25"/>
  <c r="E276" i="13"/>
  <c r="F276" i="13" s="1"/>
  <c r="C266" i="25"/>
  <c r="E267" i="13"/>
  <c r="F267" i="13" s="1"/>
  <c r="C262" i="25"/>
  <c r="E263" i="13"/>
  <c r="F263" i="13" s="1"/>
  <c r="P259" i="19"/>
  <c r="R259" i="19" s="1"/>
  <c r="F259" i="49"/>
  <c r="C254" i="25"/>
  <c r="E255" i="13"/>
  <c r="F255" i="13" s="1"/>
  <c r="C293" i="25"/>
  <c r="E294" i="13"/>
  <c r="F294" i="13" s="1"/>
  <c r="L293" i="19"/>
  <c r="L290" i="19"/>
  <c r="L286" i="19"/>
  <c r="L285" i="19"/>
  <c r="L278" i="19"/>
  <c r="L277" i="19"/>
  <c r="L273" i="19"/>
  <c r="C301" i="25"/>
  <c r="E302" i="13"/>
  <c r="F302" i="13" s="1"/>
  <c r="C300" i="25"/>
  <c r="E301" i="13"/>
  <c r="F301" i="13" s="1"/>
  <c r="L301" i="19"/>
  <c r="C298" i="25"/>
  <c r="E299" i="13"/>
  <c r="F299" i="13" s="1"/>
  <c r="L299" i="19"/>
  <c r="L292" i="19"/>
  <c r="C290" i="25"/>
  <c r="E291" i="13"/>
  <c r="F291" i="13" s="1"/>
  <c r="L291" i="19"/>
  <c r="L288" i="19"/>
  <c r="C286" i="25"/>
  <c r="E287" i="13"/>
  <c r="F287" i="13" s="1"/>
  <c r="L287" i="19"/>
  <c r="L284" i="19"/>
  <c r="C282" i="25"/>
  <c r="E283" i="13"/>
  <c r="F283" i="13" s="1"/>
  <c r="L283" i="19"/>
  <c r="L280" i="19"/>
  <c r="C278" i="25"/>
  <c r="E279" i="13"/>
  <c r="F279" i="13" s="1"/>
  <c r="L279" i="19"/>
  <c r="L276" i="19"/>
  <c r="C274" i="25"/>
  <c r="E275" i="13"/>
  <c r="F275" i="13" s="1"/>
  <c r="L275" i="19"/>
  <c r="C270" i="25"/>
  <c r="E271" i="13"/>
  <c r="F271" i="13" s="1"/>
  <c r="C269" i="25"/>
  <c r="E270" i="13"/>
  <c r="F270" i="13" s="1"/>
  <c r="C265" i="25"/>
  <c r="E266" i="13"/>
  <c r="F266" i="13" s="1"/>
  <c r="L263" i="19"/>
  <c r="C261" i="25"/>
  <c r="E262" i="13"/>
  <c r="F262" i="13" s="1"/>
  <c r="C257" i="25"/>
  <c r="E258" i="13"/>
  <c r="F258" i="13" s="1"/>
  <c r="L255" i="19"/>
  <c r="C253" i="25"/>
  <c r="E254" i="13"/>
  <c r="F254" i="13" s="1"/>
  <c r="C249" i="25"/>
  <c r="E250" i="13"/>
  <c r="F250" i="13" s="1"/>
  <c r="L250" i="19"/>
  <c r="F250" i="49" s="1"/>
  <c r="G250" i="49" s="1"/>
  <c r="C245" i="25"/>
  <c r="E246" i="13"/>
  <c r="F246" i="13" s="1"/>
  <c r="L246" i="19"/>
  <c r="F246" i="49" s="1"/>
  <c r="G246" i="49" s="1"/>
  <c r="C241" i="25"/>
  <c r="E242" i="13"/>
  <c r="F242" i="13" s="1"/>
  <c r="C237" i="25"/>
  <c r="E238" i="13"/>
  <c r="F238" i="13" s="1"/>
  <c r="L238" i="19"/>
  <c r="F238" i="49" s="1"/>
  <c r="G238" i="49" s="1"/>
  <c r="C233" i="25"/>
  <c r="E234" i="13"/>
  <c r="F234" i="13" s="1"/>
  <c r="L234" i="19"/>
  <c r="F234" i="49" s="1"/>
  <c r="G234" i="49" s="1"/>
  <c r="C229" i="25"/>
  <c r="E230" i="13"/>
  <c r="F230" i="13" s="1"/>
  <c r="L230" i="19"/>
  <c r="F230" i="49" s="1"/>
  <c r="G230" i="49" s="1"/>
  <c r="C225" i="25"/>
  <c r="E226" i="13"/>
  <c r="F226" i="13" s="1"/>
  <c r="L226" i="19"/>
  <c r="F226" i="49" s="1"/>
  <c r="G226" i="49" s="1"/>
  <c r="C221" i="25"/>
  <c r="E222" i="13"/>
  <c r="F222" i="13" s="1"/>
  <c r="C217" i="25"/>
  <c r="E218" i="13"/>
  <c r="F218" i="13" s="1"/>
  <c r="L218" i="19"/>
  <c r="F218" i="49" s="1"/>
  <c r="G218" i="49" s="1"/>
  <c r="C213" i="25"/>
  <c r="E214" i="13"/>
  <c r="F214" i="13" s="1"/>
  <c r="L214" i="19"/>
  <c r="C207" i="25"/>
  <c r="E208" i="13"/>
  <c r="F208" i="13" s="1"/>
  <c r="C205" i="25"/>
  <c r="E206" i="13"/>
  <c r="F206" i="13" s="1"/>
  <c r="C203" i="25"/>
  <c r="E204" i="13"/>
  <c r="F204" i="13" s="1"/>
  <c r="L204" i="19"/>
  <c r="C201" i="25"/>
  <c r="E202" i="13"/>
  <c r="F202" i="13" s="1"/>
  <c r="C199" i="25"/>
  <c r="E200" i="13"/>
  <c r="F200" i="13" s="1"/>
  <c r="L200" i="19"/>
  <c r="F200" i="49" s="1"/>
  <c r="G200" i="49" s="1"/>
  <c r="C197" i="25"/>
  <c r="E198" i="13"/>
  <c r="F198" i="13" s="1"/>
  <c r="C195" i="25"/>
  <c r="E196" i="13"/>
  <c r="F196" i="13" s="1"/>
  <c r="L196" i="19"/>
  <c r="C193" i="25"/>
  <c r="E194" i="13"/>
  <c r="F194" i="13" s="1"/>
  <c r="C191" i="25"/>
  <c r="E192" i="13"/>
  <c r="F192" i="13" s="1"/>
  <c r="L192" i="19"/>
  <c r="F192" i="49" s="1"/>
  <c r="C189" i="25"/>
  <c r="E190" i="13"/>
  <c r="F190" i="13" s="1"/>
  <c r="C187" i="25"/>
  <c r="E188" i="13"/>
  <c r="F188" i="13" s="1"/>
  <c r="L188" i="19"/>
  <c r="C176" i="25"/>
  <c r="E177" i="13"/>
  <c r="F177" i="13" s="1"/>
  <c r="C174" i="25"/>
  <c r="E175" i="13"/>
  <c r="F175" i="13" s="1"/>
  <c r="C172" i="25"/>
  <c r="E173" i="13"/>
  <c r="F173" i="13" s="1"/>
  <c r="C170" i="25"/>
  <c r="E171" i="13"/>
  <c r="F171" i="13" s="1"/>
  <c r="C168" i="25"/>
  <c r="E169" i="13"/>
  <c r="F169" i="13" s="1"/>
  <c r="C166" i="25"/>
  <c r="E167" i="13"/>
  <c r="F167" i="13" s="1"/>
  <c r="C164" i="25"/>
  <c r="E165" i="13"/>
  <c r="F165" i="13" s="1"/>
  <c r="C162" i="25"/>
  <c r="E163" i="13"/>
  <c r="F163" i="13" s="1"/>
  <c r="C160" i="25"/>
  <c r="E161" i="13"/>
  <c r="F161" i="13" s="1"/>
  <c r="C158" i="25"/>
  <c r="E159" i="13"/>
  <c r="F159" i="13" s="1"/>
  <c r="C156" i="25"/>
  <c r="E157" i="13"/>
  <c r="F157" i="13" s="1"/>
  <c r="C154" i="25"/>
  <c r="E155" i="13"/>
  <c r="F155" i="13" s="1"/>
  <c r="C144" i="25"/>
  <c r="E145" i="13"/>
  <c r="F145" i="13" s="1"/>
  <c r="C142" i="25"/>
  <c r="E143" i="13"/>
  <c r="F143" i="13" s="1"/>
  <c r="C140" i="25"/>
  <c r="E141" i="13"/>
  <c r="F141" i="13" s="1"/>
  <c r="C138" i="25"/>
  <c r="E139" i="13"/>
  <c r="F139" i="13" s="1"/>
  <c r="C136" i="25"/>
  <c r="E137" i="13"/>
  <c r="F137" i="13" s="1"/>
  <c r="C134" i="25"/>
  <c r="E135" i="13"/>
  <c r="F135" i="13" s="1"/>
  <c r="C132" i="25"/>
  <c r="E133" i="13"/>
  <c r="F133" i="13" s="1"/>
  <c r="C130" i="25"/>
  <c r="E131" i="13"/>
  <c r="F131" i="13" s="1"/>
  <c r="C128" i="25"/>
  <c r="E129" i="13"/>
  <c r="F129" i="13" s="1"/>
  <c r="C126" i="25"/>
  <c r="E127" i="13"/>
  <c r="F127" i="13" s="1"/>
  <c r="C124" i="25"/>
  <c r="E125" i="13"/>
  <c r="F125" i="13" s="1"/>
  <c r="C122" i="25"/>
  <c r="E123" i="13"/>
  <c r="F123" i="13" s="1"/>
  <c r="C106" i="25"/>
  <c r="E107" i="13"/>
  <c r="F107" i="13" s="1"/>
  <c r="C102" i="25"/>
  <c r="E103" i="13"/>
  <c r="F103" i="13" s="1"/>
  <c r="C100" i="25"/>
  <c r="E101" i="13"/>
  <c r="F101" i="13" s="1"/>
  <c r="C96" i="25"/>
  <c r="E97" i="13"/>
  <c r="F97" i="13" s="1"/>
  <c r="C92" i="25"/>
  <c r="E93" i="13"/>
  <c r="F93" i="13" s="1"/>
  <c r="C88" i="25"/>
  <c r="E89" i="13"/>
  <c r="F89" i="13" s="1"/>
  <c r="C84" i="25"/>
  <c r="E85" i="13"/>
  <c r="F85" i="13" s="1"/>
  <c r="C80" i="25"/>
  <c r="E81" i="13"/>
  <c r="F81" i="13" s="1"/>
  <c r="C76" i="25"/>
  <c r="E77" i="13"/>
  <c r="F77" i="13" s="1"/>
  <c r="C72" i="25"/>
  <c r="E73" i="13"/>
  <c r="F73" i="13" s="1"/>
  <c r="C68" i="25"/>
  <c r="E69" i="13"/>
  <c r="F69" i="13" s="1"/>
  <c r="C64" i="25"/>
  <c r="E65" i="13"/>
  <c r="F65" i="13" s="1"/>
  <c r="C62" i="25"/>
  <c r="E63" i="13"/>
  <c r="F63" i="13" s="1"/>
  <c r="C60" i="25"/>
  <c r="E61" i="13"/>
  <c r="F61" i="13" s="1"/>
  <c r="C58" i="25"/>
  <c r="E59" i="13"/>
  <c r="C56" i="25"/>
  <c r="E57" i="13"/>
  <c r="C54" i="25"/>
  <c r="E55" i="13"/>
  <c r="F55" i="13" s="1"/>
  <c r="E53" i="13"/>
  <c r="F53" i="13" s="1"/>
  <c r="C52" i="25"/>
  <c r="C50" i="25"/>
  <c r="E51" i="13"/>
  <c r="C48" i="25"/>
  <c r="E49" i="13"/>
  <c r="C46" i="25"/>
  <c r="E47" i="13"/>
  <c r="F47" i="13" s="1"/>
  <c r="C44" i="25"/>
  <c r="E45" i="13"/>
  <c r="F45" i="13" s="1"/>
  <c r="C42" i="25"/>
  <c r="E43" i="13"/>
  <c r="C40" i="25"/>
  <c r="E41" i="13"/>
  <c r="C38" i="25"/>
  <c r="E39" i="13"/>
  <c r="C36" i="25"/>
  <c r="E37" i="13"/>
  <c r="C34" i="25"/>
  <c r="E35" i="13"/>
  <c r="F35" i="13" s="1"/>
  <c r="C32" i="25"/>
  <c r="E33" i="13"/>
  <c r="F33" i="13" s="1"/>
  <c r="C30" i="25"/>
  <c r="E31" i="13"/>
  <c r="C28" i="25"/>
  <c r="E29" i="13"/>
  <c r="C26" i="25"/>
  <c r="E27" i="13"/>
  <c r="F27" i="13" s="1"/>
  <c r="C24" i="25"/>
  <c r="E25" i="13"/>
  <c r="F25" i="13" s="1"/>
  <c r="C22" i="25"/>
  <c r="E23" i="13"/>
  <c r="C20" i="25"/>
  <c r="E21" i="13"/>
  <c r="C18" i="25"/>
  <c r="E19" i="13"/>
  <c r="F19" i="13" s="1"/>
  <c r="C16" i="25"/>
  <c r="E17" i="13"/>
  <c r="F17" i="13" s="1"/>
  <c r="C14" i="25"/>
  <c r="E15" i="13"/>
  <c r="C12" i="25"/>
  <c r="E13" i="13"/>
  <c r="C10" i="25"/>
  <c r="E11" i="13"/>
  <c r="F11" i="13" s="1"/>
  <c r="C8" i="25"/>
  <c r="E9" i="13"/>
  <c r="F9" i="13" s="1"/>
  <c r="C6" i="25"/>
  <c r="E7" i="13"/>
  <c r="C177" i="9"/>
  <c r="C165" i="9"/>
  <c r="C61" i="9"/>
  <c r="C49" i="9"/>
  <c r="C33" i="9"/>
  <c r="P303" i="19"/>
  <c r="R303" i="19" s="1"/>
  <c r="F303" i="49"/>
  <c r="C291" i="25"/>
  <c r="E292" i="13"/>
  <c r="F292" i="13" s="1"/>
  <c r="C283" i="25"/>
  <c r="E284" i="13"/>
  <c r="F284" i="13" s="1"/>
  <c r="C271" i="25"/>
  <c r="E272" i="13"/>
  <c r="F272" i="13" s="1"/>
  <c r="P267" i="19"/>
  <c r="R267" i="19" s="1"/>
  <c r="F267" i="49"/>
  <c r="C246" i="25"/>
  <c r="E247" i="13"/>
  <c r="F247" i="13" s="1"/>
  <c r="C242" i="25"/>
  <c r="E243" i="13"/>
  <c r="F243" i="13" s="1"/>
  <c r="C238" i="25"/>
  <c r="E239" i="13"/>
  <c r="F239" i="13" s="1"/>
  <c r="C234" i="25"/>
  <c r="E235" i="13"/>
  <c r="F235" i="13" s="1"/>
  <c r="C230" i="25"/>
  <c r="E231" i="13"/>
  <c r="F231" i="13" s="1"/>
  <c r="C226" i="25"/>
  <c r="E227" i="13"/>
  <c r="F227" i="13" s="1"/>
  <c r="C222" i="25"/>
  <c r="E223" i="13"/>
  <c r="F223" i="13" s="1"/>
  <c r="C218" i="25"/>
  <c r="E219" i="13"/>
  <c r="F219" i="13" s="1"/>
  <c r="C214" i="25"/>
  <c r="E215" i="13"/>
  <c r="F215" i="13" s="1"/>
  <c r="L213" i="19"/>
  <c r="C210" i="25"/>
  <c r="E211" i="13"/>
  <c r="F211" i="13" s="1"/>
  <c r="C208" i="25"/>
  <c r="E209" i="13"/>
  <c r="F209" i="13" s="1"/>
  <c r="C184" i="25"/>
  <c r="E185" i="13"/>
  <c r="F185" i="13" s="1"/>
  <c r="C182" i="25"/>
  <c r="E183" i="13"/>
  <c r="F183" i="13" s="1"/>
  <c r="C180" i="25"/>
  <c r="E181" i="13"/>
  <c r="F181" i="13" s="1"/>
  <c r="C178" i="25"/>
  <c r="E179" i="13"/>
  <c r="F179" i="13" s="1"/>
  <c r="P179" i="19"/>
  <c r="R179" i="19" s="1"/>
  <c r="F179" i="49"/>
  <c r="G179" i="49" s="1"/>
  <c r="C177" i="25"/>
  <c r="E178" i="13"/>
  <c r="F178" i="13" s="1"/>
  <c r="E176" i="25"/>
  <c r="J177" i="49"/>
  <c r="C177" i="13"/>
  <c r="C177" i="39"/>
  <c r="C177" i="12"/>
  <c r="C175" i="25"/>
  <c r="E176" i="13"/>
  <c r="F176" i="13" s="1"/>
  <c r="L176" i="19"/>
  <c r="F176" i="49" s="1"/>
  <c r="G176" i="49" s="1"/>
  <c r="E174" i="25"/>
  <c r="J175" i="49"/>
  <c r="C175" i="13"/>
  <c r="C175" i="39"/>
  <c r="C175" i="12"/>
  <c r="C173" i="25"/>
  <c r="E174" i="13"/>
  <c r="F174" i="13" s="1"/>
  <c r="E172" i="25"/>
  <c r="J173" i="49"/>
  <c r="C173" i="13"/>
  <c r="C173" i="39"/>
  <c r="C173" i="12"/>
  <c r="C171" i="25"/>
  <c r="E172" i="13"/>
  <c r="F172" i="13" s="1"/>
  <c r="L172" i="19"/>
  <c r="E170" i="25"/>
  <c r="J171" i="49"/>
  <c r="C171" i="13"/>
  <c r="C171" i="39"/>
  <c r="C171" i="12"/>
  <c r="C169" i="25"/>
  <c r="E170" i="13"/>
  <c r="F170" i="13" s="1"/>
  <c r="E168" i="25"/>
  <c r="J169" i="49"/>
  <c r="C169" i="13"/>
  <c r="C169" i="39"/>
  <c r="C169" i="12"/>
  <c r="C167" i="25"/>
  <c r="E168" i="13"/>
  <c r="F168" i="13" s="1"/>
  <c r="L168" i="19"/>
  <c r="F168" i="49" s="1"/>
  <c r="G168" i="49" s="1"/>
  <c r="J167" i="49"/>
  <c r="E166" i="25"/>
  <c r="C167" i="13"/>
  <c r="C167" i="39"/>
  <c r="C167" i="12"/>
  <c r="C165" i="25"/>
  <c r="E166" i="13"/>
  <c r="F166" i="13" s="1"/>
  <c r="E164" i="25"/>
  <c r="J165" i="49"/>
  <c r="C165" i="13"/>
  <c r="C165" i="39"/>
  <c r="C165" i="12"/>
  <c r="C163" i="25"/>
  <c r="E164" i="13"/>
  <c r="F164" i="13" s="1"/>
  <c r="L164" i="19"/>
  <c r="E162" i="25"/>
  <c r="J163" i="49"/>
  <c r="C163" i="13"/>
  <c r="C163" i="39"/>
  <c r="C163" i="12"/>
  <c r="C161" i="25"/>
  <c r="E162" i="13"/>
  <c r="F162" i="13" s="1"/>
  <c r="E160" i="25"/>
  <c r="J161" i="49"/>
  <c r="C161" i="13"/>
  <c r="C161" i="39"/>
  <c r="C161" i="12"/>
  <c r="C159" i="25"/>
  <c r="E160" i="13"/>
  <c r="F160" i="13" s="1"/>
  <c r="L160" i="19"/>
  <c r="F160" i="49" s="1"/>
  <c r="G160" i="49" s="1"/>
  <c r="E158" i="25"/>
  <c r="J159" i="49"/>
  <c r="C159" i="13"/>
  <c r="C159" i="39"/>
  <c r="C159" i="12"/>
  <c r="C157" i="25"/>
  <c r="E158" i="13"/>
  <c r="F158" i="13" s="1"/>
  <c r="E156" i="25"/>
  <c r="J157" i="49"/>
  <c r="C157" i="13"/>
  <c r="C157" i="39"/>
  <c r="C157" i="12"/>
  <c r="C155" i="25"/>
  <c r="E156" i="13"/>
  <c r="F156" i="13" s="1"/>
  <c r="L156" i="19"/>
  <c r="L147" i="19"/>
  <c r="C145" i="25"/>
  <c r="E146" i="13"/>
  <c r="F146" i="13" s="1"/>
  <c r="E144" i="25"/>
  <c r="J145" i="49"/>
  <c r="C145" i="13"/>
  <c r="C145" i="39"/>
  <c r="C145" i="12"/>
  <c r="C143" i="25"/>
  <c r="E144" i="13"/>
  <c r="L144" i="19"/>
  <c r="F144" i="49" s="1"/>
  <c r="G144" i="49" s="1"/>
  <c r="E142" i="25"/>
  <c r="J143" i="49"/>
  <c r="C143" i="13"/>
  <c r="C143" i="39"/>
  <c r="C143" i="12"/>
  <c r="C141" i="25"/>
  <c r="E142" i="13"/>
  <c r="F142" i="13" s="1"/>
  <c r="E140" i="25"/>
  <c r="J141" i="49"/>
  <c r="C141" i="13"/>
  <c r="C141" i="39"/>
  <c r="C141" i="12"/>
  <c r="C139" i="25"/>
  <c r="E140" i="13"/>
  <c r="L140" i="19"/>
  <c r="E138" i="25"/>
  <c r="J139" i="49"/>
  <c r="C139" i="13"/>
  <c r="C139" i="39"/>
  <c r="C139" i="12"/>
  <c r="C137" i="25"/>
  <c r="E138" i="13"/>
  <c r="F138" i="13" s="1"/>
  <c r="E136" i="25"/>
  <c r="J137" i="49"/>
  <c r="C137" i="13"/>
  <c r="C137" i="39"/>
  <c r="C137" i="12"/>
  <c r="C135" i="25"/>
  <c r="E136" i="13"/>
  <c r="L136" i="19"/>
  <c r="F136" i="49" s="1"/>
  <c r="G136" i="49" s="1"/>
  <c r="J135" i="49"/>
  <c r="E134" i="25"/>
  <c r="C135" i="13"/>
  <c r="C135" i="39"/>
  <c r="C135" i="12"/>
  <c r="C133" i="25"/>
  <c r="E134" i="13"/>
  <c r="F134" i="13" s="1"/>
  <c r="E132" i="25"/>
  <c r="J133" i="49"/>
  <c r="C133" i="13"/>
  <c r="C133" i="39"/>
  <c r="C133" i="12"/>
  <c r="C131" i="25"/>
  <c r="E132" i="13"/>
  <c r="L132" i="19"/>
  <c r="E130" i="25"/>
  <c r="J131" i="49"/>
  <c r="C131" i="13"/>
  <c r="C131" i="39"/>
  <c r="C131" i="12"/>
  <c r="C129" i="25"/>
  <c r="E130" i="13"/>
  <c r="F130" i="13" s="1"/>
  <c r="E128" i="25"/>
  <c r="J129" i="49"/>
  <c r="C129" i="13"/>
  <c r="C129" i="39"/>
  <c r="C129" i="12"/>
  <c r="C127" i="25"/>
  <c r="E128" i="13"/>
  <c r="L128" i="19"/>
  <c r="F128" i="49" s="1"/>
  <c r="G128" i="49" s="1"/>
  <c r="J127" i="49"/>
  <c r="E126" i="25"/>
  <c r="C127" i="13"/>
  <c r="C127" i="39"/>
  <c r="C127" i="12"/>
  <c r="C125" i="25"/>
  <c r="E126" i="13"/>
  <c r="F126" i="13" s="1"/>
  <c r="E124" i="25"/>
  <c r="J125" i="49"/>
  <c r="C125" i="13"/>
  <c r="C125" i="39"/>
  <c r="C125" i="12"/>
  <c r="C123" i="25"/>
  <c r="E124" i="13"/>
  <c r="L124" i="19"/>
  <c r="C109" i="25"/>
  <c r="E110" i="13"/>
  <c r="F110" i="13" s="1"/>
  <c r="C107" i="25"/>
  <c r="E108" i="13"/>
  <c r="L108" i="19"/>
  <c r="C103" i="25"/>
  <c r="E104" i="13"/>
  <c r="C97" i="25"/>
  <c r="E98" i="13"/>
  <c r="F98" i="13" s="1"/>
  <c r="C93" i="25"/>
  <c r="E94" i="13"/>
  <c r="F94" i="13" s="1"/>
  <c r="C89" i="25"/>
  <c r="E90" i="13"/>
  <c r="F90" i="13" s="1"/>
  <c r="C85" i="25"/>
  <c r="E86" i="13"/>
  <c r="F86" i="13" s="1"/>
  <c r="C81" i="25"/>
  <c r="E82" i="13"/>
  <c r="F82" i="13" s="1"/>
  <c r="C77" i="25"/>
  <c r="E78" i="13"/>
  <c r="F78" i="13" s="1"/>
  <c r="C73" i="25"/>
  <c r="E74" i="13"/>
  <c r="F74" i="13" s="1"/>
  <c r="C69" i="25"/>
  <c r="E70" i="13"/>
  <c r="F70" i="13" s="1"/>
  <c r="C65" i="25"/>
  <c r="E66" i="13"/>
  <c r="F66" i="13" s="1"/>
  <c r="J63" i="49"/>
  <c r="E62" i="25"/>
  <c r="C63" i="13"/>
  <c r="C63" i="39"/>
  <c r="C63" i="12"/>
  <c r="C61" i="25"/>
  <c r="E62" i="13"/>
  <c r="F62" i="13" s="1"/>
  <c r="E60" i="25"/>
  <c r="C61" i="13"/>
  <c r="J61" i="49"/>
  <c r="C61" i="39"/>
  <c r="C61" i="12"/>
  <c r="C59" i="25"/>
  <c r="E60" i="13"/>
  <c r="F60" i="13" s="1"/>
  <c r="E58" i="25"/>
  <c r="J59" i="49"/>
  <c r="C59" i="13"/>
  <c r="C59" i="39"/>
  <c r="C59" i="12"/>
  <c r="C57" i="25"/>
  <c r="E58" i="13"/>
  <c r="F58" i="13" s="1"/>
  <c r="E56" i="25"/>
  <c r="J57" i="49"/>
  <c r="C57" i="13"/>
  <c r="C57" i="39"/>
  <c r="C57" i="12"/>
  <c r="C55" i="25"/>
  <c r="E56" i="13"/>
  <c r="F56" i="13" s="1"/>
  <c r="E54" i="25"/>
  <c r="J55" i="49"/>
  <c r="C55" i="13"/>
  <c r="C55" i="39"/>
  <c r="C55" i="12"/>
  <c r="C53" i="25"/>
  <c r="E54" i="13"/>
  <c r="F54" i="13" s="1"/>
  <c r="E52" i="25"/>
  <c r="J53" i="49"/>
  <c r="C53" i="13"/>
  <c r="C53" i="39"/>
  <c r="C53" i="12"/>
  <c r="C51" i="25"/>
  <c r="E52" i="13"/>
  <c r="F52" i="13" s="1"/>
  <c r="E50" i="25"/>
  <c r="J51" i="49"/>
  <c r="C51" i="13"/>
  <c r="C51" i="39"/>
  <c r="C51" i="12"/>
  <c r="C49" i="25"/>
  <c r="E50" i="13"/>
  <c r="F50" i="13" s="1"/>
  <c r="E48" i="25"/>
  <c r="J49" i="49"/>
  <c r="C49" i="13"/>
  <c r="C49" i="39"/>
  <c r="C49" i="12"/>
  <c r="C47" i="25"/>
  <c r="E48" i="13"/>
  <c r="F48" i="13" s="1"/>
  <c r="J47" i="49"/>
  <c r="E46" i="25"/>
  <c r="C47" i="13"/>
  <c r="C47" i="39"/>
  <c r="C47" i="12"/>
  <c r="C45" i="25"/>
  <c r="E46" i="13"/>
  <c r="F46" i="13" s="1"/>
  <c r="E44" i="25"/>
  <c r="C45" i="13"/>
  <c r="J45" i="49"/>
  <c r="C45" i="39"/>
  <c r="C45" i="12"/>
  <c r="C43" i="25"/>
  <c r="E44" i="13"/>
  <c r="F44" i="13" s="1"/>
  <c r="E42" i="25"/>
  <c r="J43" i="49"/>
  <c r="C43" i="13"/>
  <c r="C43" i="39"/>
  <c r="C43" i="12"/>
  <c r="C41" i="25"/>
  <c r="E42" i="13"/>
  <c r="F42" i="13" s="1"/>
  <c r="E40" i="25"/>
  <c r="J41" i="49"/>
  <c r="C41" i="13"/>
  <c r="C41" i="39"/>
  <c r="C41" i="12"/>
  <c r="C39" i="25"/>
  <c r="E40" i="13"/>
  <c r="F40" i="13" s="1"/>
  <c r="J39" i="49"/>
  <c r="E38" i="25"/>
  <c r="C39" i="13"/>
  <c r="C39" i="39"/>
  <c r="C39" i="12"/>
  <c r="C37" i="25"/>
  <c r="E38" i="13"/>
  <c r="F38" i="13" s="1"/>
  <c r="E36" i="25"/>
  <c r="C37" i="13"/>
  <c r="J37" i="49"/>
  <c r="C37" i="39"/>
  <c r="C37" i="12"/>
  <c r="C35" i="25"/>
  <c r="E36" i="13"/>
  <c r="F36" i="13" s="1"/>
  <c r="E34" i="25"/>
  <c r="J35" i="49"/>
  <c r="C35" i="13"/>
  <c r="C35" i="39"/>
  <c r="C35" i="12"/>
  <c r="C33" i="25"/>
  <c r="E34" i="13"/>
  <c r="F34" i="13" s="1"/>
  <c r="J33" i="49"/>
  <c r="E32" i="25"/>
  <c r="C33" i="13"/>
  <c r="C33" i="39"/>
  <c r="C33" i="12"/>
  <c r="C31" i="25"/>
  <c r="E32" i="13"/>
  <c r="F32" i="13" s="1"/>
  <c r="J31" i="49"/>
  <c r="E30" i="25"/>
  <c r="C31" i="13"/>
  <c r="C31" i="39"/>
  <c r="C31" i="12"/>
  <c r="C29" i="25"/>
  <c r="E30" i="13"/>
  <c r="F30" i="13" s="1"/>
  <c r="E28" i="25"/>
  <c r="C29" i="13"/>
  <c r="J29" i="49"/>
  <c r="C29" i="39"/>
  <c r="C29" i="12"/>
  <c r="C27" i="25"/>
  <c r="E28" i="13"/>
  <c r="F28" i="13" s="1"/>
  <c r="E26" i="25"/>
  <c r="J27" i="49"/>
  <c r="C27" i="13"/>
  <c r="C27" i="39"/>
  <c r="C27" i="12"/>
  <c r="C25" i="25"/>
  <c r="E26" i="13"/>
  <c r="F26" i="13" s="1"/>
  <c r="E24" i="25"/>
  <c r="J25" i="49"/>
  <c r="C25" i="13"/>
  <c r="C25" i="39"/>
  <c r="C25" i="12"/>
  <c r="C23" i="25"/>
  <c r="E24" i="13"/>
  <c r="F24" i="13" s="1"/>
  <c r="J23" i="49"/>
  <c r="E22" i="25"/>
  <c r="C23" i="13"/>
  <c r="C23" i="39"/>
  <c r="C23" i="12"/>
  <c r="C21" i="25"/>
  <c r="E22" i="13"/>
  <c r="F22" i="13" s="1"/>
  <c r="E20" i="25"/>
  <c r="C21" i="13"/>
  <c r="J21" i="49"/>
  <c r="C21" i="39"/>
  <c r="C21" i="12"/>
  <c r="C19" i="25"/>
  <c r="E20" i="13"/>
  <c r="F20" i="13" s="1"/>
  <c r="E18" i="25"/>
  <c r="J19" i="49"/>
  <c r="C19" i="13"/>
  <c r="C19" i="39"/>
  <c r="C19" i="12"/>
  <c r="C17" i="25"/>
  <c r="E18" i="13"/>
  <c r="F18" i="13" s="1"/>
  <c r="J17" i="49"/>
  <c r="E16" i="25"/>
  <c r="C17" i="13"/>
  <c r="C17" i="39"/>
  <c r="C17" i="12"/>
  <c r="C15" i="25"/>
  <c r="E16" i="13"/>
  <c r="F16" i="13" s="1"/>
  <c r="J15" i="49"/>
  <c r="E14" i="25"/>
  <c r="C15" i="13"/>
  <c r="C15" i="39"/>
  <c r="C15" i="12"/>
  <c r="C13" i="25"/>
  <c r="E14" i="13"/>
  <c r="F14" i="13" s="1"/>
  <c r="E12" i="25"/>
  <c r="C13" i="13"/>
  <c r="J13" i="49"/>
  <c r="C13" i="39"/>
  <c r="C13" i="12"/>
  <c r="C11" i="25"/>
  <c r="E12" i="13"/>
  <c r="F12" i="13" s="1"/>
  <c r="E10" i="25"/>
  <c r="J11" i="49"/>
  <c r="C11" i="13"/>
  <c r="C11" i="39"/>
  <c r="C11" i="12"/>
  <c r="C9" i="25"/>
  <c r="E10" i="13"/>
  <c r="F10" i="13" s="1"/>
  <c r="E8" i="25"/>
  <c r="J9" i="49"/>
  <c r="C9" i="13"/>
  <c r="C9" i="39"/>
  <c r="C9" i="12"/>
  <c r="C9" i="33"/>
  <c r="C7" i="25"/>
  <c r="E8" i="13"/>
  <c r="F8" i="13" s="1"/>
  <c r="C177" i="33"/>
  <c r="C167" i="33"/>
  <c r="C143" i="33"/>
  <c r="C141" i="33"/>
  <c r="C139" i="33"/>
  <c r="E139" i="33" s="1"/>
  <c r="D139" i="37" s="1"/>
  <c r="C127" i="33"/>
  <c r="C125" i="33"/>
  <c r="C63" i="33"/>
  <c r="E59" i="33"/>
  <c r="D59" i="37" s="1"/>
  <c r="C53" i="33"/>
  <c r="C51" i="33"/>
  <c r="C41" i="33"/>
  <c r="C39" i="33"/>
  <c r="C37" i="33"/>
  <c r="E35" i="33"/>
  <c r="D35" i="37" s="1"/>
  <c r="C25" i="33"/>
  <c r="C23" i="33"/>
  <c r="C21" i="33"/>
  <c r="E19" i="33"/>
  <c r="D19" i="37" s="1"/>
  <c r="E15" i="33"/>
  <c r="D15" i="37" s="1"/>
  <c r="G271" i="49"/>
  <c r="G267" i="49"/>
  <c r="G259" i="49"/>
  <c r="G201" i="49"/>
  <c r="F7" i="13"/>
  <c r="G303" i="49"/>
  <c r="G197" i="49"/>
  <c r="G192" i="49"/>
  <c r="G125" i="49"/>
  <c r="G121" i="49"/>
  <c r="G112" i="49"/>
  <c r="G45" i="49"/>
  <c r="G29" i="49"/>
  <c r="G57" i="49"/>
  <c r="G41" i="49"/>
  <c r="G25" i="49"/>
  <c r="F305" i="13"/>
  <c r="F297" i="13"/>
  <c r="F289" i="13"/>
  <c r="F281" i="13"/>
  <c r="F273" i="13"/>
  <c r="F265" i="13"/>
  <c r="F257" i="13"/>
  <c r="F259" i="13"/>
  <c r="F180" i="13"/>
  <c r="F148" i="13"/>
  <c r="F140" i="13"/>
  <c r="F132" i="13"/>
  <c r="F124" i="13"/>
  <c r="F116" i="13"/>
  <c r="F108" i="13"/>
  <c r="F100" i="13"/>
  <c r="F92" i="13"/>
  <c r="F152" i="13"/>
  <c r="F144" i="13"/>
  <c r="F136" i="13"/>
  <c r="F128" i="13"/>
  <c r="F120" i="13"/>
  <c r="F112" i="13"/>
  <c r="F104" i="13"/>
  <c r="F96" i="13"/>
  <c r="F59" i="13"/>
  <c r="F51" i="13"/>
  <c r="F43" i="13"/>
  <c r="F41" i="13"/>
  <c r="F39" i="13"/>
  <c r="F37" i="13"/>
  <c r="F29" i="13"/>
  <c r="F21" i="13"/>
  <c r="F13" i="13"/>
  <c r="F57" i="13"/>
  <c r="F49" i="13"/>
  <c r="F31" i="13"/>
  <c r="F23" i="13"/>
  <c r="F15" i="13"/>
  <c r="E161" i="33"/>
  <c r="D161" i="37" s="1"/>
  <c r="E145" i="33"/>
  <c r="D145" i="37" s="1"/>
  <c r="E137" i="33"/>
  <c r="D137" i="37" s="1"/>
  <c r="E47" i="33"/>
  <c r="D47" i="37" s="1"/>
  <c r="E37" i="33"/>
  <c r="D37" i="37" s="1"/>
  <c r="E29" i="33"/>
  <c r="D29" i="37" s="1"/>
  <c r="E21" i="33"/>
  <c r="D21" i="37" s="1"/>
  <c r="E13" i="33"/>
  <c r="D13" i="37" s="1"/>
  <c r="E45" i="33"/>
  <c r="D45" i="37" s="1"/>
  <c r="E11" i="33"/>
  <c r="D11" i="37" s="1"/>
  <c r="L272" i="19"/>
  <c r="L249" i="19"/>
  <c r="L245" i="19"/>
  <c r="L237" i="19"/>
  <c r="L233" i="19"/>
  <c r="L270" i="19"/>
  <c r="L242" i="19"/>
  <c r="P226" i="19"/>
  <c r="R226" i="19" s="1"/>
  <c r="L50" i="19"/>
  <c r="P230" i="19"/>
  <c r="R230" i="19" s="1"/>
  <c r="L222" i="19"/>
  <c r="P218" i="19"/>
  <c r="R218" i="19" s="1"/>
  <c r="L268" i="19"/>
  <c r="L260" i="19"/>
  <c r="L252" i="19"/>
  <c r="L251" i="19"/>
  <c r="L247" i="19"/>
  <c r="L243" i="19"/>
  <c r="L239" i="19"/>
  <c r="L235" i="19"/>
  <c r="L231" i="19"/>
  <c r="L227" i="19"/>
  <c r="L223" i="19"/>
  <c r="L219" i="19"/>
  <c r="L217" i="19"/>
  <c r="L264" i="19"/>
  <c r="L241" i="19"/>
  <c r="L262" i="19"/>
  <c r="L254" i="19"/>
  <c r="P250" i="19"/>
  <c r="R250" i="19" s="1"/>
  <c r="P246" i="19"/>
  <c r="R246" i="19" s="1"/>
  <c r="P238" i="19"/>
  <c r="R238" i="19" s="1"/>
  <c r="P234" i="19"/>
  <c r="R234" i="19" s="1"/>
  <c r="L274" i="19"/>
  <c r="L266" i="19"/>
  <c r="L258" i="19"/>
  <c r="L248" i="19"/>
  <c r="L244" i="19"/>
  <c r="L240" i="19"/>
  <c r="L236" i="19"/>
  <c r="L232" i="19"/>
  <c r="L228" i="19"/>
  <c r="L224" i="19"/>
  <c r="L220" i="19"/>
  <c r="L212" i="19"/>
  <c r="L210" i="19"/>
  <c r="L202" i="19"/>
  <c r="L194" i="19"/>
  <c r="L186" i="19"/>
  <c r="L178" i="19"/>
  <c r="L170" i="19"/>
  <c r="L162" i="19"/>
  <c r="L154" i="19"/>
  <c r="L146" i="19"/>
  <c r="L138" i="19"/>
  <c r="L130" i="19"/>
  <c r="L122" i="19"/>
  <c r="L114" i="19"/>
  <c r="L18" i="19"/>
  <c r="L208" i="19"/>
  <c r="P200" i="19"/>
  <c r="R200" i="19" s="1"/>
  <c r="P192" i="19"/>
  <c r="R192" i="19" s="1"/>
  <c r="P184" i="19"/>
  <c r="R184" i="19" s="1"/>
  <c r="P176" i="19"/>
  <c r="R176" i="19" s="1"/>
  <c r="P168" i="19"/>
  <c r="R168" i="19" s="1"/>
  <c r="P160" i="19"/>
  <c r="R160" i="19" s="1"/>
  <c r="P152" i="19"/>
  <c r="R152" i="19" s="1"/>
  <c r="P144" i="19"/>
  <c r="R144" i="19" s="1"/>
  <c r="P136" i="19"/>
  <c r="R136" i="19" s="1"/>
  <c r="P128" i="19"/>
  <c r="R128" i="19" s="1"/>
  <c r="P120" i="19"/>
  <c r="R120" i="19" s="1"/>
  <c r="P112" i="19"/>
  <c r="R112" i="19" s="1"/>
  <c r="L104" i="19"/>
  <c r="L99" i="19"/>
  <c r="L95" i="19"/>
  <c r="L91" i="19"/>
  <c r="L87" i="19"/>
  <c r="L83" i="19"/>
  <c r="L79" i="19"/>
  <c r="L75" i="19"/>
  <c r="L71" i="19"/>
  <c r="L67" i="19"/>
  <c r="L206" i="19"/>
  <c r="L198" i="19"/>
  <c r="L190" i="19"/>
  <c r="L182" i="19"/>
  <c r="L174" i="19"/>
  <c r="L166" i="19"/>
  <c r="L158" i="19"/>
  <c r="L150" i="19"/>
  <c r="L142" i="19"/>
  <c r="L134" i="19"/>
  <c r="L126" i="19"/>
  <c r="L118" i="19"/>
  <c r="L107" i="19"/>
  <c r="L105" i="19"/>
  <c r="L98" i="19"/>
  <c r="L94" i="19"/>
  <c r="L90" i="19"/>
  <c r="L86" i="19"/>
  <c r="L82" i="19"/>
  <c r="L78" i="19"/>
  <c r="L74" i="19"/>
  <c r="L70" i="19"/>
  <c r="L66" i="19"/>
  <c r="L42" i="19"/>
  <c r="L10" i="19"/>
  <c r="L111" i="19"/>
  <c r="L103" i="19"/>
  <c r="L97" i="19"/>
  <c r="L93" i="19"/>
  <c r="L89" i="19"/>
  <c r="L85" i="19"/>
  <c r="L81" i="19"/>
  <c r="L77" i="19"/>
  <c r="L73" i="19"/>
  <c r="L69" i="19"/>
  <c r="L65" i="19"/>
  <c r="L34" i="19"/>
  <c r="L109" i="19"/>
  <c r="L101" i="19"/>
  <c r="L96" i="19"/>
  <c r="L92" i="19"/>
  <c r="L88" i="19"/>
  <c r="L84" i="19"/>
  <c r="L80" i="19"/>
  <c r="L76" i="19"/>
  <c r="L72" i="19"/>
  <c r="L68" i="19"/>
  <c r="L58" i="19"/>
  <c r="L26" i="19"/>
  <c r="L56" i="19"/>
  <c r="L48" i="19"/>
  <c r="L40" i="19"/>
  <c r="L32" i="19"/>
  <c r="L24" i="19"/>
  <c r="L16" i="19"/>
  <c r="L8" i="19"/>
  <c r="L62" i="19"/>
  <c r="L54" i="19"/>
  <c r="L46" i="19"/>
  <c r="L38" i="19"/>
  <c r="L30" i="19"/>
  <c r="L22" i="19"/>
  <c r="L14" i="19"/>
  <c r="L60" i="19"/>
  <c r="L52" i="19"/>
  <c r="L44" i="19"/>
  <c r="L36" i="19"/>
  <c r="L28" i="19"/>
  <c r="L20" i="19"/>
  <c r="L12" i="19"/>
  <c r="P54" i="19" l="1"/>
  <c r="R54" i="19" s="1"/>
  <c r="F54" i="49"/>
  <c r="G54" i="49" s="1"/>
  <c r="P88" i="19"/>
  <c r="R88" i="19" s="1"/>
  <c r="F88" i="49"/>
  <c r="G88" i="49" s="1"/>
  <c r="P70" i="19"/>
  <c r="R70" i="19" s="1"/>
  <c r="F70" i="49"/>
  <c r="G70" i="49" s="1"/>
  <c r="P91" i="19"/>
  <c r="R91" i="19" s="1"/>
  <c r="F91" i="49"/>
  <c r="G91" i="49" s="1"/>
  <c r="P52" i="19"/>
  <c r="R52" i="19" s="1"/>
  <c r="F52" i="49"/>
  <c r="G52" i="49" s="1"/>
  <c r="P60" i="19"/>
  <c r="R60" i="19" s="1"/>
  <c r="F60" i="49"/>
  <c r="G60" i="49" s="1"/>
  <c r="P8" i="19"/>
  <c r="R8" i="19" s="1"/>
  <c r="F8" i="49"/>
  <c r="G8" i="49" s="1"/>
  <c r="P58" i="19"/>
  <c r="R58" i="19" s="1"/>
  <c r="F58" i="49"/>
  <c r="G58" i="49" s="1"/>
  <c r="P36" i="19"/>
  <c r="R36" i="19" s="1"/>
  <c r="F36" i="49"/>
  <c r="G36" i="49" s="1"/>
  <c r="P14" i="19"/>
  <c r="R14" i="19" s="1"/>
  <c r="F14" i="49"/>
  <c r="G14" i="49" s="1"/>
  <c r="P46" i="19"/>
  <c r="R46" i="19" s="1"/>
  <c r="F46" i="49"/>
  <c r="G46" i="49" s="1"/>
  <c r="P16" i="19"/>
  <c r="R16" i="19" s="1"/>
  <c r="F16" i="49"/>
  <c r="G16" i="49" s="1"/>
  <c r="P48" i="19"/>
  <c r="R48" i="19" s="1"/>
  <c r="F48" i="49"/>
  <c r="G48" i="49" s="1"/>
  <c r="P68" i="19"/>
  <c r="R68" i="19" s="1"/>
  <c r="F68" i="49"/>
  <c r="G68" i="49" s="1"/>
  <c r="P84" i="19"/>
  <c r="R84" i="19" s="1"/>
  <c r="F84" i="49"/>
  <c r="G84" i="49" s="1"/>
  <c r="P101" i="19"/>
  <c r="R101" i="19" s="1"/>
  <c r="F101" i="49"/>
  <c r="G101" i="49" s="1"/>
  <c r="P69" i="19"/>
  <c r="R69" i="19" s="1"/>
  <c r="F69" i="49"/>
  <c r="G69" i="49" s="1"/>
  <c r="P85" i="19"/>
  <c r="R85" i="19" s="1"/>
  <c r="F85" i="49"/>
  <c r="G85" i="49" s="1"/>
  <c r="P103" i="19"/>
  <c r="R103" i="19" s="1"/>
  <c r="F103" i="49"/>
  <c r="G103" i="49" s="1"/>
  <c r="P66" i="19"/>
  <c r="R66" i="19" s="1"/>
  <c r="F66" i="49"/>
  <c r="G66" i="49" s="1"/>
  <c r="P82" i="19"/>
  <c r="R82" i="19" s="1"/>
  <c r="F82" i="49"/>
  <c r="G82" i="49" s="1"/>
  <c r="P98" i="19"/>
  <c r="R98" i="19" s="1"/>
  <c r="F98" i="49"/>
  <c r="G98" i="49" s="1"/>
  <c r="P126" i="19"/>
  <c r="R126" i="19" s="1"/>
  <c r="F126" i="49"/>
  <c r="G126" i="49" s="1"/>
  <c r="P158" i="19"/>
  <c r="R158" i="19" s="1"/>
  <c r="F158" i="49"/>
  <c r="G158" i="49" s="1"/>
  <c r="P190" i="19"/>
  <c r="R190" i="19" s="1"/>
  <c r="F190" i="49"/>
  <c r="G190" i="49" s="1"/>
  <c r="P71" i="19"/>
  <c r="R71" i="19" s="1"/>
  <c r="F71" i="49"/>
  <c r="G71" i="49" s="1"/>
  <c r="P87" i="19"/>
  <c r="R87" i="19" s="1"/>
  <c r="F87" i="49"/>
  <c r="G87" i="49" s="1"/>
  <c r="P104" i="19"/>
  <c r="R104" i="19" s="1"/>
  <c r="F104" i="49"/>
  <c r="G104" i="49" s="1"/>
  <c r="E135" i="25"/>
  <c r="J136" i="49"/>
  <c r="C136" i="13"/>
  <c r="C136" i="12"/>
  <c r="C136" i="39"/>
  <c r="C136" i="33"/>
  <c r="C142" i="9"/>
  <c r="E167" i="25"/>
  <c r="J168" i="49"/>
  <c r="C168" i="13"/>
  <c r="C168" i="12"/>
  <c r="C168" i="39"/>
  <c r="C168" i="33"/>
  <c r="C174" i="9"/>
  <c r="E199" i="25"/>
  <c r="J200" i="49"/>
  <c r="C200" i="13"/>
  <c r="C200" i="12"/>
  <c r="C200" i="39"/>
  <c r="C200" i="33"/>
  <c r="C206" i="9"/>
  <c r="P122" i="19"/>
  <c r="R122" i="19" s="1"/>
  <c r="F122" i="49"/>
  <c r="G122" i="49" s="1"/>
  <c r="P154" i="19"/>
  <c r="R154" i="19" s="1"/>
  <c r="F154" i="49"/>
  <c r="G154" i="49" s="1"/>
  <c r="P186" i="19"/>
  <c r="R186" i="19" s="1"/>
  <c r="F186" i="49"/>
  <c r="G186" i="49" s="1"/>
  <c r="P212" i="19"/>
  <c r="R212" i="19" s="1"/>
  <c r="F212" i="49"/>
  <c r="G212" i="49" s="1"/>
  <c r="P232" i="19"/>
  <c r="R232" i="19" s="1"/>
  <c r="F232" i="49"/>
  <c r="G232" i="49" s="1"/>
  <c r="P248" i="19"/>
  <c r="R248" i="19" s="1"/>
  <c r="F248" i="49"/>
  <c r="G248" i="49" s="1"/>
  <c r="E233" i="25"/>
  <c r="J234" i="49"/>
  <c r="C234" i="13"/>
  <c r="C234" i="39"/>
  <c r="C234" i="12"/>
  <c r="C240" i="9"/>
  <c r="C234" i="33"/>
  <c r="P254" i="19"/>
  <c r="R254" i="19" s="1"/>
  <c r="F254" i="49"/>
  <c r="G254" i="49" s="1"/>
  <c r="P217" i="19"/>
  <c r="R217" i="19" s="1"/>
  <c r="F217" i="49"/>
  <c r="G217" i="49" s="1"/>
  <c r="P231" i="19"/>
  <c r="R231" i="19" s="1"/>
  <c r="F231" i="49"/>
  <c r="G231" i="49" s="1"/>
  <c r="P247" i="19"/>
  <c r="R247" i="19" s="1"/>
  <c r="F247" i="49"/>
  <c r="G247" i="49" s="1"/>
  <c r="P268" i="19"/>
  <c r="R268" i="19" s="1"/>
  <c r="F268" i="49"/>
  <c r="G268" i="49" s="1"/>
  <c r="P50" i="19"/>
  <c r="R50" i="19" s="1"/>
  <c r="F50" i="49"/>
  <c r="G50" i="49" s="1"/>
  <c r="P233" i="19"/>
  <c r="R233" i="19" s="1"/>
  <c r="F233" i="49"/>
  <c r="G233" i="49" s="1"/>
  <c r="P272" i="19"/>
  <c r="R272" i="19" s="1"/>
  <c r="F272" i="49"/>
  <c r="G272" i="49" s="1"/>
  <c r="C23" i="11"/>
  <c r="C29" i="34"/>
  <c r="C39" i="11"/>
  <c r="C45" i="34"/>
  <c r="C125" i="11"/>
  <c r="C131" i="34"/>
  <c r="C143" i="11"/>
  <c r="C149" i="34"/>
  <c r="C9" i="11"/>
  <c r="C15" i="34"/>
  <c r="E9" i="33"/>
  <c r="D9" i="37" s="1"/>
  <c r="P124" i="19"/>
  <c r="R124" i="19" s="1"/>
  <c r="F124" i="49"/>
  <c r="G124" i="49" s="1"/>
  <c r="P140" i="19"/>
  <c r="R140" i="19" s="1"/>
  <c r="F140" i="49"/>
  <c r="G140" i="49" s="1"/>
  <c r="P164" i="19"/>
  <c r="R164" i="19" s="1"/>
  <c r="F164" i="49"/>
  <c r="G164" i="49" s="1"/>
  <c r="E178" i="25"/>
  <c r="J179" i="49"/>
  <c r="C179" i="13"/>
  <c r="C179" i="39"/>
  <c r="C179" i="12"/>
  <c r="C179" i="33"/>
  <c r="C185" i="9"/>
  <c r="E125" i="33"/>
  <c r="D125" i="37" s="1"/>
  <c r="P255" i="19"/>
  <c r="R255" i="19" s="1"/>
  <c r="F255" i="49"/>
  <c r="G255" i="49" s="1"/>
  <c r="P275" i="19"/>
  <c r="R275" i="19" s="1"/>
  <c r="F275" i="49"/>
  <c r="G275" i="49" s="1"/>
  <c r="P279" i="19"/>
  <c r="R279" i="19" s="1"/>
  <c r="F279" i="49"/>
  <c r="G279" i="49" s="1"/>
  <c r="P283" i="19"/>
  <c r="R283" i="19" s="1"/>
  <c r="F283" i="49"/>
  <c r="G283" i="49" s="1"/>
  <c r="P287" i="19"/>
  <c r="R287" i="19" s="1"/>
  <c r="F287" i="49"/>
  <c r="G287" i="49" s="1"/>
  <c r="P291" i="19"/>
  <c r="R291" i="19" s="1"/>
  <c r="F291" i="49"/>
  <c r="G291" i="49" s="1"/>
  <c r="P299" i="19"/>
  <c r="R299" i="19" s="1"/>
  <c r="F299" i="49"/>
  <c r="G299" i="49" s="1"/>
  <c r="P273" i="19"/>
  <c r="R273" i="19" s="1"/>
  <c r="F273" i="49"/>
  <c r="G273" i="49" s="1"/>
  <c r="P286" i="19"/>
  <c r="R286" i="19" s="1"/>
  <c r="F286" i="49"/>
  <c r="G286" i="49" s="1"/>
  <c r="E258" i="25"/>
  <c r="J259" i="49"/>
  <c r="C259" i="13"/>
  <c r="C259" i="39"/>
  <c r="C259" i="12"/>
  <c r="C265" i="9"/>
  <c r="C259" i="33"/>
  <c r="C11" i="11"/>
  <c r="C17" i="34"/>
  <c r="P155" i="19"/>
  <c r="R155" i="19" s="1"/>
  <c r="F155" i="49"/>
  <c r="G155" i="49" s="1"/>
  <c r="P225" i="19"/>
  <c r="R225" i="19" s="1"/>
  <c r="F225" i="49"/>
  <c r="G225" i="49" s="1"/>
  <c r="P305" i="19"/>
  <c r="R305" i="19" s="1"/>
  <c r="F305" i="49"/>
  <c r="G305" i="49" s="1"/>
  <c r="P281" i="19"/>
  <c r="R281" i="19" s="1"/>
  <c r="F281" i="49"/>
  <c r="G281" i="49" s="1"/>
  <c r="P256" i="19"/>
  <c r="R256" i="19" s="1"/>
  <c r="F256" i="49"/>
  <c r="G256" i="49" s="1"/>
  <c r="E116" i="25"/>
  <c r="J117" i="49"/>
  <c r="C117" i="13"/>
  <c r="C117" i="39"/>
  <c r="C117" i="12"/>
  <c r="C117" i="33"/>
  <c r="C123" i="9"/>
  <c r="J151" i="49"/>
  <c r="E150" i="25"/>
  <c r="C151" i="13"/>
  <c r="C151" i="39"/>
  <c r="C151" i="12"/>
  <c r="C157" i="9"/>
  <c r="C151" i="33"/>
  <c r="E299" i="25"/>
  <c r="J300" i="49"/>
  <c r="C300" i="12"/>
  <c r="C300" i="13"/>
  <c r="C300" i="39"/>
  <c r="C306" i="9"/>
  <c r="C300" i="33"/>
  <c r="E301" i="25"/>
  <c r="J302" i="49"/>
  <c r="C302" i="39"/>
  <c r="C302" i="13"/>
  <c r="C302" i="12"/>
  <c r="C308" i="9"/>
  <c r="C302" i="33"/>
  <c r="E188" i="25"/>
  <c r="J189" i="49"/>
  <c r="C189" i="13"/>
  <c r="C189" i="39"/>
  <c r="C189" i="12"/>
  <c r="C189" i="33"/>
  <c r="C195" i="9"/>
  <c r="E196" i="25"/>
  <c r="J197" i="49"/>
  <c r="C197" i="13"/>
  <c r="C197" i="39"/>
  <c r="C197" i="12"/>
  <c r="C197" i="33"/>
  <c r="C203" i="9"/>
  <c r="E204" i="25"/>
  <c r="J205" i="49"/>
  <c r="C205" i="13"/>
  <c r="C205" i="39"/>
  <c r="C205" i="12"/>
  <c r="C205" i="33"/>
  <c r="C211" i="9"/>
  <c r="P22" i="19"/>
  <c r="R22" i="19" s="1"/>
  <c r="F22" i="49"/>
  <c r="G22" i="49" s="1"/>
  <c r="P72" i="19"/>
  <c r="R72" i="19" s="1"/>
  <c r="F72" i="49"/>
  <c r="G72" i="49" s="1"/>
  <c r="P111" i="19"/>
  <c r="R111" i="19" s="1"/>
  <c r="F111" i="49"/>
  <c r="G111" i="49" s="1"/>
  <c r="P166" i="19"/>
  <c r="R166" i="19" s="1"/>
  <c r="F166" i="49"/>
  <c r="G166" i="49" s="1"/>
  <c r="E111" i="25"/>
  <c r="J112" i="49"/>
  <c r="C112" i="13"/>
  <c r="C112" i="12"/>
  <c r="C112" i="39"/>
  <c r="C112" i="33"/>
  <c r="C118" i="9"/>
  <c r="E143" i="25"/>
  <c r="J144" i="49"/>
  <c r="C144" i="13"/>
  <c r="C144" i="12"/>
  <c r="C144" i="39"/>
  <c r="C144" i="33"/>
  <c r="C150" i="9"/>
  <c r="E175" i="25"/>
  <c r="J176" i="49"/>
  <c r="C176" i="13"/>
  <c r="C176" i="12"/>
  <c r="C176" i="39"/>
  <c r="C182" i="9"/>
  <c r="C176" i="33"/>
  <c r="P208" i="19"/>
  <c r="R208" i="19" s="1"/>
  <c r="F208" i="49"/>
  <c r="G208" i="49" s="1"/>
  <c r="P130" i="19"/>
  <c r="R130" i="19" s="1"/>
  <c r="F130" i="49"/>
  <c r="G130" i="49" s="1"/>
  <c r="P162" i="19"/>
  <c r="R162" i="19" s="1"/>
  <c r="F162" i="49"/>
  <c r="G162" i="49" s="1"/>
  <c r="P194" i="19"/>
  <c r="R194" i="19" s="1"/>
  <c r="F194" i="49"/>
  <c r="G194" i="49" s="1"/>
  <c r="P220" i="19"/>
  <c r="R220" i="19" s="1"/>
  <c r="F220" i="49"/>
  <c r="G220" i="49" s="1"/>
  <c r="P236" i="19"/>
  <c r="R236" i="19" s="1"/>
  <c r="F236" i="49"/>
  <c r="G236" i="49" s="1"/>
  <c r="P258" i="19"/>
  <c r="R258" i="19" s="1"/>
  <c r="F258" i="49"/>
  <c r="G258" i="49" s="1"/>
  <c r="E237" i="25"/>
  <c r="J238" i="49"/>
  <c r="C238" i="13"/>
  <c r="C238" i="39"/>
  <c r="C238" i="12"/>
  <c r="C244" i="9"/>
  <c r="C238" i="33"/>
  <c r="P262" i="19"/>
  <c r="R262" i="19" s="1"/>
  <c r="F262" i="49"/>
  <c r="G262" i="49" s="1"/>
  <c r="P219" i="19"/>
  <c r="R219" i="19" s="1"/>
  <c r="F219" i="49"/>
  <c r="G219" i="49" s="1"/>
  <c r="P235" i="19"/>
  <c r="R235" i="19" s="1"/>
  <c r="F235" i="49"/>
  <c r="G235" i="49" s="1"/>
  <c r="P251" i="19"/>
  <c r="R251" i="19" s="1"/>
  <c r="F251" i="49"/>
  <c r="G251" i="49" s="1"/>
  <c r="E217" i="25"/>
  <c r="J218" i="49"/>
  <c r="C218" i="13"/>
  <c r="C218" i="39"/>
  <c r="C218" i="12"/>
  <c r="C224" i="9"/>
  <c r="C218" i="33"/>
  <c r="E225" i="25"/>
  <c r="J226" i="49"/>
  <c r="C226" i="13"/>
  <c r="C226" i="39"/>
  <c r="C226" i="12"/>
  <c r="C226" i="33"/>
  <c r="C232" i="9"/>
  <c r="P237" i="19"/>
  <c r="R237" i="19" s="1"/>
  <c r="F237" i="49"/>
  <c r="G237" i="49" s="1"/>
  <c r="E25" i="33"/>
  <c r="D25" i="37" s="1"/>
  <c r="C25" i="11"/>
  <c r="C31" i="34"/>
  <c r="E41" i="33"/>
  <c r="D41" i="37" s="1"/>
  <c r="C41" i="11"/>
  <c r="C47" i="34"/>
  <c r="E63" i="33"/>
  <c r="D63" i="37" s="1"/>
  <c r="C63" i="11"/>
  <c r="C69" i="34"/>
  <c r="E127" i="33"/>
  <c r="D127" i="37" s="1"/>
  <c r="C127" i="11"/>
  <c r="C133" i="34"/>
  <c r="P147" i="19"/>
  <c r="R147" i="19" s="1"/>
  <c r="F147" i="49"/>
  <c r="G147" i="49" s="1"/>
  <c r="P213" i="19"/>
  <c r="R213" i="19" s="1"/>
  <c r="F213" i="49"/>
  <c r="G213" i="49" s="1"/>
  <c r="E266" i="25"/>
  <c r="J267" i="49"/>
  <c r="C267" i="39"/>
  <c r="C267" i="13"/>
  <c r="C267" i="12"/>
  <c r="C273" i="9"/>
  <c r="C267" i="33"/>
  <c r="E302" i="25"/>
  <c r="J303" i="49"/>
  <c r="C303" i="13"/>
  <c r="C303" i="39"/>
  <c r="C303" i="12"/>
  <c r="C303" i="33"/>
  <c r="C309" i="9"/>
  <c r="P196" i="19"/>
  <c r="R196" i="19" s="1"/>
  <c r="F196" i="49"/>
  <c r="G196" i="49" s="1"/>
  <c r="P263" i="19"/>
  <c r="R263" i="19" s="1"/>
  <c r="F263" i="49"/>
  <c r="G263" i="49" s="1"/>
  <c r="P277" i="19"/>
  <c r="R277" i="19" s="1"/>
  <c r="F277" i="49"/>
  <c r="G277" i="49" s="1"/>
  <c r="P290" i="19"/>
  <c r="R290" i="19" s="1"/>
  <c r="F290" i="49"/>
  <c r="G290" i="49" s="1"/>
  <c r="C15" i="11"/>
  <c r="C21" i="34"/>
  <c r="C47" i="11"/>
  <c r="C53" i="34"/>
  <c r="P123" i="19"/>
  <c r="R123" i="19" s="1"/>
  <c r="F123" i="49"/>
  <c r="G123" i="49" s="1"/>
  <c r="P221" i="19"/>
  <c r="R221" i="19" s="1"/>
  <c r="F221" i="49"/>
  <c r="G221" i="49" s="1"/>
  <c r="P297" i="19"/>
  <c r="R297" i="19" s="1"/>
  <c r="F297" i="49"/>
  <c r="G297" i="49" s="1"/>
  <c r="P282" i="19"/>
  <c r="R282" i="19" s="1"/>
  <c r="F282" i="49"/>
  <c r="G282" i="49" s="1"/>
  <c r="C35" i="11"/>
  <c r="C41" i="34"/>
  <c r="E163" i="33"/>
  <c r="D163" i="37" s="1"/>
  <c r="C163" i="11"/>
  <c r="C169" i="34"/>
  <c r="P187" i="19"/>
  <c r="R187" i="19" s="1"/>
  <c r="F187" i="49"/>
  <c r="G187" i="49" s="1"/>
  <c r="P261" i="19"/>
  <c r="R261" i="19" s="1"/>
  <c r="F261" i="49"/>
  <c r="G261" i="49" s="1"/>
  <c r="J7" i="49"/>
  <c r="E6" i="25"/>
  <c r="C7" i="13"/>
  <c r="C7" i="39"/>
  <c r="C7" i="12"/>
  <c r="C7" i="33"/>
  <c r="C13" i="9"/>
  <c r="E293" i="25"/>
  <c r="J294" i="49"/>
  <c r="C294" i="13"/>
  <c r="C294" i="39"/>
  <c r="C294" i="12"/>
  <c r="C300" i="9"/>
  <c r="C294" i="33"/>
  <c r="E184" i="25"/>
  <c r="J185" i="49"/>
  <c r="C185" i="13"/>
  <c r="C185" i="39"/>
  <c r="C185" i="12"/>
  <c r="C185" i="33"/>
  <c r="C191" i="9"/>
  <c r="E194" i="25"/>
  <c r="J195" i="49"/>
  <c r="C195" i="13"/>
  <c r="C195" i="39"/>
  <c r="C195" i="12"/>
  <c r="C195" i="33"/>
  <c r="C201" i="9"/>
  <c r="E202" i="25"/>
  <c r="J203" i="49"/>
  <c r="C203" i="13"/>
  <c r="C203" i="39"/>
  <c r="C203" i="12"/>
  <c r="C209" i="9"/>
  <c r="C203" i="33"/>
  <c r="E118" i="25"/>
  <c r="J119" i="49"/>
  <c r="C119" i="13"/>
  <c r="C119" i="39"/>
  <c r="C119" i="12"/>
  <c r="C125" i="9"/>
  <c r="C119" i="33"/>
  <c r="E63" i="25"/>
  <c r="C64" i="13"/>
  <c r="J64" i="49"/>
  <c r="C64" i="12"/>
  <c r="C64" i="39"/>
  <c r="C64" i="33"/>
  <c r="C70" i="9"/>
  <c r="P44" i="19"/>
  <c r="R44" i="19" s="1"/>
  <c r="F44" i="49"/>
  <c r="G44" i="49" s="1"/>
  <c r="P56" i="19"/>
  <c r="R56" i="19" s="1"/>
  <c r="F56" i="49"/>
  <c r="G56" i="49" s="1"/>
  <c r="P109" i="19"/>
  <c r="R109" i="19" s="1"/>
  <c r="F109" i="49"/>
  <c r="G109" i="49" s="1"/>
  <c r="P89" i="19"/>
  <c r="R89" i="19" s="1"/>
  <c r="F89" i="49"/>
  <c r="G89" i="49" s="1"/>
  <c r="P105" i="19"/>
  <c r="R105" i="19" s="1"/>
  <c r="F105" i="49"/>
  <c r="G105" i="49" s="1"/>
  <c r="P198" i="19"/>
  <c r="R198" i="19" s="1"/>
  <c r="F198" i="49"/>
  <c r="G198" i="49" s="1"/>
  <c r="P20" i="19"/>
  <c r="R20" i="19" s="1"/>
  <c r="F20" i="49"/>
  <c r="G20" i="49" s="1"/>
  <c r="P30" i="19"/>
  <c r="R30" i="19" s="1"/>
  <c r="F30" i="49"/>
  <c r="G30" i="49" s="1"/>
  <c r="P62" i="19"/>
  <c r="R62" i="19" s="1"/>
  <c r="F62" i="49"/>
  <c r="G62" i="49" s="1"/>
  <c r="P32" i="19"/>
  <c r="R32" i="19" s="1"/>
  <c r="F32" i="49"/>
  <c r="G32" i="49" s="1"/>
  <c r="P26" i="19"/>
  <c r="R26" i="19" s="1"/>
  <c r="F26" i="49"/>
  <c r="G26" i="49" s="1"/>
  <c r="P76" i="19"/>
  <c r="R76" i="19" s="1"/>
  <c r="F76" i="49"/>
  <c r="G76" i="49" s="1"/>
  <c r="P92" i="19"/>
  <c r="R92" i="19" s="1"/>
  <c r="F92" i="49"/>
  <c r="G92" i="49" s="1"/>
  <c r="P34" i="19"/>
  <c r="R34" i="19" s="1"/>
  <c r="F34" i="49"/>
  <c r="G34" i="49" s="1"/>
  <c r="P77" i="19"/>
  <c r="R77" i="19" s="1"/>
  <c r="F77" i="49"/>
  <c r="G77" i="49" s="1"/>
  <c r="P93" i="19"/>
  <c r="R93" i="19" s="1"/>
  <c r="F93" i="49"/>
  <c r="G93" i="49" s="1"/>
  <c r="P10" i="19"/>
  <c r="R10" i="19" s="1"/>
  <c r="F10" i="49"/>
  <c r="G10" i="49" s="1"/>
  <c r="P74" i="19"/>
  <c r="R74" i="19" s="1"/>
  <c r="F74" i="49"/>
  <c r="G74" i="49" s="1"/>
  <c r="P90" i="19"/>
  <c r="R90" i="19" s="1"/>
  <c r="F90" i="49"/>
  <c r="G90" i="49" s="1"/>
  <c r="P107" i="19"/>
  <c r="R107" i="19" s="1"/>
  <c r="F107" i="49"/>
  <c r="G107" i="49" s="1"/>
  <c r="P142" i="19"/>
  <c r="R142" i="19" s="1"/>
  <c r="F142" i="49"/>
  <c r="G142" i="49" s="1"/>
  <c r="P174" i="19"/>
  <c r="R174" i="19" s="1"/>
  <c r="F174" i="49"/>
  <c r="G174" i="49" s="1"/>
  <c r="P206" i="19"/>
  <c r="R206" i="19" s="1"/>
  <c r="F206" i="49"/>
  <c r="G206" i="49" s="1"/>
  <c r="P79" i="19"/>
  <c r="R79" i="19" s="1"/>
  <c r="F79" i="49"/>
  <c r="G79" i="49" s="1"/>
  <c r="P95" i="19"/>
  <c r="R95" i="19" s="1"/>
  <c r="F95" i="49"/>
  <c r="G95" i="49" s="1"/>
  <c r="E119" i="25"/>
  <c r="J120" i="49"/>
  <c r="C120" i="13"/>
  <c r="C120" i="12"/>
  <c r="C120" i="39"/>
  <c r="C120" i="33"/>
  <c r="C126" i="9"/>
  <c r="E151" i="25"/>
  <c r="J152" i="49"/>
  <c r="C152" i="13"/>
  <c r="C152" i="12"/>
  <c r="C152" i="39"/>
  <c r="C152" i="33"/>
  <c r="C158" i="9"/>
  <c r="E183" i="25"/>
  <c r="J184" i="49"/>
  <c r="C184" i="13"/>
  <c r="C184" i="12"/>
  <c r="C184" i="39"/>
  <c r="C184" i="33"/>
  <c r="C190" i="9"/>
  <c r="P18" i="19"/>
  <c r="R18" i="19" s="1"/>
  <c r="F18" i="49"/>
  <c r="G18" i="49" s="1"/>
  <c r="P138" i="19"/>
  <c r="R138" i="19" s="1"/>
  <c r="F138" i="49"/>
  <c r="G138" i="49" s="1"/>
  <c r="P170" i="19"/>
  <c r="R170" i="19" s="1"/>
  <c r="F170" i="49"/>
  <c r="G170" i="49" s="1"/>
  <c r="P202" i="19"/>
  <c r="R202" i="19" s="1"/>
  <c r="F202" i="49"/>
  <c r="G202" i="49" s="1"/>
  <c r="P224" i="19"/>
  <c r="R224" i="19" s="1"/>
  <c r="F224" i="49"/>
  <c r="G224" i="49" s="1"/>
  <c r="P240" i="19"/>
  <c r="R240" i="19" s="1"/>
  <c r="F240" i="49"/>
  <c r="G240" i="49" s="1"/>
  <c r="P266" i="19"/>
  <c r="R266" i="19" s="1"/>
  <c r="F266" i="49"/>
  <c r="G266" i="49" s="1"/>
  <c r="E245" i="25"/>
  <c r="C246" i="13"/>
  <c r="J246" i="49"/>
  <c r="C246" i="39"/>
  <c r="C246" i="12"/>
  <c r="C252" i="9"/>
  <c r="C246" i="33"/>
  <c r="P241" i="19"/>
  <c r="R241" i="19" s="1"/>
  <c r="F241" i="49"/>
  <c r="G241" i="49" s="1"/>
  <c r="P223" i="19"/>
  <c r="R223" i="19" s="1"/>
  <c r="F223" i="49"/>
  <c r="G223" i="49" s="1"/>
  <c r="P239" i="19"/>
  <c r="R239" i="19" s="1"/>
  <c r="F239" i="49"/>
  <c r="G239" i="49" s="1"/>
  <c r="P252" i="19"/>
  <c r="R252" i="19" s="1"/>
  <c r="F252" i="49"/>
  <c r="G252" i="49" s="1"/>
  <c r="P222" i="19"/>
  <c r="R222" i="19" s="1"/>
  <c r="F222" i="49"/>
  <c r="G222" i="49" s="1"/>
  <c r="P242" i="19"/>
  <c r="R242" i="19" s="1"/>
  <c r="F242" i="49"/>
  <c r="G242" i="49" s="1"/>
  <c r="P245" i="19"/>
  <c r="R245" i="19" s="1"/>
  <c r="F245" i="49"/>
  <c r="G245" i="49" s="1"/>
  <c r="E51" i="33"/>
  <c r="D51" i="37" s="1"/>
  <c r="C51" i="11"/>
  <c r="C57" i="34"/>
  <c r="C139" i="11"/>
  <c r="C145" i="34"/>
  <c r="E167" i="33"/>
  <c r="D167" i="37" s="1"/>
  <c r="C167" i="11"/>
  <c r="C173" i="34"/>
  <c r="P132" i="19"/>
  <c r="R132" i="19" s="1"/>
  <c r="F132" i="49"/>
  <c r="G132" i="49" s="1"/>
  <c r="P156" i="19"/>
  <c r="R156" i="19" s="1"/>
  <c r="F156" i="49"/>
  <c r="G156" i="49" s="1"/>
  <c r="P172" i="19"/>
  <c r="R172" i="19" s="1"/>
  <c r="F172" i="49"/>
  <c r="G172" i="49" s="1"/>
  <c r="E23" i="33"/>
  <c r="D23" i="37" s="1"/>
  <c r="E143" i="33"/>
  <c r="D143" i="37" s="1"/>
  <c r="P214" i="19"/>
  <c r="R214" i="19" s="1"/>
  <c r="F214" i="49"/>
  <c r="G214" i="49" s="1"/>
  <c r="P278" i="19"/>
  <c r="R278" i="19" s="1"/>
  <c r="F278" i="49"/>
  <c r="G278" i="49" s="1"/>
  <c r="P293" i="19"/>
  <c r="R293" i="19" s="1"/>
  <c r="F293" i="49"/>
  <c r="G293" i="49" s="1"/>
  <c r="C131" i="11"/>
  <c r="C137" i="34"/>
  <c r="C175" i="11"/>
  <c r="C181" i="34"/>
  <c r="E175" i="33"/>
  <c r="D175" i="37" s="1"/>
  <c r="P100" i="19"/>
  <c r="R100" i="19" s="1"/>
  <c r="F100" i="49"/>
  <c r="G100" i="49" s="1"/>
  <c r="P148" i="19"/>
  <c r="R148" i="19" s="1"/>
  <c r="F148" i="49"/>
  <c r="G148" i="49" s="1"/>
  <c r="P215" i="19"/>
  <c r="R215" i="19" s="1"/>
  <c r="F215" i="49"/>
  <c r="G215" i="49" s="1"/>
  <c r="P257" i="19"/>
  <c r="R257" i="19" s="1"/>
  <c r="F257" i="49"/>
  <c r="G257" i="49" s="1"/>
  <c r="P295" i="19"/>
  <c r="R295" i="19" s="1"/>
  <c r="F295" i="49"/>
  <c r="G295" i="49" s="1"/>
  <c r="P289" i="19"/>
  <c r="R289" i="19" s="1"/>
  <c r="F289" i="49"/>
  <c r="G289" i="49" s="1"/>
  <c r="E303" i="25"/>
  <c r="J304" i="49"/>
  <c r="C304" i="12"/>
  <c r="C304" i="13"/>
  <c r="C304" i="39"/>
  <c r="C304" i="33"/>
  <c r="C310" i="9"/>
  <c r="C59" i="11"/>
  <c r="C65" i="34"/>
  <c r="E131" i="33"/>
  <c r="D131" i="37" s="1"/>
  <c r="P216" i="19"/>
  <c r="R216" i="19" s="1"/>
  <c r="F216" i="49"/>
  <c r="G216" i="49" s="1"/>
  <c r="E112" i="25"/>
  <c r="J113" i="49"/>
  <c r="C113" i="13"/>
  <c r="C113" i="39"/>
  <c r="C113" i="12"/>
  <c r="C113" i="33"/>
  <c r="C119" i="9"/>
  <c r="E120" i="25"/>
  <c r="J121" i="49"/>
  <c r="C121" i="13"/>
  <c r="C121" i="39"/>
  <c r="C121" i="12"/>
  <c r="C121" i="33"/>
  <c r="C127" i="9"/>
  <c r="E152" i="25"/>
  <c r="J153" i="49"/>
  <c r="C153" i="13"/>
  <c r="C153" i="39"/>
  <c r="C153" i="12"/>
  <c r="C153" i="33"/>
  <c r="C159" i="9"/>
  <c r="E295" i="25"/>
  <c r="J296" i="49"/>
  <c r="C296" i="12"/>
  <c r="C296" i="13"/>
  <c r="C296" i="39"/>
  <c r="C296" i="33"/>
  <c r="C302" i="9"/>
  <c r="E101" i="25"/>
  <c r="J102" i="49"/>
  <c r="C102" i="13"/>
  <c r="C102" i="39"/>
  <c r="C102" i="12"/>
  <c r="C108" i="9"/>
  <c r="C102" i="33"/>
  <c r="E270" i="25"/>
  <c r="J271" i="49"/>
  <c r="C271" i="13"/>
  <c r="C271" i="39"/>
  <c r="C271" i="12"/>
  <c r="C271" i="33"/>
  <c r="C277" i="9"/>
  <c r="E297" i="25"/>
  <c r="J298" i="49"/>
  <c r="C298" i="13"/>
  <c r="C298" i="39"/>
  <c r="C298" i="12"/>
  <c r="C304" i="9"/>
  <c r="C298" i="33"/>
  <c r="J183" i="49"/>
  <c r="E182" i="25"/>
  <c r="C183" i="13"/>
  <c r="C183" i="39"/>
  <c r="C183" i="12"/>
  <c r="C183" i="33"/>
  <c r="C189" i="9"/>
  <c r="E192" i="25"/>
  <c r="J193" i="49"/>
  <c r="C193" i="13"/>
  <c r="C193" i="39"/>
  <c r="C193" i="12"/>
  <c r="C193" i="33"/>
  <c r="C199" i="9"/>
  <c r="E200" i="25"/>
  <c r="J201" i="49"/>
  <c r="C201" i="13"/>
  <c r="C201" i="39"/>
  <c r="C201" i="12"/>
  <c r="C201" i="33"/>
  <c r="C207" i="9"/>
  <c r="E210" i="25"/>
  <c r="J211" i="49"/>
  <c r="C211" i="13"/>
  <c r="C211" i="39"/>
  <c r="C211" i="12"/>
  <c r="C211" i="33"/>
  <c r="C217" i="9"/>
  <c r="P12" i="19"/>
  <c r="R12" i="19" s="1"/>
  <c r="F12" i="49"/>
  <c r="G12" i="49" s="1"/>
  <c r="P24" i="19"/>
  <c r="R24" i="19" s="1"/>
  <c r="F24" i="49"/>
  <c r="G24" i="49" s="1"/>
  <c r="P73" i="19"/>
  <c r="R73" i="19" s="1"/>
  <c r="F73" i="49"/>
  <c r="G73" i="49" s="1"/>
  <c r="P86" i="19"/>
  <c r="R86" i="19" s="1"/>
  <c r="F86" i="49"/>
  <c r="G86" i="49" s="1"/>
  <c r="P134" i="19"/>
  <c r="R134" i="19" s="1"/>
  <c r="F134" i="49"/>
  <c r="G134" i="49" s="1"/>
  <c r="P75" i="19"/>
  <c r="R75" i="19" s="1"/>
  <c r="F75" i="49"/>
  <c r="G75" i="49" s="1"/>
  <c r="P28" i="19"/>
  <c r="R28" i="19" s="1"/>
  <c r="F28" i="49"/>
  <c r="G28" i="49" s="1"/>
  <c r="P38" i="19"/>
  <c r="R38" i="19" s="1"/>
  <c r="F38" i="49"/>
  <c r="G38" i="49" s="1"/>
  <c r="P40" i="19"/>
  <c r="R40" i="19" s="1"/>
  <c r="F40" i="49"/>
  <c r="G40" i="49" s="1"/>
  <c r="P80" i="19"/>
  <c r="R80" i="19" s="1"/>
  <c r="F80" i="49"/>
  <c r="G80" i="49" s="1"/>
  <c r="P96" i="19"/>
  <c r="R96" i="19" s="1"/>
  <c r="F96" i="49"/>
  <c r="G96" i="49" s="1"/>
  <c r="P65" i="19"/>
  <c r="R65" i="19" s="1"/>
  <c r="F65" i="49"/>
  <c r="G65" i="49" s="1"/>
  <c r="P81" i="19"/>
  <c r="R81" i="19" s="1"/>
  <c r="F81" i="49"/>
  <c r="G81" i="49" s="1"/>
  <c r="P97" i="19"/>
  <c r="R97" i="19" s="1"/>
  <c r="F97" i="49"/>
  <c r="G97" i="49" s="1"/>
  <c r="P42" i="19"/>
  <c r="R42" i="19" s="1"/>
  <c r="F42" i="49"/>
  <c r="G42" i="49" s="1"/>
  <c r="P78" i="19"/>
  <c r="R78" i="19" s="1"/>
  <c r="F78" i="49"/>
  <c r="G78" i="49" s="1"/>
  <c r="P94" i="19"/>
  <c r="R94" i="19" s="1"/>
  <c r="F94" i="49"/>
  <c r="G94" i="49" s="1"/>
  <c r="P118" i="19"/>
  <c r="R118" i="19" s="1"/>
  <c r="F118" i="49"/>
  <c r="G118" i="49" s="1"/>
  <c r="P150" i="19"/>
  <c r="R150" i="19" s="1"/>
  <c r="F150" i="49"/>
  <c r="G150" i="49" s="1"/>
  <c r="P182" i="19"/>
  <c r="R182" i="19" s="1"/>
  <c r="F182" i="49"/>
  <c r="G182" i="49" s="1"/>
  <c r="P67" i="19"/>
  <c r="R67" i="19" s="1"/>
  <c r="F67" i="49"/>
  <c r="G67" i="49" s="1"/>
  <c r="P83" i="19"/>
  <c r="R83" i="19" s="1"/>
  <c r="F83" i="49"/>
  <c r="G83" i="49" s="1"/>
  <c r="P99" i="19"/>
  <c r="R99" i="19" s="1"/>
  <c r="F99" i="49"/>
  <c r="G99" i="49" s="1"/>
  <c r="E127" i="25"/>
  <c r="J128" i="49"/>
  <c r="C128" i="13"/>
  <c r="C128" i="12"/>
  <c r="C128" i="39"/>
  <c r="C128" i="33"/>
  <c r="C134" i="9"/>
  <c r="E159" i="25"/>
  <c r="J160" i="49"/>
  <c r="C160" i="13"/>
  <c r="C160" i="12"/>
  <c r="C160" i="39"/>
  <c r="C160" i="33"/>
  <c r="C166" i="9"/>
  <c r="E191" i="25"/>
  <c r="J192" i="49"/>
  <c r="C192" i="13"/>
  <c r="C192" i="12"/>
  <c r="C192" i="39"/>
  <c r="C192" i="33"/>
  <c r="C198" i="9"/>
  <c r="P114" i="19"/>
  <c r="R114" i="19" s="1"/>
  <c r="F114" i="49"/>
  <c r="G114" i="49" s="1"/>
  <c r="P146" i="19"/>
  <c r="R146" i="19" s="1"/>
  <c r="F146" i="49"/>
  <c r="G146" i="49" s="1"/>
  <c r="P178" i="19"/>
  <c r="R178" i="19" s="1"/>
  <c r="F178" i="49"/>
  <c r="G178" i="49" s="1"/>
  <c r="P210" i="19"/>
  <c r="R210" i="19" s="1"/>
  <c r="F210" i="49"/>
  <c r="G210" i="49" s="1"/>
  <c r="P228" i="19"/>
  <c r="R228" i="19" s="1"/>
  <c r="F228" i="49"/>
  <c r="G228" i="49" s="1"/>
  <c r="P244" i="19"/>
  <c r="R244" i="19" s="1"/>
  <c r="F244" i="49"/>
  <c r="G244" i="49" s="1"/>
  <c r="P274" i="19"/>
  <c r="R274" i="19" s="1"/>
  <c r="F274" i="49"/>
  <c r="G274" i="49" s="1"/>
  <c r="E249" i="25"/>
  <c r="J250" i="49"/>
  <c r="C250" i="13"/>
  <c r="C250" i="39"/>
  <c r="C250" i="12"/>
  <c r="C256" i="9"/>
  <c r="C250" i="33"/>
  <c r="P264" i="19"/>
  <c r="R264" i="19" s="1"/>
  <c r="F264" i="49"/>
  <c r="G264" i="49" s="1"/>
  <c r="P227" i="19"/>
  <c r="R227" i="19" s="1"/>
  <c r="F227" i="49"/>
  <c r="G227" i="49" s="1"/>
  <c r="P243" i="19"/>
  <c r="R243" i="19" s="1"/>
  <c r="F243" i="49"/>
  <c r="G243" i="49" s="1"/>
  <c r="P260" i="19"/>
  <c r="R260" i="19" s="1"/>
  <c r="F260" i="49"/>
  <c r="G260" i="49" s="1"/>
  <c r="E229" i="25"/>
  <c r="J230" i="49"/>
  <c r="C230" i="13"/>
  <c r="C230" i="39"/>
  <c r="C230" i="12"/>
  <c r="C236" i="9"/>
  <c r="C230" i="33"/>
  <c r="P270" i="19"/>
  <c r="R270" i="19" s="1"/>
  <c r="F270" i="49"/>
  <c r="G270" i="49" s="1"/>
  <c r="P249" i="19"/>
  <c r="R249" i="19" s="1"/>
  <c r="F249" i="49"/>
  <c r="G249" i="49" s="1"/>
  <c r="C21" i="11"/>
  <c r="C27" i="34"/>
  <c r="C37" i="11"/>
  <c r="C43" i="34"/>
  <c r="C53" i="11"/>
  <c r="C59" i="34"/>
  <c r="E53" i="33"/>
  <c r="D53" i="37" s="1"/>
  <c r="E141" i="33"/>
  <c r="D141" i="37" s="1"/>
  <c r="C141" i="11"/>
  <c r="C147" i="34"/>
  <c r="E177" i="33"/>
  <c r="D177" i="37" s="1"/>
  <c r="C177" i="11"/>
  <c r="C183" i="34"/>
  <c r="P108" i="19"/>
  <c r="R108" i="19" s="1"/>
  <c r="F108" i="49"/>
  <c r="G108" i="49" s="1"/>
  <c r="E39" i="33"/>
  <c r="D39" i="37" s="1"/>
  <c r="P188" i="19"/>
  <c r="R188" i="19" s="1"/>
  <c r="F188" i="49"/>
  <c r="G188" i="49" s="1"/>
  <c r="P204" i="19"/>
  <c r="R204" i="19" s="1"/>
  <c r="F204" i="49"/>
  <c r="G204" i="49" s="1"/>
  <c r="P276" i="19"/>
  <c r="R276" i="19" s="1"/>
  <c r="F276" i="49"/>
  <c r="G276" i="49" s="1"/>
  <c r="P280" i="19"/>
  <c r="R280" i="19" s="1"/>
  <c r="F280" i="49"/>
  <c r="G280" i="49" s="1"/>
  <c r="P284" i="19"/>
  <c r="R284" i="19" s="1"/>
  <c r="F284" i="49"/>
  <c r="G284" i="49" s="1"/>
  <c r="P288" i="19"/>
  <c r="R288" i="19" s="1"/>
  <c r="F288" i="49"/>
  <c r="G288" i="49" s="1"/>
  <c r="P292" i="19"/>
  <c r="R292" i="19" s="1"/>
  <c r="F292" i="49"/>
  <c r="G292" i="49" s="1"/>
  <c r="P301" i="19"/>
  <c r="R301" i="19" s="1"/>
  <c r="F301" i="49"/>
  <c r="G301" i="49" s="1"/>
  <c r="P285" i="19"/>
  <c r="R285" i="19" s="1"/>
  <c r="F285" i="49"/>
  <c r="G285" i="49" s="1"/>
  <c r="C31" i="11"/>
  <c r="C37" i="34"/>
  <c r="C135" i="11"/>
  <c r="C141" i="34"/>
  <c r="P106" i="19"/>
  <c r="R106" i="19" s="1"/>
  <c r="F106" i="49"/>
  <c r="G106" i="49" s="1"/>
  <c r="P116" i="19"/>
  <c r="R116" i="19" s="1"/>
  <c r="F116" i="49"/>
  <c r="G116" i="49" s="1"/>
  <c r="P209" i="19"/>
  <c r="R209" i="19" s="1"/>
  <c r="F209" i="49"/>
  <c r="G209" i="49" s="1"/>
  <c r="P229" i="19"/>
  <c r="R229" i="19" s="1"/>
  <c r="F229" i="49"/>
  <c r="G229" i="49" s="1"/>
  <c r="P265" i="19"/>
  <c r="R265" i="19" s="1"/>
  <c r="F265" i="49"/>
  <c r="G265" i="49" s="1"/>
  <c r="P269" i="19"/>
  <c r="R269" i="19" s="1"/>
  <c r="F269" i="49"/>
  <c r="G269" i="49" s="1"/>
  <c r="C19" i="11"/>
  <c r="C25" i="34"/>
  <c r="E135" i="33"/>
  <c r="D135" i="37" s="1"/>
  <c r="P180" i="19"/>
  <c r="R180" i="19" s="1"/>
  <c r="F180" i="49"/>
  <c r="G180" i="49" s="1"/>
  <c r="P253" i="19"/>
  <c r="R253" i="19" s="1"/>
  <c r="F253" i="49"/>
  <c r="G253" i="49" s="1"/>
  <c r="E180" i="25"/>
  <c r="J181" i="49"/>
  <c r="C181" i="13"/>
  <c r="C181" i="39"/>
  <c r="C181" i="12"/>
  <c r="C181" i="33"/>
  <c r="C187" i="9"/>
  <c r="E190" i="25"/>
  <c r="J191" i="49"/>
  <c r="C191" i="13"/>
  <c r="C191" i="39"/>
  <c r="C191" i="12"/>
  <c r="C197" i="9"/>
  <c r="C191" i="33"/>
  <c r="E198" i="25"/>
  <c r="J199" i="49"/>
  <c r="C199" i="13"/>
  <c r="C199" i="39"/>
  <c r="C199" i="12"/>
  <c r="C205" i="9"/>
  <c r="C199" i="33"/>
  <c r="J207" i="49"/>
  <c r="E206" i="25"/>
  <c r="C207" i="13"/>
  <c r="C207" i="39"/>
  <c r="C207" i="12"/>
  <c r="C207" i="33"/>
  <c r="C213" i="9"/>
  <c r="E114" i="25"/>
  <c r="J115" i="49"/>
  <c r="C115" i="13"/>
  <c r="C115" i="39"/>
  <c r="C115" i="12"/>
  <c r="C121" i="9"/>
  <c r="C115" i="33"/>
  <c r="E148" i="25"/>
  <c r="J149" i="49"/>
  <c r="C149" i="13"/>
  <c r="C149" i="39"/>
  <c r="C149" i="12"/>
  <c r="C149" i="33"/>
  <c r="C155" i="9"/>
  <c r="E109" i="25"/>
  <c r="J110" i="49"/>
  <c r="C110" i="13"/>
  <c r="C110" i="39"/>
  <c r="C110" i="12"/>
  <c r="C110" i="33"/>
  <c r="C116" i="9"/>
  <c r="O6" i="42"/>
  <c r="C271" i="42"/>
  <c r="E110" i="33" l="1"/>
  <c r="D110" i="37" s="1"/>
  <c r="C110" i="11"/>
  <c r="C116" i="34"/>
  <c r="E105" i="25"/>
  <c r="J106" i="49"/>
  <c r="C106" i="13"/>
  <c r="C106" i="39"/>
  <c r="C106" i="12"/>
  <c r="C112" i="9"/>
  <c r="C106" i="33"/>
  <c r="E279" i="25"/>
  <c r="J280" i="49"/>
  <c r="C280" i="12"/>
  <c r="C280" i="13"/>
  <c r="C280" i="39"/>
  <c r="C280" i="33"/>
  <c r="C286" i="9"/>
  <c r="E145" i="25"/>
  <c r="J146" i="49"/>
  <c r="C146" i="13"/>
  <c r="C146" i="39"/>
  <c r="C146" i="12"/>
  <c r="C152" i="9"/>
  <c r="C146" i="33"/>
  <c r="E115" i="33"/>
  <c r="D115" i="37" s="1"/>
  <c r="C115" i="11"/>
  <c r="C121" i="34"/>
  <c r="C207" i="11"/>
  <c r="C213" i="34"/>
  <c r="E207" i="33"/>
  <c r="D207" i="37" s="1"/>
  <c r="E252" i="25"/>
  <c r="J253" i="49"/>
  <c r="C253" i="13"/>
  <c r="C253" i="39"/>
  <c r="C253" i="12"/>
  <c r="C253" i="33"/>
  <c r="C259" i="9"/>
  <c r="C230" i="11"/>
  <c r="C236" i="34"/>
  <c r="E230" i="33"/>
  <c r="D230" i="37" s="1"/>
  <c r="E259" i="25"/>
  <c r="J260" i="49"/>
  <c r="C260" i="13"/>
  <c r="C260" i="12"/>
  <c r="C260" i="39"/>
  <c r="C266" i="9"/>
  <c r="C260" i="33"/>
  <c r="E226" i="25"/>
  <c r="J227" i="49"/>
  <c r="C227" i="13"/>
  <c r="C227" i="39"/>
  <c r="C227" i="12"/>
  <c r="C227" i="33"/>
  <c r="C233" i="9"/>
  <c r="C160" i="11"/>
  <c r="C166" i="34"/>
  <c r="E160" i="33"/>
  <c r="D160" i="37" s="1"/>
  <c r="E82" i="25"/>
  <c r="J83" i="49"/>
  <c r="C83" i="13"/>
  <c r="C83" i="39"/>
  <c r="C83" i="12"/>
  <c r="C83" i="33"/>
  <c r="C89" i="9"/>
  <c r="E181" i="25"/>
  <c r="J182" i="49"/>
  <c r="C182" i="13"/>
  <c r="C182" i="39"/>
  <c r="C182" i="12"/>
  <c r="C188" i="9"/>
  <c r="C182" i="33"/>
  <c r="E117" i="25"/>
  <c r="J118" i="49"/>
  <c r="C118" i="13"/>
  <c r="C118" i="39"/>
  <c r="C118" i="12"/>
  <c r="C124" i="9"/>
  <c r="C118" i="33"/>
  <c r="E77" i="25"/>
  <c r="J78" i="49"/>
  <c r="C78" i="13"/>
  <c r="C78" i="39"/>
  <c r="C78" i="12"/>
  <c r="C84" i="9"/>
  <c r="C78" i="33"/>
  <c r="E96" i="25"/>
  <c r="J97" i="49"/>
  <c r="C97" i="13"/>
  <c r="C97" i="39"/>
  <c r="C97" i="12"/>
  <c r="C97" i="33"/>
  <c r="C103" i="9"/>
  <c r="E64" i="25"/>
  <c r="J65" i="49"/>
  <c r="C65" i="13"/>
  <c r="C65" i="39"/>
  <c r="C65" i="12"/>
  <c r="C65" i="33"/>
  <c r="C71" i="9"/>
  <c r="E79" i="25"/>
  <c r="J80" i="49"/>
  <c r="C80" i="13"/>
  <c r="C80" i="12"/>
  <c r="C80" i="39"/>
  <c r="C80" i="33"/>
  <c r="C86" i="9"/>
  <c r="E37" i="25"/>
  <c r="J38" i="49"/>
  <c r="C38" i="13"/>
  <c r="C38" i="39"/>
  <c r="C38" i="12"/>
  <c r="C38" i="33"/>
  <c r="C44" i="9"/>
  <c r="E74" i="25"/>
  <c r="J75" i="49"/>
  <c r="C75" i="13"/>
  <c r="C75" i="39"/>
  <c r="C75" i="12"/>
  <c r="C81" i="9"/>
  <c r="C75" i="33"/>
  <c r="E85" i="25"/>
  <c r="J86" i="49"/>
  <c r="C86" i="13"/>
  <c r="C86" i="39"/>
  <c r="C86" i="12"/>
  <c r="C92" i="9"/>
  <c r="C86" i="33"/>
  <c r="E23" i="25"/>
  <c r="J24" i="49"/>
  <c r="C24" i="13"/>
  <c r="C24" i="12"/>
  <c r="C24" i="39"/>
  <c r="C24" i="33"/>
  <c r="C30" i="9"/>
  <c r="E211" i="33"/>
  <c r="D211" i="37" s="1"/>
  <c r="C211" i="11"/>
  <c r="C217" i="34"/>
  <c r="C113" i="11"/>
  <c r="C119" i="34"/>
  <c r="E113" i="33"/>
  <c r="D113" i="37" s="1"/>
  <c r="C304" i="11"/>
  <c r="C310" i="34"/>
  <c r="E304" i="33"/>
  <c r="D304" i="37" s="1"/>
  <c r="E239" i="25"/>
  <c r="J240" i="49"/>
  <c r="C240" i="13"/>
  <c r="C240" i="12"/>
  <c r="C240" i="39"/>
  <c r="C240" i="33"/>
  <c r="C246" i="9"/>
  <c r="E201" i="25"/>
  <c r="J202" i="49"/>
  <c r="C202" i="13"/>
  <c r="C202" i="39"/>
  <c r="C202" i="12"/>
  <c r="C208" i="9"/>
  <c r="C202" i="33"/>
  <c r="E137" i="25"/>
  <c r="J138" i="49"/>
  <c r="C138" i="13"/>
  <c r="C138" i="39"/>
  <c r="C138" i="12"/>
  <c r="C144" i="9"/>
  <c r="C138" i="33"/>
  <c r="C184" i="11"/>
  <c r="C190" i="34"/>
  <c r="E184" i="33"/>
  <c r="D184" i="37" s="1"/>
  <c r="E203" i="33"/>
  <c r="D203" i="37" s="1"/>
  <c r="C203" i="11"/>
  <c r="C209" i="34"/>
  <c r="E195" i="33"/>
  <c r="D195" i="37" s="1"/>
  <c r="C195" i="11"/>
  <c r="C201" i="34"/>
  <c r="E186" i="25"/>
  <c r="J187" i="49"/>
  <c r="C187" i="13"/>
  <c r="C187" i="39"/>
  <c r="C187" i="12"/>
  <c r="C193" i="9"/>
  <c r="C187" i="33"/>
  <c r="E236" i="25"/>
  <c r="J237" i="49"/>
  <c r="C237" i="13"/>
  <c r="C237" i="39"/>
  <c r="C237" i="12"/>
  <c r="C237" i="33"/>
  <c r="C243" i="9"/>
  <c r="E218" i="33"/>
  <c r="D218" i="37" s="1"/>
  <c r="C218" i="11"/>
  <c r="C224" i="34"/>
  <c r="E250" i="25"/>
  <c r="J251" i="49"/>
  <c r="C251" i="13"/>
  <c r="C251" i="39"/>
  <c r="C251" i="12"/>
  <c r="C257" i="9"/>
  <c r="C251" i="33"/>
  <c r="E218" i="25"/>
  <c r="J219" i="49"/>
  <c r="C219" i="13"/>
  <c r="C219" i="39"/>
  <c r="C219" i="12"/>
  <c r="C225" i="9"/>
  <c r="C219" i="33"/>
  <c r="C176" i="11"/>
  <c r="C182" i="34"/>
  <c r="E176" i="33"/>
  <c r="D176" i="37" s="1"/>
  <c r="C144" i="11"/>
  <c r="C150" i="34"/>
  <c r="E144" i="33"/>
  <c r="D144" i="37" s="1"/>
  <c r="J111" i="49"/>
  <c r="E110" i="25"/>
  <c r="C111" i="13"/>
  <c r="C111" i="39"/>
  <c r="C111" i="12"/>
  <c r="C111" i="33"/>
  <c r="C117" i="9"/>
  <c r="E21" i="25"/>
  <c r="J22" i="49"/>
  <c r="C22" i="13"/>
  <c r="C22" i="39"/>
  <c r="C22" i="12"/>
  <c r="C22" i="33"/>
  <c r="C28" i="9"/>
  <c r="E189" i="33"/>
  <c r="D189" i="37" s="1"/>
  <c r="C189" i="11"/>
  <c r="C195" i="34"/>
  <c r="E255" i="25"/>
  <c r="J256" i="49"/>
  <c r="C256" i="13"/>
  <c r="C256" i="12"/>
  <c r="C256" i="39"/>
  <c r="C256" i="33"/>
  <c r="C262" i="9"/>
  <c r="E304" i="25"/>
  <c r="J305" i="49"/>
  <c r="C305" i="39"/>
  <c r="C305" i="13"/>
  <c r="C305" i="12"/>
  <c r="C305" i="33"/>
  <c r="C311" i="9"/>
  <c r="E154" i="25"/>
  <c r="J155" i="49"/>
  <c r="C155" i="13"/>
  <c r="C155" i="39"/>
  <c r="C155" i="12"/>
  <c r="C155" i="33"/>
  <c r="C161" i="9"/>
  <c r="C259" i="11"/>
  <c r="C265" i="34"/>
  <c r="E259" i="33"/>
  <c r="D259" i="37" s="1"/>
  <c r="E285" i="25"/>
  <c r="J286" i="49"/>
  <c r="C286" i="39"/>
  <c r="C286" i="13"/>
  <c r="C286" i="12"/>
  <c r="C292" i="9"/>
  <c r="C286" i="33"/>
  <c r="E298" i="25"/>
  <c r="J299" i="49"/>
  <c r="C299" i="39"/>
  <c r="C299" i="12"/>
  <c r="C299" i="13"/>
  <c r="C305" i="9"/>
  <c r="C299" i="33"/>
  <c r="E286" i="25"/>
  <c r="J287" i="49"/>
  <c r="C287" i="13"/>
  <c r="C287" i="39"/>
  <c r="C287" i="12"/>
  <c r="C287" i="33"/>
  <c r="C293" i="9"/>
  <c r="E278" i="25"/>
  <c r="J279" i="49"/>
  <c r="C279" i="13"/>
  <c r="C279" i="39"/>
  <c r="C279" i="12"/>
  <c r="C279" i="33"/>
  <c r="C285" i="9"/>
  <c r="J255" i="49"/>
  <c r="E254" i="25"/>
  <c r="C255" i="13"/>
  <c r="C255" i="39"/>
  <c r="C255" i="12"/>
  <c r="C255" i="33"/>
  <c r="C261" i="9"/>
  <c r="E139" i="25"/>
  <c r="J140" i="49"/>
  <c r="C140" i="13"/>
  <c r="C140" i="12"/>
  <c r="C140" i="39"/>
  <c r="C140" i="33"/>
  <c r="C146" i="9"/>
  <c r="E271" i="25"/>
  <c r="J272" i="49"/>
  <c r="C272" i="12"/>
  <c r="C272" i="13"/>
  <c r="C272" i="39"/>
  <c r="C272" i="33"/>
  <c r="C278" i="9"/>
  <c r="E49" i="25"/>
  <c r="J50" i="49"/>
  <c r="C50" i="13"/>
  <c r="C50" i="39"/>
  <c r="C50" i="12"/>
  <c r="C56" i="9"/>
  <c r="C50" i="33"/>
  <c r="E246" i="25"/>
  <c r="J247" i="49"/>
  <c r="C247" i="13"/>
  <c r="C247" i="39"/>
  <c r="C247" i="12"/>
  <c r="C247" i="33"/>
  <c r="C253" i="9"/>
  <c r="E216" i="25"/>
  <c r="J217" i="49"/>
  <c r="C217" i="13"/>
  <c r="C217" i="39"/>
  <c r="C217" i="12"/>
  <c r="C217" i="33"/>
  <c r="C223" i="9"/>
  <c r="E103" i="25"/>
  <c r="J104" i="49"/>
  <c r="C104" i="13"/>
  <c r="C104" i="12"/>
  <c r="C104" i="39"/>
  <c r="C104" i="33"/>
  <c r="C110" i="9"/>
  <c r="E70" i="25"/>
  <c r="J71" i="49"/>
  <c r="C71" i="13"/>
  <c r="C71" i="39"/>
  <c r="C71" i="12"/>
  <c r="C77" i="9"/>
  <c r="C71" i="33"/>
  <c r="E157" i="25"/>
  <c r="J158" i="49"/>
  <c r="C158" i="13"/>
  <c r="C158" i="39"/>
  <c r="C158" i="12"/>
  <c r="C164" i="9"/>
  <c r="C158" i="33"/>
  <c r="E97" i="25"/>
  <c r="J98" i="49"/>
  <c r="C98" i="13"/>
  <c r="C98" i="39"/>
  <c r="C98" i="12"/>
  <c r="C104" i="9"/>
  <c r="C98" i="33"/>
  <c r="E65" i="25"/>
  <c r="J66" i="49"/>
  <c r="C66" i="13"/>
  <c r="C66" i="39"/>
  <c r="C66" i="12"/>
  <c r="C66" i="33"/>
  <c r="C72" i="9"/>
  <c r="E84" i="25"/>
  <c r="J85" i="49"/>
  <c r="C85" i="13"/>
  <c r="C85" i="39"/>
  <c r="C85" i="12"/>
  <c r="C85" i="33"/>
  <c r="C91" i="9"/>
  <c r="E100" i="25"/>
  <c r="J101" i="49"/>
  <c r="C101" i="13"/>
  <c r="C101" i="39"/>
  <c r="C101" i="12"/>
  <c r="C101" i="33"/>
  <c r="C107" i="9"/>
  <c r="E67" i="25"/>
  <c r="J68" i="49"/>
  <c r="C68" i="13"/>
  <c r="C68" i="12"/>
  <c r="C68" i="39"/>
  <c r="C68" i="33"/>
  <c r="C74" i="9"/>
  <c r="E15" i="25"/>
  <c r="J16" i="49"/>
  <c r="C16" i="13"/>
  <c r="C16" i="12"/>
  <c r="C16" i="39"/>
  <c r="C16" i="33"/>
  <c r="C22" i="9"/>
  <c r="E13" i="25"/>
  <c r="J14" i="49"/>
  <c r="C14" i="13"/>
  <c r="C14" i="39"/>
  <c r="C14" i="12"/>
  <c r="C20" i="9"/>
  <c r="C14" i="33"/>
  <c r="E57" i="25"/>
  <c r="C58" i="13"/>
  <c r="J58" i="49"/>
  <c r="C58" i="39"/>
  <c r="C58" i="12"/>
  <c r="C64" i="9"/>
  <c r="C58" i="33"/>
  <c r="E59" i="25"/>
  <c r="C60" i="13"/>
  <c r="J60" i="49"/>
  <c r="C60" i="12"/>
  <c r="C60" i="39"/>
  <c r="C66" i="9"/>
  <c r="C60" i="33"/>
  <c r="E90" i="25"/>
  <c r="J91" i="49"/>
  <c r="C91" i="13"/>
  <c r="C91" i="39"/>
  <c r="C91" i="12"/>
  <c r="C91" i="33"/>
  <c r="C97" i="9"/>
  <c r="E87" i="25"/>
  <c r="J88" i="49"/>
  <c r="C88" i="13"/>
  <c r="C88" i="12"/>
  <c r="C88" i="39"/>
  <c r="C88" i="33"/>
  <c r="C94" i="9"/>
  <c r="C181" i="11"/>
  <c r="C187" i="34"/>
  <c r="E181" i="33"/>
  <c r="D181" i="37" s="1"/>
  <c r="E208" i="25"/>
  <c r="J209" i="49"/>
  <c r="C209" i="13"/>
  <c r="C209" i="39"/>
  <c r="C209" i="12"/>
  <c r="C209" i="33"/>
  <c r="C215" i="9"/>
  <c r="E287" i="25"/>
  <c r="J288" i="49"/>
  <c r="C288" i="12"/>
  <c r="C288" i="13"/>
  <c r="C288" i="39"/>
  <c r="C288" i="33"/>
  <c r="C294" i="9"/>
  <c r="C192" i="11"/>
  <c r="C198" i="34"/>
  <c r="E192" i="33"/>
  <c r="D192" i="37" s="1"/>
  <c r="C121" i="11"/>
  <c r="C127" i="34"/>
  <c r="E121" i="33"/>
  <c r="D121" i="37" s="1"/>
  <c r="E99" i="25"/>
  <c r="J100" i="49"/>
  <c r="C100" i="13"/>
  <c r="C100" i="12"/>
  <c r="C100" i="39"/>
  <c r="C100" i="33"/>
  <c r="C106" i="9"/>
  <c r="E131" i="25"/>
  <c r="J132" i="49"/>
  <c r="C132" i="13"/>
  <c r="C132" i="12"/>
  <c r="C132" i="39"/>
  <c r="C132" i="33"/>
  <c r="C138" i="9"/>
  <c r="E221" i="25"/>
  <c r="J222" i="49"/>
  <c r="C222" i="13"/>
  <c r="C222" i="39"/>
  <c r="C222" i="12"/>
  <c r="C228" i="9"/>
  <c r="C222" i="33"/>
  <c r="E141" i="25"/>
  <c r="J142" i="49"/>
  <c r="C142" i="13"/>
  <c r="C142" i="39"/>
  <c r="C142" i="12"/>
  <c r="C142" i="33"/>
  <c r="C148" i="9"/>
  <c r="E91" i="25"/>
  <c r="J92" i="49"/>
  <c r="C92" i="13"/>
  <c r="C92" i="12"/>
  <c r="C92" i="39"/>
  <c r="C92" i="33"/>
  <c r="C98" i="9"/>
  <c r="E104" i="25"/>
  <c r="J105" i="49"/>
  <c r="C105" i="13"/>
  <c r="C105" i="39"/>
  <c r="C105" i="12"/>
  <c r="C105" i="33"/>
  <c r="C111" i="9"/>
  <c r="E64" i="33"/>
  <c r="D64" i="37" s="1"/>
  <c r="C64" i="11"/>
  <c r="C70" i="34"/>
  <c r="E212" i="25"/>
  <c r="J213" i="49"/>
  <c r="C213" i="13"/>
  <c r="C213" i="39"/>
  <c r="C213" i="12"/>
  <c r="C213" i="33"/>
  <c r="C219" i="9"/>
  <c r="E193" i="25"/>
  <c r="J194" i="49"/>
  <c r="C194" i="13"/>
  <c r="C194" i="39"/>
  <c r="C194" i="12"/>
  <c r="C200" i="9"/>
  <c r="C194" i="33"/>
  <c r="C197" i="11"/>
  <c r="C203" i="34"/>
  <c r="E197" i="33"/>
  <c r="D197" i="37" s="1"/>
  <c r="C302" i="11"/>
  <c r="C308" i="34"/>
  <c r="E302" i="33"/>
  <c r="D302" i="37" s="1"/>
  <c r="C151" i="11"/>
  <c r="C157" i="34"/>
  <c r="E151" i="33"/>
  <c r="D151" i="37" s="1"/>
  <c r="C117" i="11"/>
  <c r="C123" i="34"/>
  <c r="E117" i="33"/>
  <c r="D117" i="37" s="1"/>
  <c r="E231" i="25"/>
  <c r="J232" i="49"/>
  <c r="C232" i="13"/>
  <c r="C232" i="12"/>
  <c r="C232" i="39"/>
  <c r="C232" i="33"/>
  <c r="C238" i="9"/>
  <c r="E185" i="25"/>
  <c r="J186" i="49"/>
  <c r="C186" i="13"/>
  <c r="C186" i="39"/>
  <c r="C186" i="12"/>
  <c r="C192" i="9"/>
  <c r="C186" i="33"/>
  <c r="E121" i="25"/>
  <c r="J122" i="49"/>
  <c r="C122" i="13"/>
  <c r="C122" i="39"/>
  <c r="C122" i="12"/>
  <c r="C128" i="9"/>
  <c r="C122" i="33"/>
  <c r="C136" i="11"/>
  <c r="C142" i="34"/>
  <c r="E136" i="33"/>
  <c r="D136" i="37" s="1"/>
  <c r="E264" i="25"/>
  <c r="C265" i="13"/>
  <c r="J265" i="49"/>
  <c r="C265" i="39"/>
  <c r="C265" i="12"/>
  <c r="C265" i="33"/>
  <c r="C271" i="9"/>
  <c r="E203" i="25"/>
  <c r="J204" i="49"/>
  <c r="C204" i="13"/>
  <c r="C204" i="12"/>
  <c r="C204" i="39"/>
  <c r="C210" i="9"/>
  <c r="C204" i="33"/>
  <c r="E248" i="25"/>
  <c r="C249" i="13"/>
  <c r="J249" i="49"/>
  <c r="C249" i="39"/>
  <c r="C249" i="12"/>
  <c r="C249" i="33"/>
  <c r="C255" i="9"/>
  <c r="E243" i="25"/>
  <c r="J244" i="49"/>
  <c r="C244" i="13"/>
  <c r="C244" i="12"/>
  <c r="C244" i="39"/>
  <c r="C244" i="33"/>
  <c r="C250" i="9"/>
  <c r="E183" i="33"/>
  <c r="D183" i="37" s="1"/>
  <c r="C183" i="11"/>
  <c r="C189" i="34"/>
  <c r="E294" i="25"/>
  <c r="J295" i="49"/>
  <c r="C295" i="13"/>
  <c r="C295" i="39"/>
  <c r="C295" i="12"/>
  <c r="C295" i="33"/>
  <c r="C301" i="9"/>
  <c r="E292" i="25"/>
  <c r="J293" i="49"/>
  <c r="C293" i="13"/>
  <c r="C293" i="39"/>
  <c r="C293" i="12"/>
  <c r="C293" i="33"/>
  <c r="C299" i="9"/>
  <c r="E171" i="25"/>
  <c r="J172" i="49"/>
  <c r="C172" i="13"/>
  <c r="C172" i="12"/>
  <c r="C172" i="39"/>
  <c r="C172" i="33"/>
  <c r="C178" i="9"/>
  <c r="E244" i="25"/>
  <c r="J245" i="49"/>
  <c r="C245" i="13"/>
  <c r="C245" i="39"/>
  <c r="C245" i="12"/>
  <c r="C245" i="33"/>
  <c r="C251" i="9"/>
  <c r="E205" i="25"/>
  <c r="J206" i="49"/>
  <c r="C206" i="13"/>
  <c r="C206" i="39"/>
  <c r="C206" i="12"/>
  <c r="C212" i="9"/>
  <c r="C206" i="33"/>
  <c r="J10" i="49"/>
  <c r="E9" i="25"/>
  <c r="C10" i="13"/>
  <c r="C10" i="39"/>
  <c r="C10" i="12"/>
  <c r="C16" i="9"/>
  <c r="C10" i="33"/>
  <c r="E25" i="25"/>
  <c r="J26" i="49"/>
  <c r="C26" i="13"/>
  <c r="C26" i="39"/>
  <c r="C26" i="12"/>
  <c r="C26" i="33"/>
  <c r="C32" i="9"/>
  <c r="E19" i="25"/>
  <c r="J20" i="49"/>
  <c r="C20" i="13"/>
  <c r="C20" i="12"/>
  <c r="C20" i="39"/>
  <c r="C26" i="9"/>
  <c r="C20" i="33"/>
  <c r="E43" i="25"/>
  <c r="C44" i="13"/>
  <c r="J44" i="49"/>
  <c r="C44" i="12"/>
  <c r="C44" i="39"/>
  <c r="C44" i="33"/>
  <c r="C50" i="9"/>
  <c r="C119" i="11"/>
  <c r="C125" i="34"/>
  <c r="E119" i="33"/>
  <c r="D119" i="37" s="1"/>
  <c r="E122" i="25"/>
  <c r="J123" i="49"/>
  <c r="C123" i="13"/>
  <c r="C123" i="39"/>
  <c r="C123" i="12"/>
  <c r="C123" i="33"/>
  <c r="C129" i="9"/>
  <c r="E195" i="25"/>
  <c r="J196" i="49"/>
  <c r="C196" i="13"/>
  <c r="C196" i="12"/>
  <c r="C196" i="39"/>
  <c r="C196" i="33"/>
  <c r="C202" i="9"/>
  <c r="C267" i="11"/>
  <c r="C273" i="34"/>
  <c r="E267" i="33"/>
  <c r="D267" i="37" s="1"/>
  <c r="E129" i="25"/>
  <c r="J130" i="49"/>
  <c r="C130" i="13"/>
  <c r="C130" i="39"/>
  <c r="C130" i="12"/>
  <c r="C136" i="9"/>
  <c r="C130" i="33"/>
  <c r="E149" i="33"/>
  <c r="D149" i="37" s="1"/>
  <c r="C149" i="11"/>
  <c r="C155" i="34"/>
  <c r="C199" i="11"/>
  <c r="C205" i="34"/>
  <c r="E199" i="33"/>
  <c r="D199" i="37" s="1"/>
  <c r="E179" i="25"/>
  <c r="J180" i="49"/>
  <c r="C180" i="13"/>
  <c r="C180" i="12"/>
  <c r="C180" i="39"/>
  <c r="C180" i="33"/>
  <c r="C186" i="9"/>
  <c r="E107" i="25"/>
  <c r="J108" i="49"/>
  <c r="C108" i="13"/>
  <c r="C108" i="12"/>
  <c r="C108" i="39"/>
  <c r="C108" i="33"/>
  <c r="C114" i="9"/>
  <c r="E242" i="25"/>
  <c r="J243" i="49"/>
  <c r="C243" i="13"/>
  <c r="C243" i="39"/>
  <c r="C243" i="12"/>
  <c r="C243" i="33"/>
  <c r="C249" i="9"/>
  <c r="E263" i="25"/>
  <c r="J264" i="49"/>
  <c r="C264" i="13"/>
  <c r="C264" i="12"/>
  <c r="C264" i="39"/>
  <c r="C264" i="33"/>
  <c r="C270" i="9"/>
  <c r="E98" i="25"/>
  <c r="J99" i="49"/>
  <c r="C99" i="13"/>
  <c r="C99" i="39"/>
  <c r="C99" i="12"/>
  <c r="C99" i="33"/>
  <c r="C105" i="9"/>
  <c r="E66" i="25"/>
  <c r="C67" i="13"/>
  <c r="J67" i="49"/>
  <c r="C67" i="39"/>
  <c r="C67" i="12"/>
  <c r="C67" i="33"/>
  <c r="C73" i="9"/>
  <c r="E149" i="25"/>
  <c r="J150" i="49"/>
  <c r="C150" i="13"/>
  <c r="C150" i="39"/>
  <c r="C150" i="12"/>
  <c r="C156" i="9"/>
  <c r="C150" i="33"/>
  <c r="E93" i="25"/>
  <c r="J94" i="49"/>
  <c r="C94" i="13"/>
  <c r="C94" i="39"/>
  <c r="C94" i="12"/>
  <c r="C100" i="9"/>
  <c r="C94" i="33"/>
  <c r="E41" i="25"/>
  <c r="J42" i="49"/>
  <c r="C42" i="13"/>
  <c r="C42" i="39"/>
  <c r="C42" i="12"/>
  <c r="C42" i="33"/>
  <c r="C48" i="9"/>
  <c r="E80" i="25"/>
  <c r="J81" i="49"/>
  <c r="C81" i="13"/>
  <c r="C81" i="39"/>
  <c r="C81" i="12"/>
  <c r="C81" i="33"/>
  <c r="C87" i="9"/>
  <c r="E95" i="25"/>
  <c r="J96" i="49"/>
  <c r="C96" i="13"/>
  <c r="C96" i="12"/>
  <c r="C96" i="39"/>
  <c r="C96" i="33"/>
  <c r="C102" i="9"/>
  <c r="E39" i="25"/>
  <c r="J40" i="49"/>
  <c r="C40" i="13"/>
  <c r="C40" i="12"/>
  <c r="C40" i="39"/>
  <c r="C40" i="33"/>
  <c r="C46" i="9"/>
  <c r="E27" i="25"/>
  <c r="C28" i="13"/>
  <c r="J28" i="49"/>
  <c r="C28" i="12"/>
  <c r="C28" i="39"/>
  <c r="C28" i="33"/>
  <c r="C34" i="9"/>
  <c r="E133" i="25"/>
  <c r="J134" i="49"/>
  <c r="C134" i="13"/>
  <c r="C134" i="39"/>
  <c r="C134" i="12"/>
  <c r="C140" i="9"/>
  <c r="C134" i="33"/>
  <c r="E72" i="25"/>
  <c r="J73" i="49"/>
  <c r="C73" i="13"/>
  <c r="C73" i="39"/>
  <c r="C73" i="12"/>
  <c r="C73" i="33"/>
  <c r="C79" i="9"/>
  <c r="E11" i="25"/>
  <c r="J12" i="49"/>
  <c r="C12" i="13"/>
  <c r="C12" i="12"/>
  <c r="C12" i="39"/>
  <c r="C12" i="33"/>
  <c r="C18" i="9"/>
  <c r="C193" i="11"/>
  <c r="C199" i="34"/>
  <c r="E193" i="33"/>
  <c r="D193" i="37" s="1"/>
  <c r="C153" i="11"/>
  <c r="C159" i="34"/>
  <c r="E153" i="33"/>
  <c r="D153" i="37" s="1"/>
  <c r="C246" i="11"/>
  <c r="C252" i="34"/>
  <c r="E246" i="33"/>
  <c r="D246" i="37" s="1"/>
  <c r="E265" i="25"/>
  <c r="J266" i="49"/>
  <c r="C266" i="13"/>
  <c r="C266" i="39"/>
  <c r="C266" i="12"/>
  <c r="C272" i="9"/>
  <c r="C266" i="33"/>
  <c r="E223" i="25"/>
  <c r="J224" i="49"/>
  <c r="C224" i="13"/>
  <c r="C224" i="12"/>
  <c r="C224" i="39"/>
  <c r="C224" i="33"/>
  <c r="C230" i="9"/>
  <c r="E169" i="25"/>
  <c r="J170" i="49"/>
  <c r="C170" i="13"/>
  <c r="C170" i="39"/>
  <c r="C170" i="12"/>
  <c r="C176" i="9"/>
  <c r="C170" i="33"/>
  <c r="J18" i="49"/>
  <c r="E17" i="25"/>
  <c r="C18" i="13"/>
  <c r="C18" i="39"/>
  <c r="C18" i="12"/>
  <c r="C24" i="9"/>
  <c r="C18" i="33"/>
  <c r="C120" i="11"/>
  <c r="C126" i="34"/>
  <c r="E120" i="33"/>
  <c r="D120" i="37" s="1"/>
  <c r="E260" i="25"/>
  <c r="J261" i="49"/>
  <c r="C261" i="13"/>
  <c r="C261" i="39"/>
  <c r="C261" i="12"/>
  <c r="C261" i="33"/>
  <c r="C267" i="9"/>
  <c r="C226" i="11"/>
  <c r="C232" i="34"/>
  <c r="E226" i="33"/>
  <c r="D226" i="37" s="1"/>
  <c r="E234" i="25"/>
  <c r="J235" i="49"/>
  <c r="C235" i="13"/>
  <c r="C235" i="39"/>
  <c r="C235" i="12"/>
  <c r="C241" i="9"/>
  <c r="C235" i="33"/>
  <c r="E261" i="25"/>
  <c r="J262" i="49"/>
  <c r="C262" i="13"/>
  <c r="C262" i="39"/>
  <c r="C262" i="12"/>
  <c r="C268" i="9"/>
  <c r="C262" i="33"/>
  <c r="E165" i="25"/>
  <c r="J166" i="49"/>
  <c r="C166" i="13"/>
  <c r="C166" i="39"/>
  <c r="C166" i="12"/>
  <c r="C166" i="33"/>
  <c r="C172" i="9"/>
  <c r="E71" i="25"/>
  <c r="J72" i="49"/>
  <c r="C72" i="13"/>
  <c r="C72" i="12"/>
  <c r="C72" i="39"/>
  <c r="C72" i="33"/>
  <c r="C78" i="9"/>
  <c r="C205" i="11"/>
  <c r="C211" i="34"/>
  <c r="E205" i="33"/>
  <c r="D205" i="37" s="1"/>
  <c r="C300" i="11"/>
  <c r="C306" i="34"/>
  <c r="E300" i="33"/>
  <c r="D300" i="37" s="1"/>
  <c r="E280" i="25"/>
  <c r="J281" i="49"/>
  <c r="C281" i="13"/>
  <c r="C281" i="39"/>
  <c r="C281" i="12"/>
  <c r="C281" i="33"/>
  <c r="C287" i="9"/>
  <c r="E224" i="25"/>
  <c r="J225" i="49"/>
  <c r="C225" i="13"/>
  <c r="C225" i="39"/>
  <c r="C225" i="12"/>
  <c r="C225" i="33"/>
  <c r="C231" i="9"/>
  <c r="E272" i="25"/>
  <c r="J273" i="49"/>
  <c r="C273" i="13"/>
  <c r="C273" i="39"/>
  <c r="C273" i="12"/>
  <c r="C273" i="33"/>
  <c r="C279" i="9"/>
  <c r="E290" i="25"/>
  <c r="J291" i="49"/>
  <c r="C291" i="39"/>
  <c r="C291" i="12"/>
  <c r="C291" i="13"/>
  <c r="C297" i="9"/>
  <c r="C291" i="33"/>
  <c r="E282" i="25"/>
  <c r="J283" i="49"/>
  <c r="C283" i="39"/>
  <c r="C283" i="13"/>
  <c r="C283" i="12"/>
  <c r="C289" i="9"/>
  <c r="C283" i="33"/>
  <c r="E274" i="25"/>
  <c r="J275" i="49"/>
  <c r="C275" i="39"/>
  <c r="C275" i="12"/>
  <c r="C275" i="13"/>
  <c r="C281" i="9"/>
  <c r="C275" i="33"/>
  <c r="E163" i="25"/>
  <c r="J164" i="49"/>
  <c r="C164" i="13"/>
  <c r="C164" i="12"/>
  <c r="C164" i="39"/>
  <c r="C170" i="9"/>
  <c r="C164" i="33"/>
  <c r="E123" i="25"/>
  <c r="J124" i="49"/>
  <c r="C124" i="13"/>
  <c r="C124" i="12"/>
  <c r="C124" i="39"/>
  <c r="C124" i="33"/>
  <c r="C130" i="9"/>
  <c r="E232" i="25"/>
  <c r="J233" i="49"/>
  <c r="C233" i="13"/>
  <c r="C233" i="39"/>
  <c r="C233" i="12"/>
  <c r="C233" i="33"/>
  <c r="C239" i="9"/>
  <c r="E267" i="25"/>
  <c r="J268" i="49"/>
  <c r="C268" i="13"/>
  <c r="C268" i="12"/>
  <c r="C268" i="39"/>
  <c r="C274" i="9"/>
  <c r="C268" i="33"/>
  <c r="E230" i="25"/>
  <c r="J231" i="49"/>
  <c r="C231" i="13"/>
  <c r="C231" i="39"/>
  <c r="C231" i="12"/>
  <c r="C231" i="33"/>
  <c r="C237" i="9"/>
  <c r="E253" i="25"/>
  <c r="J254" i="49"/>
  <c r="C254" i="13"/>
  <c r="C254" i="39"/>
  <c r="C254" i="12"/>
  <c r="C260" i="9"/>
  <c r="C254" i="33"/>
  <c r="C168" i="11"/>
  <c r="C174" i="34"/>
  <c r="E168" i="33"/>
  <c r="D168" i="37" s="1"/>
  <c r="E86" i="25"/>
  <c r="J87" i="49"/>
  <c r="C87" i="13"/>
  <c r="C87" i="39"/>
  <c r="C87" i="12"/>
  <c r="C93" i="9"/>
  <c r="C87" i="33"/>
  <c r="E189" i="25"/>
  <c r="J190" i="49"/>
  <c r="C190" i="13"/>
  <c r="C190" i="39"/>
  <c r="C190" i="12"/>
  <c r="C196" i="9"/>
  <c r="C190" i="33"/>
  <c r="E125" i="25"/>
  <c r="J126" i="49"/>
  <c r="C126" i="13"/>
  <c r="C126" i="39"/>
  <c r="C126" i="12"/>
  <c r="C126" i="33"/>
  <c r="C132" i="9"/>
  <c r="E81" i="25"/>
  <c r="J82" i="49"/>
  <c r="C82" i="13"/>
  <c r="C82" i="39"/>
  <c r="C82" i="12"/>
  <c r="C82" i="33"/>
  <c r="C88" i="9"/>
  <c r="E102" i="25"/>
  <c r="J103" i="49"/>
  <c r="C103" i="13"/>
  <c r="C103" i="39"/>
  <c r="C103" i="12"/>
  <c r="C109" i="9"/>
  <c r="C103" i="33"/>
  <c r="E68" i="25"/>
  <c r="J69" i="49"/>
  <c r="C69" i="13"/>
  <c r="C69" i="39"/>
  <c r="C69" i="12"/>
  <c r="C69" i="33"/>
  <c r="C75" i="9"/>
  <c r="E83" i="25"/>
  <c r="J84" i="49"/>
  <c r="C84" i="13"/>
  <c r="C84" i="12"/>
  <c r="C84" i="39"/>
  <c r="C84" i="33"/>
  <c r="C90" i="9"/>
  <c r="E47" i="25"/>
  <c r="J48" i="49"/>
  <c r="C48" i="13"/>
  <c r="C48" i="12"/>
  <c r="C48" i="39"/>
  <c r="C48" i="33"/>
  <c r="C54" i="9"/>
  <c r="E45" i="25"/>
  <c r="J46" i="49"/>
  <c r="C46" i="13"/>
  <c r="C46" i="39"/>
  <c r="C46" i="12"/>
  <c r="C52" i="9"/>
  <c r="C46" i="33"/>
  <c r="E35" i="25"/>
  <c r="J36" i="49"/>
  <c r="C36" i="13"/>
  <c r="C36" i="12"/>
  <c r="C36" i="39"/>
  <c r="C42" i="9"/>
  <c r="C36" i="33"/>
  <c r="E7" i="25"/>
  <c r="C8" i="13"/>
  <c r="J8" i="49"/>
  <c r="C8" i="12"/>
  <c r="C8" i="39"/>
  <c r="C8" i="33"/>
  <c r="C14" i="9"/>
  <c r="E51" i="25"/>
  <c r="C52" i="13"/>
  <c r="J52" i="49"/>
  <c r="C52" i="12"/>
  <c r="C52" i="39"/>
  <c r="C52" i="33"/>
  <c r="C58" i="9"/>
  <c r="E69" i="25"/>
  <c r="J70" i="49"/>
  <c r="C70" i="13"/>
  <c r="C70" i="39"/>
  <c r="C70" i="12"/>
  <c r="C76" i="9"/>
  <c r="C70" i="33"/>
  <c r="E53" i="25"/>
  <c r="J54" i="49"/>
  <c r="C54" i="13"/>
  <c r="C54" i="39"/>
  <c r="C54" i="12"/>
  <c r="C60" i="9"/>
  <c r="C54" i="33"/>
  <c r="C191" i="11"/>
  <c r="C197" i="34"/>
  <c r="E191" i="33"/>
  <c r="D191" i="37" s="1"/>
  <c r="E300" i="25"/>
  <c r="J301" i="49"/>
  <c r="C301" i="13"/>
  <c r="C301" i="39"/>
  <c r="C301" i="12"/>
  <c r="C301" i="33"/>
  <c r="C307" i="9"/>
  <c r="E209" i="25"/>
  <c r="J210" i="49"/>
  <c r="C210" i="13"/>
  <c r="C210" i="39"/>
  <c r="C210" i="12"/>
  <c r="C210" i="33"/>
  <c r="C216" i="9"/>
  <c r="E214" i="25"/>
  <c r="J215" i="49"/>
  <c r="C215" i="13"/>
  <c r="C215" i="39"/>
  <c r="C215" i="12"/>
  <c r="C221" i="9"/>
  <c r="C215" i="33"/>
  <c r="E213" i="25"/>
  <c r="J214" i="49"/>
  <c r="C214" i="13"/>
  <c r="C214" i="39"/>
  <c r="C214" i="12"/>
  <c r="C220" i="9"/>
  <c r="C214" i="33"/>
  <c r="J239" i="49"/>
  <c r="E238" i="25"/>
  <c r="C239" i="13"/>
  <c r="C239" i="39"/>
  <c r="C239" i="12"/>
  <c r="C245" i="9"/>
  <c r="C239" i="33"/>
  <c r="E240" i="25"/>
  <c r="J241" i="49"/>
  <c r="C241" i="13"/>
  <c r="C241" i="39"/>
  <c r="C241" i="12"/>
  <c r="C241" i="33"/>
  <c r="C247" i="9"/>
  <c r="E94" i="25"/>
  <c r="J95" i="49"/>
  <c r="C95" i="13"/>
  <c r="C95" i="39"/>
  <c r="C95" i="12"/>
  <c r="C101" i="9"/>
  <c r="C95" i="33"/>
  <c r="E89" i="25"/>
  <c r="J90" i="49"/>
  <c r="C90" i="13"/>
  <c r="C90" i="39"/>
  <c r="C90" i="12"/>
  <c r="C96" i="9"/>
  <c r="C90" i="33"/>
  <c r="E76" i="25"/>
  <c r="J77" i="49"/>
  <c r="C77" i="13"/>
  <c r="C77" i="39"/>
  <c r="C77" i="12"/>
  <c r="C77" i="33"/>
  <c r="C83" i="9"/>
  <c r="E61" i="25"/>
  <c r="J62" i="49"/>
  <c r="C62" i="13"/>
  <c r="C62" i="39"/>
  <c r="C62" i="12"/>
  <c r="C62" i="33"/>
  <c r="C68" i="9"/>
  <c r="E108" i="25"/>
  <c r="J109" i="49"/>
  <c r="C109" i="13"/>
  <c r="C109" i="39"/>
  <c r="C109" i="12"/>
  <c r="C109" i="33"/>
  <c r="C115" i="9"/>
  <c r="E296" i="25"/>
  <c r="J297" i="49"/>
  <c r="C297" i="39"/>
  <c r="C297" i="13"/>
  <c r="C297" i="12"/>
  <c r="C297" i="33"/>
  <c r="C303" i="9"/>
  <c r="E276" i="25"/>
  <c r="J277" i="49"/>
  <c r="C277" i="13"/>
  <c r="C277" i="39"/>
  <c r="C277" i="12"/>
  <c r="C277" i="33"/>
  <c r="C283" i="9"/>
  <c r="E235" i="25"/>
  <c r="J236" i="49"/>
  <c r="C236" i="13"/>
  <c r="C236" i="12"/>
  <c r="C236" i="39"/>
  <c r="C242" i="9"/>
  <c r="C236" i="33"/>
  <c r="E268" i="25"/>
  <c r="J269" i="49"/>
  <c r="C269" i="13"/>
  <c r="C269" i="39"/>
  <c r="C269" i="12"/>
  <c r="C269" i="33"/>
  <c r="C275" i="9"/>
  <c r="E228" i="25"/>
  <c r="J229" i="49"/>
  <c r="C229" i="13"/>
  <c r="C229" i="39"/>
  <c r="C229" i="12"/>
  <c r="C229" i="33"/>
  <c r="C235" i="9"/>
  <c r="E115" i="25"/>
  <c r="J116" i="49"/>
  <c r="C116" i="13"/>
  <c r="C116" i="12"/>
  <c r="C116" i="39"/>
  <c r="C116" i="33"/>
  <c r="C122" i="9"/>
  <c r="E284" i="25"/>
  <c r="J285" i="49"/>
  <c r="C285" i="13"/>
  <c r="C285" i="39"/>
  <c r="C285" i="12"/>
  <c r="C285" i="33"/>
  <c r="C291" i="9"/>
  <c r="E291" i="25"/>
  <c r="C292" i="13"/>
  <c r="J292" i="49"/>
  <c r="C292" i="12"/>
  <c r="C292" i="39"/>
  <c r="C298" i="9"/>
  <c r="C292" i="33"/>
  <c r="E283" i="25"/>
  <c r="J284" i="49"/>
  <c r="C284" i="13"/>
  <c r="C284" i="12"/>
  <c r="C284" i="39"/>
  <c r="C290" i="9"/>
  <c r="C284" i="33"/>
  <c r="E275" i="25"/>
  <c r="J276" i="49"/>
  <c r="C276" i="13"/>
  <c r="C276" i="12"/>
  <c r="C276" i="39"/>
  <c r="C282" i="9"/>
  <c r="C276" i="33"/>
  <c r="E187" i="25"/>
  <c r="J188" i="49"/>
  <c r="C188" i="13"/>
  <c r="C188" i="12"/>
  <c r="C188" i="39"/>
  <c r="C194" i="9"/>
  <c r="C188" i="33"/>
  <c r="E269" i="25"/>
  <c r="J270" i="49"/>
  <c r="C270" i="39"/>
  <c r="C270" i="13"/>
  <c r="C270" i="12"/>
  <c r="C276" i="9"/>
  <c r="C270" i="33"/>
  <c r="C250" i="11"/>
  <c r="C256" i="34"/>
  <c r="E250" i="33"/>
  <c r="D250" i="37" s="1"/>
  <c r="E273" i="25"/>
  <c r="J274" i="49"/>
  <c r="C274" i="13"/>
  <c r="C274" i="39"/>
  <c r="C274" i="12"/>
  <c r="C280" i="9"/>
  <c r="C274" i="33"/>
  <c r="E227" i="25"/>
  <c r="J228" i="49"/>
  <c r="C228" i="13"/>
  <c r="C228" i="12"/>
  <c r="C228" i="39"/>
  <c r="C228" i="33"/>
  <c r="C234" i="9"/>
  <c r="E177" i="25"/>
  <c r="J178" i="49"/>
  <c r="C178" i="13"/>
  <c r="C178" i="39"/>
  <c r="C178" i="12"/>
  <c r="C178" i="33"/>
  <c r="C184" i="9"/>
  <c r="E113" i="25"/>
  <c r="J114" i="49"/>
  <c r="C114" i="13"/>
  <c r="C114" i="39"/>
  <c r="C114" i="12"/>
  <c r="C120" i="9"/>
  <c r="C114" i="33"/>
  <c r="C128" i="11"/>
  <c r="C134" i="34"/>
  <c r="E128" i="33"/>
  <c r="D128" i="37" s="1"/>
  <c r="C201" i="11"/>
  <c r="C207" i="34"/>
  <c r="E201" i="33"/>
  <c r="D201" i="37" s="1"/>
  <c r="C298" i="11"/>
  <c r="C304" i="34"/>
  <c r="E298" i="33"/>
  <c r="D298" i="37" s="1"/>
  <c r="C271" i="11"/>
  <c r="C277" i="34"/>
  <c r="E271" i="33"/>
  <c r="D271" i="37" s="1"/>
  <c r="C102" i="11"/>
  <c r="C108" i="34"/>
  <c r="E102" i="33"/>
  <c r="D102" i="37" s="1"/>
  <c r="C296" i="11"/>
  <c r="C302" i="34"/>
  <c r="E296" i="33"/>
  <c r="D296" i="37" s="1"/>
  <c r="E215" i="25"/>
  <c r="J216" i="49"/>
  <c r="C216" i="13"/>
  <c r="C216" i="12"/>
  <c r="C216" i="39"/>
  <c r="C216" i="33"/>
  <c r="C222" i="9"/>
  <c r="E288" i="25"/>
  <c r="J289" i="49"/>
  <c r="C289" i="13"/>
  <c r="C289" i="39"/>
  <c r="C289" i="12"/>
  <c r="C289" i="33"/>
  <c r="C295" i="9"/>
  <c r="E256" i="25"/>
  <c r="J257" i="49"/>
  <c r="C257" i="13"/>
  <c r="C257" i="39"/>
  <c r="C257" i="12"/>
  <c r="C257" i="33"/>
  <c r="C263" i="9"/>
  <c r="E147" i="25"/>
  <c r="J148" i="49"/>
  <c r="C148" i="13"/>
  <c r="C148" i="12"/>
  <c r="C148" i="39"/>
  <c r="C148" i="33"/>
  <c r="C154" i="9"/>
  <c r="E277" i="25"/>
  <c r="J278" i="49"/>
  <c r="C278" i="13"/>
  <c r="C278" i="39"/>
  <c r="C278" i="12"/>
  <c r="C284" i="9"/>
  <c r="C278" i="33"/>
  <c r="E155" i="25"/>
  <c r="J156" i="49"/>
  <c r="C156" i="13"/>
  <c r="C156" i="12"/>
  <c r="C156" i="39"/>
  <c r="C156" i="33"/>
  <c r="C162" i="9"/>
  <c r="E241" i="25"/>
  <c r="J242" i="49"/>
  <c r="C242" i="13"/>
  <c r="C242" i="39"/>
  <c r="C242" i="12"/>
  <c r="C242" i="33"/>
  <c r="C248" i="9"/>
  <c r="E251" i="25"/>
  <c r="J252" i="49"/>
  <c r="C252" i="13"/>
  <c r="C252" i="12"/>
  <c r="C252" i="39"/>
  <c r="C258" i="9"/>
  <c r="C252" i="33"/>
  <c r="J223" i="49"/>
  <c r="E222" i="25"/>
  <c r="C223" i="13"/>
  <c r="C223" i="39"/>
  <c r="C223" i="12"/>
  <c r="C229" i="9"/>
  <c r="C223" i="33"/>
  <c r="E152" i="33"/>
  <c r="D152" i="37" s="1"/>
  <c r="C152" i="11"/>
  <c r="C158" i="34"/>
  <c r="E78" i="25"/>
  <c r="J79" i="49"/>
  <c r="C79" i="13"/>
  <c r="C79" i="39"/>
  <c r="C79" i="12"/>
  <c r="C79" i="33"/>
  <c r="C85" i="9"/>
  <c r="E173" i="25"/>
  <c r="J174" i="49"/>
  <c r="C174" i="13"/>
  <c r="C174" i="39"/>
  <c r="C174" i="12"/>
  <c r="C180" i="9"/>
  <c r="C174" i="33"/>
  <c r="E106" i="25"/>
  <c r="J107" i="49"/>
  <c r="C107" i="13"/>
  <c r="C107" i="39"/>
  <c r="C107" i="12"/>
  <c r="C107" i="33"/>
  <c r="C113" i="9"/>
  <c r="E73" i="25"/>
  <c r="J74" i="49"/>
  <c r="C74" i="13"/>
  <c r="C74" i="39"/>
  <c r="C74" i="12"/>
  <c r="C80" i="9"/>
  <c r="C74" i="33"/>
  <c r="E92" i="25"/>
  <c r="J93" i="49"/>
  <c r="C93" i="13"/>
  <c r="C93" i="39"/>
  <c r="C93" i="12"/>
  <c r="C93" i="33"/>
  <c r="C99" i="9"/>
  <c r="J34" i="49"/>
  <c r="E33" i="25"/>
  <c r="C34" i="13"/>
  <c r="C34" i="39"/>
  <c r="C34" i="12"/>
  <c r="C40" i="9"/>
  <c r="C34" i="33"/>
  <c r="E75" i="25"/>
  <c r="J76" i="49"/>
  <c r="C76" i="13"/>
  <c r="C76" i="12"/>
  <c r="C76" i="39"/>
  <c r="C82" i="9"/>
  <c r="C76" i="33"/>
  <c r="E31" i="25"/>
  <c r="J32" i="49"/>
  <c r="C32" i="13"/>
  <c r="C32" i="12"/>
  <c r="C32" i="39"/>
  <c r="C32" i="33"/>
  <c r="C38" i="9"/>
  <c r="E29" i="25"/>
  <c r="J30" i="49"/>
  <c r="C30" i="13"/>
  <c r="C30" i="39"/>
  <c r="C30" i="12"/>
  <c r="C36" i="9"/>
  <c r="C30" i="33"/>
  <c r="E197" i="25"/>
  <c r="J198" i="49"/>
  <c r="C198" i="13"/>
  <c r="C198" i="39"/>
  <c r="C198" i="12"/>
  <c r="C204" i="9"/>
  <c r="C198" i="33"/>
  <c r="E88" i="25"/>
  <c r="J89" i="49"/>
  <c r="C89" i="13"/>
  <c r="C89" i="39"/>
  <c r="C89" i="12"/>
  <c r="C89" i="33"/>
  <c r="C95" i="9"/>
  <c r="E55" i="25"/>
  <c r="J56" i="49"/>
  <c r="C56" i="13"/>
  <c r="C56" i="12"/>
  <c r="C56" i="39"/>
  <c r="C56" i="33"/>
  <c r="C62" i="9"/>
  <c r="C185" i="11"/>
  <c r="C191" i="34"/>
  <c r="E185" i="33"/>
  <c r="D185" i="37" s="1"/>
  <c r="C294" i="11"/>
  <c r="C300" i="34"/>
  <c r="E294" i="33"/>
  <c r="D294" i="37" s="1"/>
  <c r="C7" i="11"/>
  <c r="C13" i="34"/>
  <c r="E7" i="33"/>
  <c r="D7" i="37" s="1"/>
  <c r="E281" i="25"/>
  <c r="J282" i="49"/>
  <c r="C282" i="13"/>
  <c r="C282" i="39"/>
  <c r="C282" i="12"/>
  <c r="C288" i="9"/>
  <c r="C282" i="33"/>
  <c r="E220" i="25"/>
  <c r="J221" i="49"/>
  <c r="C221" i="13"/>
  <c r="C221" i="39"/>
  <c r="C221" i="12"/>
  <c r="C221" i="33"/>
  <c r="C227" i="9"/>
  <c r="E289" i="25"/>
  <c r="J290" i="49"/>
  <c r="C290" i="13"/>
  <c r="C290" i="39"/>
  <c r="C290" i="12"/>
  <c r="C296" i="9"/>
  <c r="C290" i="33"/>
  <c r="J263" i="49"/>
  <c r="E262" i="25"/>
  <c r="C263" i="13"/>
  <c r="C263" i="39"/>
  <c r="C263" i="12"/>
  <c r="C263" i="33"/>
  <c r="C269" i="9"/>
  <c r="C303" i="11"/>
  <c r="C309" i="34"/>
  <c r="E303" i="33"/>
  <c r="D303" i="37" s="1"/>
  <c r="E146" i="25"/>
  <c r="J147" i="49"/>
  <c r="C147" i="13"/>
  <c r="C147" i="39"/>
  <c r="C147" i="12"/>
  <c r="C153" i="9"/>
  <c r="C147" i="33"/>
  <c r="C238" i="11"/>
  <c r="C244" i="34"/>
  <c r="E238" i="33"/>
  <c r="D238" i="37" s="1"/>
  <c r="E257" i="25"/>
  <c r="J258" i="49"/>
  <c r="C258" i="13"/>
  <c r="C258" i="39"/>
  <c r="C258" i="12"/>
  <c r="C264" i="9"/>
  <c r="C258" i="33"/>
  <c r="E219" i="25"/>
  <c r="J220" i="49"/>
  <c r="C220" i="13"/>
  <c r="C220" i="12"/>
  <c r="C220" i="39"/>
  <c r="C226" i="9"/>
  <c r="C220" i="33"/>
  <c r="E161" i="25"/>
  <c r="J162" i="49"/>
  <c r="C162" i="13"/>
  <c r="C162" i="39"/>
  <c r="C162" i="12"/>
  <c r="C168" i="9"/>
  <c r="C162" i="33"/>
  <c r="E207" i="25"/>
  <c r="J208" i="49"/>
  <c r="C208" i="13"/>
  <c r="C208" i="12"/>
  <c r="C208" i="39"/>
  <c r="C208" i="33"/>
  <c r="C214" i="9"/>
  <c r="C112" i="11"/>
  <c r="C118" i="34"/>
  <c r="E112" i="33"/>
  <c r="D112" i="37" s="1"/>
  <c r="E179" i="33"/>
  <c r="D179" i="37" s="1"/>
  <c r="C179" i="11"/>
  <c r="C185" i="34"/>
  <c r="C234" i="11"/>
  <c r="C240" i="34"/>
  <c r="E234" i="33"/>
  <c r="D234" i="37" s="1"/>
  <c r="E247" i="25"/>
  <c r="J248" i="49"/>
  <c r="C248" i="13"/>
  <c r="C248" i="12"/>
  <c r="C248" i="39"/>
  <c r="C248" i="33"/>
  <c r="C254" i="9"/>
  <c r="E211" i="25"/>
  <c r="J212" i="49"/>
  <c r="C212" i="13"/>
  <c r="C212" i="12"/>
  <c r="C212" i="39"/>
  <c r="C212" i="33"/>
  <c r="C218" i="9"/>
  <c r="E153" i="25"/>
  <c r="J154" i="49"/>
  <c r="C154" i="13"/>
  <c r="C154" i="39"/>
  <c r="C154" i="12"/>
  <c r="C154" i="33"/>
  <c r="C160" i="9"/>
  <c r="E200" i="33"/>
  <c r="D200" i="37" s="1"/>
  <c r="C200" i="11"/>
  <c r="C206" i="34"/>
  <c r="G261" i="42"/>
  <c r="O261" i="42"/>
  <c r="O140" i="42"/>
  <c r="O111" i="42"/>
  <c r="O25" i="42"/>
  <c r="R123" i="42"/>
  <c r="P123" i="42"/>
  <c r="O123" i="42"/>
  <c r="O66" i="42"/>
  <c r="O120" i="42"/>
  <c r="G120" i="42"/>
  <c r="P14" i="42"/>
  <c r="O14" i="42"/>
  <c r="G21" i="42"/>
  <c r="O271" i="42"/>
  <c r="C175" i="42"/>
  <c r="G143" i="42"/>
  <c r="G137" i="42"/>
  <c r="C113" i="42"/>
  <c r="A7" i="54"/>
  <c r="B7" i="54"/>
  <c r="A8" i="54"/>
  <c r="B8" i="54"/>
  <c r="A9" i="54"/>
  <c r="B9" i="54"/>
  <c r="A10" i="54"/>
  <c r="B10" i="54"/>
  <c r="A11" i="54"/>
  <c r="B11" i="54"/>
  <c r="A12" i="54"/>
  <c r="B12" i="54"/>
  <c r="A13" i="54"/>
  <c r="B13" i="54"/>
  <c r="A14" i="54"/>
  <c r="B14" i="54"/>
  <c r="A15" i="54"/>
  <c r="B15" i="54"/>
  <c r="A16" i="54"/>
  <c r="B16" i="54"/>
  <c r="A17" i="54"/>
  <c r="B17" i="54"/>
  <c r="A18" i="54"/>
  <c r="B18" i="54"/>
  <c r="A19" i="54"/>
  <c r="B19" i="54"/>
  <c r="A20" i="54"/>
  <c r="B20" i="54"/>
  <c r="A21" i="54"/>
  <c r="B21" i="54"/>
  <c r="A22" i="54"/>
  <c r="B22" i="54"/>
  <c r="A23" i="54"/>
  <c r="B23" i="54"/>
  <c r="A24" i="54"/>
  <c r="B24" i="54"/>
  <c r="A25" i="54"/>
  <c r="B25" i="54"/>
  <c r="A26" i="54"/>
  <c r="B26" i="54"/>
  <c r="A27" i="54"/>
  <c r="B27" i="54"/>
  <c r="A28" i="54"/>
  <c r="B28" i="54"/>
  <c r="A29" i="54"/>
  <c r="B29" i="54"/>
  <c r="A30" i="54"/>
  <c r="B30" i="54"/>
  <c r="A31" i="54"/>
  <c r="B31" i="54"/>
  <c r="A32" i="54"/>
  <c r="B32" i="54"/>
  <c r="A33" i="54"/>
  <c r="B33" i="54"/>
  <c r="A34" i="54"/>
  <c r="B34" i="54"/>
  <c r="A35" i="54"/>
  <c r="B35" i="54"/>
  <c r="A36" i="54"/>
  <c r="B36" i="54"/>
  <c r="A37" i="54"/>
  <c r="B37" i="54"/>
  <c r="A38" i="54"/>
  <c r="B38" i="54"/>
  <c r="A39" i="54"/>
  <c r="B39" i="54"/>
  <c r="A40" i="54"/>
  <c r="B40" i="54"/>
  <c r="A41" i="54"/>
  <c r="B41" i="54"/>
  <c r="A42" i="54"/>
  <c r="B42" i="54"/>
  <c r="A43" i="54"/>
  <c r="B43" i="54"/>
  <c r="A44" i="54"/>
  <c r="B44" i="54"/>
  <c r="A45" i="54"/>
  <c r="B45" i="54"/>
  <c r="A46" i="54"/>
  <c r="B46" i="54"/>
  <c r="A47" i="54"/>
  <c r="B47" i="54"/>
  <c r="A48" i="54"/>
  <c r="B48" i="54"/>
  <c r="A49" i="54"/>
  <c r="B49" i="54"/>
  <c r="A50" i="54"/>
  <c r="B50" i="54"/>
  <c r="A51" i="54"/>
  <c r="B51" i="54"/>
  <c r="A52" i="54"/>
  <c r="B52" i="54"/>
  <c r="A53" i="54"/>
  <c r="B53" i="54"/>
  <c r="A54" i="54"/>
  <c r="B54" i="54"/>
  <c r="A55" i="54"/>
  <c r="B55" i="54"/>
  <c r="A56" i="54"/>
  <c r="B56" i="54"/>
  <c r="A57" i="54"/>
  <c r="B57" i="54"/>
  <c r="A58" i="54"/>
  <c r="B58" i="54"/>
  <c r="A59" i="54"/>
  <c r="B59" i="54"/>
  <c r="A60" i="54"/>
  <c r="B60" i="54"/>
  <c r="A61" i="54"/>
  <c r="B61" i="54"/>
  <c r="A62" i="54"/>
  <c r="B62" i="54"/>
  <c r="A63" i="54"/>
  <c r="B63" i="54"/>
  <c r="A64" i="54"/>
  <c r="B64" i="54"/>
  <c r="A65" i="54"/>
  <c r="B65" i="54"/>
  <c r="A66" i="54"/>
  <c r="B66" i="54"/>
  <c r="A67" i="54"/>
  <c r="B67" i="54"/>
  <c r="A68" i="54"/>
  <c r="B68" i="54"/>
  <c r="A69" i="54"/>
  <c r="B69" i="54"/>
  <c r="A70" i="54"/>
  <c r="B70" i="54"/>
  <c r="A71" i="54"/>
  <c r="B71" i="54"/>
  <c r="A72" i="54"/>
  <c r="B72" i="54"/>
  <c r="A73" i="54"/>
  <c r="B73" i="54"/>
  <c r="A74" i="54"/>
  <c r="B74" i="54"/>
  <c r="A75" i="54"/>
  <c r="B75" i="54"/>
  <c r="A76" i="54"/>
  <c r="B76" i="54"/>
  <c r="A77" i="54"/>
  <c r="B77" i="54"/>
  <c r="A78" i="54"/>
  <c r="B78" i="54"/>
  <c r="A79" i="54"/>
  <c r="B79" i="54"/>
  <c r="A80" i="54"/>
  <c r="B80" i="54"/>
  <c r="A81" i="54"/>
  <c r="B81" i="54"/>
  <c r="A82" i="54"/>
  <c r="B82" i="54"/>
  <c r="A83" i="54"/>
  <c r="B83" i="54"/>
  <c r="A84" i="54"/>
  <c r="B84" i="54"/>
  <c r="A85" i="54"/>
  <c r="B85" i="54"/>
  <c r="A86" i="54"/>
  <c r="B86" i="54"/>
  <c r="A87" i="54"/>
  <c r="B87" i="54"/>
  <c r="A88" i="54"/>
  <c r="B88" i="54"/>
  <c r="A89" i="54"/>
  <c r="B89" i="54"/>
  <c r="A90" i="54"/>
  <c r="B90" i="54"/>
  <c r="A91" i="54"/>
  <c r="B91" i="54"/>
  <c r="A92" i="54"/>
  <c r="B92" i="54"/>
  <c r="A93" i="54"/>
  <c r="B93" i="54"/>
  <c r="A94" i="54"/>
  <c r="B94" i="54"/>
  <c r="A95" i="54"/>
  <c r="B95" i="54"/>
  <c r="A96" i="54"/>
  <c r="B96" i="54"/>
  <c r="A97" i="54"/>
  <c r="B97" i="54"/>
  <c r="A98" i="54"/>
  <c r="B98" i="54"/>
  <c r="A99" i="54"/>
  <c r="B99" i="54"/>
  <c r="A100" i="54"/>
  <c r="B100" i="54"/>
  <c r="A101" i="54"/>
  <c r="B101" i="54"/>
  <c r="A102" i="54"/>
  <c r="B102" i="54"/>
  <c r="A103" i="54"/>
  <c r="B103" i="54"/>
  <c r="A104" i="54"/>
  <c r="B104" i="54"/>
  <c r="A105" i="54"/>
  <c r="B105" i="54"/>
  <c r="A106" i="54"/>
  <c r="B106" i="54"/>
  <c r="A107" i="54"/>
  <c r="B107" i="54"/>
  <c r="A108" i="54"/>
  <c r="B108" i="54"/>
  <c r="A109" i="54"/>
  <c r="B109" i="54"/>
  <c r="A110" i="54"/>
  <c r="B110" i="54"/>
  <c r="A111" i="54"/>
  <c r="B111" i="54"/>
  <c r="A112" i="54"/>
  <c r="B112" i="54"/>
  <c r="A113" i="54"/>
  <c r="B113" i="54"/>
  <c r="A114" i="54"/>
  <c r="B114" i="54"/>
  <c r="A115" i="54"/>
  <c r="B115" i="54"/>
  <c r="A116" i="54"/>
  <c r="B116" i="54"/>
  <c r="A117" i="54"/>
  <c r="B117" i="54"/>
  <c r="A118" i="54"/>
  <c r="B118" i="54"/>
  <c r="A119" i="54"/>
  <c r="B119" i="54"/>
  <c r="A120" i="54"/>
  <c r="B120" i="54"/>
  <c r="A121" i="54"/>
  <c r="B121" i="54"/>
  <c r="A122" i="54"/>
  <c r="B122" i="54"/>
  <c r="A123" i="54"/>
  <c r="B123" i="54"/>
  <c r="A124" i="54"/>
  <c r="B124" i="54"/>
  <c r="A125" i="54"/>
  <c r="B125" i="54"/>
  <c r="A126" i="54"/>
  <c r="B126" i="54"/>
  <c r="A127" i="54"/>
  <c r="B127" i="54"/>
  <c r="A128" i="54"/>
  <c r="B128" i="54"/>
  <c r="A129" i="54"/>
  <c r="B129" i="54"/>
  <c r="A130" i="54"/>
  <c r="B130" i="54"/>
  <c r="A131" i="54"/>
  <c r="B131" i="54"/>
  <c r="A132" i="54"/>
  <c r="B132" i="54"/>
  <c r="A133" i="54"/>
  <c r="B133" i="54"/>
  <c r="A134" i="54"/>
  <c r="B134" i="54"/>
  <c r="A135" i="54"/>
  <c r="B135" i="54"/>
  <c r="A136" i="54"/>
  <c r="B136" i="54"/>
  <c r="A137" i="54"/>
  <c r="B137" i="54"/>
  <c r="A138" i="54"/>
  <c r="B138" i="54"/>
  <c r="A139" i="54"/>
  <c r="B139" i="54"/>
  <c r="A140" i="54"/>
  <c r="B140" i="54"/>
  <c r="A141" i="54"/>
  <c r="B141" i="54"/>
  <c r="A142" i="54"/>
  <c r="B142" i="54"/>
  <c r="A143" i="54"/>
  <c r="B143" i="54"/>
  <c r="A144" i="54"/>
  <c r="B144" i="54"/>
  <c r="A145" i="54"/>
  <c r="B145" i="54"/>
  <c r="A146" i="54"/>
  <c r="B146" i="54"/>
  <c r="A147" i="54"/>
  <c r="B147" i="54"/>
  <c r="A148" i="54"/>
  <c r="B148" i="54"/>
  <c r="A149" i="54"/>
  <c r="B149" i="54"/>
  <c r="A150" i="54"/>
  <c r="B150" i="54"/>
  <c r="A151" i="54"/>
  <c r="B151" i="54"/>
  <c r="A152" i="54"/>
  <c r="B152" i="54"/>
  <c r="A153" i="54"/>
  <c r="B153" i="54"/>
  <c r="A154" i="54"/>
  <c r="B154" i="54"/>
  <c r="A155" i="54"/>
  <c r="B155" i="54"/>
  <c r="A156" i="54"/>
  <c r="B156" i="54"/>
  <c r="A157" i="54"/>
  <c r="B157" i="54"/>
  <c r="A158" i="54"/>
  <c r="B158" i="54"/>
  <c r="A159" i="54"/>
  <c r="B159" i="54"/>
  <c r="A160" i="54"/>
  <c r="B160" i="54"/>
  <c r="A161" i="54"/>
  <c r="B161" i="54"/>
  <c r="A162" i="54"/>
  <c r="B162" i="54"/>
  <c r="A163" i="54"/>
  <c r="B163" i="54"/>
  <c r="A164" i="54"/>
  <c r="B164" i="54"/>
  <c r="A165" i="54"/>
  <c r="B165" i="54"/>
  <c r="A166" i="54"/>
  <c r="B166" i="54"/>
  <c r="A167" i="54"/>
  <c r="B167" i="54"/>
  <c r="A168" i="54"/>
  <c r="B168" i="54"/>
  <c r="A169" i="54"/>
  <c r="B169" i="54"/>
  <c r="A170" i="54"/>
  <c r="B170" i="54"/>
  <c r="A171" i="54"/>
  <c r="B171" i="54"/>
  <c r="A172" i="54"/>
  <c r="B172" i="54"/>
  <c r="A173" i="54"/>
  <c r="B173" i="54"/>
  <c r="A174" i="54"/>
  <c r="B174" i="54"/>
  <c r="A175" i="54"/>
  <c r="B175" i="54"/>
  <c r="A176" i="54"/>
  <c r="B176" i="54"/>
  <c r="A177" i="54"/>
  <c r="B177" i="54"/>
  <c r="A178" i="54"/>
  <c r="B178" i="54"/>
  <c r="A179" i="54"/>
  <c r="B179" i="54"/>
  <c r="A180" i="54"/>
  <c r="B180" i="54"/>
  <c r="A181" i="54"/>
  <c r="B181" i="54"/>
  <c r="A182" i="54"/>
  <c r="B182" i="54"/>
  <c r="A183" i="54"/>
  <c r="B183" i="54"/>
  <c r="A184" i="54"/>
  <c r="B184" i="54"/>
  <c r="A185" i="54"/>
  <c r="B185" i="54"/>
  <c r="A186" i="54"/>
  <c r="B186" i="54"/>
  <c r="A187" i="54"/>
  <c r="B187" i="54"/>
  <c r="A188" i="54"/>
  <c r="B188" i="54"/>
  <c r="A189" i="54"/>
  <c r="B189" i="54"/>
  <c r="A190" i="54"/>
  <c r="B190" i="54"/>
  <c r="A191" i="54"/>
  <c r="B191" i="54"/>
  <c r="A192" i="54"/>
  <c r="B192" i="54"/>
  <c r="A193" i="54"/>
  <c r="B193" i="54"/>
  <c r="A194" i="54"/>
  <c r="B194" i="54"/>
  <c r="A195" i="54"/>
  <c r="B195" i="54"/>
  <c r="A196" i="54"/>
  <c r="B196" i="54"/>
  <c r="A197" i="54"/>
  <c r="B197" i="54"/>
  <c r="A198" i="54"/>
  <c r="B198" i="54"/>
  <c r="A199" i="54"/>
  <c r="B199" i="54"/>
  <c r="A200" i="54"/>
  <c r="B200" i="54"/>
  <c r="A201" i="54"/>
  <c r="B201" i="54"/>
  <c r="A202" i="54"/>
  <c r="B202" i="54"/>
  <c r="A203" i="54"/>
  <c r="B203" i="54"/>
  <c r="A204" i="54"/>
  <c r="B204" i="54"/>
  <c r="A205" i="54"/>
  <c r="B205" i="54"/>
  <c r="A206" i="54"/>
  <c r="B206" i="54"/>
  <c r="A207" i="54"/>
  <c r="B207" i="54"/>
  <c r="A208" i="54"/>
  <c r="B208" i="54"/>
  <c r="A209" i="54"/>
  <c r="B209" i="54"/>
  <c r="A210" i="54"/>
  <c r="B210" i="54"/>
  <c r="A211" i="54"/>
  <c r="B211" i="54"/>
  <c r="A212" i="54"/>
  <c r="B212" i="54"/>
  <c r="A213" i="54"/>
  <c r="B213" i="54"/>
  <c r="A214" i="54"/>
  <c r="B214" i="54"/>
  <c r="A215" i="54"/>
  <c r="B215" i="54"/>
  <c r="A216" i="54"/>
  <c r="B216" i="54"/>
  <c r="A217" i="54"/>
  <c r="B217" i="54"/>
  <c r="A218" i="54"/>
  <c r="B218" i="54"/>
  <c r="A219" i="54"/>
  <c r="B219" i="54"/>
  <c r="A220" i="54"/>
  <c r="B220" i="54"/>
  <c r="A221" i="54"/>
  <c r="B221" i="54"/>
  <c r="A222" i="54"/>
  <c r="B222" i="54"/>
  <c r="A223" i="54"/>
  <c r="B223" i="54"/>
  <c r="A224" i="54"/>
  <c r="B224" i="54"/>
  <c r="A225" i="54"/>
  <c r="B225" i="54"/>
  <c r="A226" i="54"/>
  <c r="B226" i="54"/>
  <c r="A227" i="54"/>
  <c r="B227" i="54"/>
  <c r="A228" i="54"/>
  <c r="B228" i="54"/>
  <c r="A229" i="54"/>
  <c r="B229" i="54"/>
  <c r="A230" i="54"/>
  <c r="B230" i="54"/>
  <c r="A231" i="54"/>
  <c r="B231" i="54"/>
  <c r="A232" i="54"/>
  <c r="B232" i="54"/>
  <c r="A233" i="54"/>
  <c r="B233" i="54"/>
  <c r="A234" i="54"/>
  <c r="B234" i="54"/>
  <c r="A235" i="54"/>
  <c r="B235" i="54"/>
  <c r="A236" i="54"/>
  <c r="B236" i="54"/>
  <c r="A237" i="54"/>
  <c r="B237" i="54"/>
  <c r="A238" i="54"/>
  <c r="B238" i="54"/>
  <c r="A239" i="54"/>
  <c r="B239" i="54"/>
  <c r="A240" i="54"/>
  <c r="B240" i="54"/>
  <c r="A241" i="54"/>
  <c r="B241" i="54"/>
  <c r="A242" i="54"/>
  <c r="B242" i="54"/>
  <c r="A243" i="54"/>
  <c r="B243" i="54"/>
  <c r="A244" i="54"/>
  <c r="B244" i="54"/>
  <c r="A245" i="54"/>
  <c r="B245" i="54"/>
  <c r="A246" i="54"/>
  <c r="B246" i="54"/>
  <c r="A247" i="54"/>
  <c r="B247" i="54"/>
  <c r="A248" i="54"/>
  <c r="B248" i="54"/>
  <c r="A249" i="54"/>
  <c r="B249" i="54"/>
  <c r="A250" i="54"/>
  <c r="B250" i="54"/>
  <c r="A251" i="54"/>
  <c r="B251" i="54"/>
  <c r="A252" i="54"/>
  <c r="B252" i="54"/>
  <c r="A253" i="54"/>
  <c r="B253" i="54"/>
  <c r="A254" i="54"/>
  <c r="B254" i="54"/>
  <c r="A255" i="54"/>
  <c r="B255" i="54"/>
  <c r="A256" i="54"/>
  <c r="B256" i="54"/>
  <c r="A257" i="54"/>
  <c r="B257" i="54"/>
  <c r="A258" i="54"/>
  <c r="B258" i="54"/>
  <c r="A259" i="54"/>
  <c r="B259" i="54"/>
  <c r="A260" i="54"/>
  <c r="B260" i="54"/>
  <c r="A261" i="54"/>
  <c r="B261" i="54"/>
  <c r="A262" i="54"/>
  <c r="B262" i="54"/>
  <c r="A263" i="54"/>
  <c r="B263" i="54"/>
  <c r="A264" i="54"/>
  <c r="B264" i="54"/>
  <c r="A265" i="54"/>
  <c r="B265" i="54"/>
  <c r="A266" i="54"/>
  <c r="B266" i="54"/>
  <c r="A267" i="54"/>
  <c r="B267" i="54"/>
  <c r="A268" i="54"/>
  <c r="B268" i="54"/>
  <c r="A269" i="54"/>
  <c r="B269" i="54"/>
  <c r="A270" i="54"/>
  <c r="B270" i="54"/>
  <c r="A271" i="54"/>
  <c r="B271" i="54"/>
  <c r="A272" i="54"/>
  <c r="B272" i="54"/>
  <c r="A273" i="54"/>
  <c r="B273" i="54"/>
  <c r="A274" i="54"/>
  <c r="B274" i="54"/>
  <c r="A275" i="54"/>
  <c r="B275" i="54"/>
  <c r="A276" i="54"/>
  <c r="B276" i="54"/>
  <c r="A277" i="54"/>
  <c r="B277" i="54"/>
  <c r="A278" i="54"/>
  <c r="B278" i="54"/>
  <c r="A279" i="54"/>
  <c r="B279" i="54"/>
  <c r="A280" i="54"/>
  <c r="B280" i="54"/>
  <c r="A281" i="54"/>
  <c r="B281" i="54"/>
  <c r="A282" i="54"/>
  <c r="B282" i="54"/>
  <c r="A283" i="54"/>
  <c r="B283" i="54"/>
  <c r="A284" i="54"/>
  <c r="B284" i="54"/>
  <c r="A285" i="54"/>
  <c r="B285" i="54"/>
  <c r="A286" i="54"/>
  <c r="B286" i="54"/>
  <c r="A287" i="54"/>
  <c r="B287" i="54"/>
  <c r="A288" i="54"/>
  <c r="B288" i="54"/>
  <c r="A289" i="54"/>
  <c r="B289" i="54"/>
  <c r="A290" i="54"/>
  <c r="B290" i="54"/>
  <c r="A291" i="54"/>
  <c r="B291" i="54"/>
  <c r="A292" i="54"/>
  <c r="B292" i="54"/>
  <c r="A293" i="54"/>
  <c r="B293" i="54"/>
  <c r="A294" i="54"/>
  <c r="B294" i="54"/>
  <c r="A295" i="54"/>
  <c r="B295" i="54"/>
  <c r="A296" i="54"/>
  <c r="B296" i="54"/>
  <c r="A297" i="54"/>
  <c r="B297" i="54"/>
  <c r="A298" i="54"/>
  <c r="B298" i="54"/>
  <c r="A299" i="54"/>
  <c r="B299" i="54"/>
  <c r="A300" i="54"/>
  <c r="B300" i="54"/>
  <c r="A301" i="54"/>
  <c r="B301" i="54"/>
  <c r="A302" i="54"/>
  <c r="B302" i="54"/>
  <c r="A303" i="54"/>
  <c r="B303" i="54"/>
  <c r="A304" i="54"/>
  <c r="B304" i="54"/>
  <c r="A305" i="54"/>
  <c r="B305" i="54"/>
  <c r="AL7" i="42"/>
  <c r="AL8" i="42"/>
  <c r="AL9" i="42"/>
  <c r="AL10" i="42"/>
  <c r="AL11" i="42"/>
  <c r="AL12" i="42"/>
  <c r="AL13" i="42"/>
  <c r="AL14" i="42"/>
  <c r="AL15" i="42"/>
  <c r="AL16" i="42"/>
  <c r="AL17" i="42"/>
  <c r="AL18" i="42"/>
  <c r="AL19" i="42"/>
  <c r="AL20" i="42"/>
  <c r="AL21" i="42"/>
  <c r="AL22" i="42"/>
  <c r="AL23" i="42"/>
  <c r="AL24" i="42"/>
  <c r="AL25" i="42"/>
  <c r="AL26" i="42"/>
  <c r="AL27" i="42"/>
  <c r="AL28" i="42"/>
  <c r="AL29" i="42"/>
  <c r="AL30" i="42"/>
  <c r="AL31" i="42"/>
  <c r="AL32" i="42"/>
  <c r="AL33" i="42"/>
  <c r="AL34" i="42"/>
  <c r="AL35" i="42"/>
  <c r="AL36" i="42"/>
  <c r="AL37" i="42"/>
  <c r="AL38" i="42"/>
  <c r="AL39" i="42"/>
  <c r="AL40" i="42"/>
  <c r="AL41" i="42"/>
  <c r="AL42" i="42"/>
  <c r="AL43" i="42"/>
  <c r="AL44" i="42"/>
  <c r="AL45" i="42"/>
  <c r="AL46" i="42"/>
  <c r="AL47" i="42"/>
  <c r="AL48" i="42"/>
  <c r="AL49" i="42"/>
  <c r="AL50" i="42"/>
  <c r="AL51" i="42"/>
  <c r="AL52" i="42"/>
  <c r="AL53" i="42"/>
  <c r="AL54" i="42"/>
  <c r="AL55" i="42"/>
  <c r="AL56" i="42"/>
  <c r="AL57" i="42"/>
  <c r="AL58" i="42"/>
  <c r="AL59" i="42"/>
  <c r="AL60" i="42"/>
  <c r="AL61" i="42"/>
  <c r="AL62" i="42"/>
  <c r="AL63" i="42"/>
  <c r="AL64" i="42"/>
  <c r="AL65" i="42"/>
  <c r="AL66" i="42"/>
  <c r="AL67" i="42"/>
  <c r="AL69" i="42"/>
  <c r="AL70" i="42"/>
  <c r="AL71" i="42"/>
  <c r="AL72" i="42"/>
  <c r="AL73" i="42"/>
  <c r="AL74" i="42"/>
  <c r="AL75" i="42"/>
  <c r="AL76" i="42"/>
  <c r="AL77" i="42"/>
  <c r="AL78" i="42"/>
  <c r="AL79" i="42"/>
  <c r="AL80" i="42"/>
  <c r="AL81" i="42"/>
  <c r="AL82" i="42"/>
  <c r="AL83" i="42"/>
  <c r="AL84" i="42"/>
  <c r="AL85" i="42"/>
  <c r="AL86" i="42"/>
  <c r="AL87" i="42"/>
  <c r="AL88" i="42"/>
  <c r="AL89" i="42"/>
  <c r="AL90" i="42"/>
  <c r="AL91" i="42"/>
  <c r="AL92" i="42"/>
  <c r="AL93" i="42"/>
  <c r="AL94" i="42"/>
  <c r="AL95" i="42"/>
  <c r="AL96" i="42"/>
  <c r="AL97" i="42"/>
  <c r="AL98" i="42"/>
  <c r="AL99" i="42"/>
  <c r="AL100" i="42"/>
  <c r="AL101" i="42"/>
  <c r="AL102" i="42"/>
  <c r="AL103" i="42"/>
  <c r="AL104" i="42"/>
  <c r="AL105" i="42"/>
  <c r="AL106" i="42"/>
  <c r="AL107" i="42"/>
  <c r="AL108" i="42"/>
  <c r="AL109" i="42"/>
  <c r="AL110" i="42"/>
  <c r="AL111" i="42"/>
  <c r="AL112" i="42"/>
  <c r="AL113" i="42"/>
  <c r="AL114" i="42"/>
  <c r="AL115" i="42"/>
  <c r="AL116" i="42"/>
  <c r="AL117" i="42"/>
  <c r="AL118" i="42"/>
  <c r="AL119" i="42"/>
  <c r="AL120" i="42"/>
  <c r="AL121" i="42"/>
  <c r="AL122" i="42"/>
  <c r="AL123" i="42"/>
  <c r="AL124" i="42"/>
  <c r="AL125" i="42"/>
  <c r="AL126" i="42"/>
  <c r="AL127" i="42"/>
  <c r="AL128" i="42"/>
  <c r="AL129" i="42"/>
  <c r="AL130" i="42"/>
  <c r="AL131" i="42"/>
  <c r="AL132" i="42"/>
  <c r="AL133" i="42"/>
  <c r="AL134" i="42"/>
  <c r="AL135" i="42"/>
  <c r="AL136" i="42"/>
  <c r="AL137" i="42"/>
  <c r="AL138" i="42"/>
  <c r="AL139" i="42"/>
  <c r="AL140" i="42"/>
  <c r="AL141" i="42"/>
  <c r="AL142" i="42"/>
  <c r="AL143" i="42"/>
  <c r="AL144" i="42"/>
  <c r="AL145" i="42"/>
  <c r="AL146" i="42"/>
  <c r="AL147" i="42"/>
  <c r="AL148" i="42"/>
  <c r="AL149" i="42"/>
  <c r="AL150" i="42"/>
  <c r="AL151" i="42"/>
  <c r="AL152" i="42"/>
  <c r="AL153" i="42"/>
  <c r="AL154" i="42"/>
  <c r="AL156" i="42"/>
  <c r="AL157" i="42"/>
  <c r="AL158" i="42"/>
  <c r="AL159" i="42"/>
  <c r="AL160" i="42"/>
  <c r="AL161" i="42"/>
  <c r="AL162" i="42"/>
  <c r="AL163" i="42"/>
  <c r="AL164" i="42"/>
  <c r="AL165" i="42"/>
  <c r="AL166" i="42"/>
  <c r="AL167" i="42"/>
  <c r="AL168" i="42"/>
  <c r="AL169" i="42"/>
  <c r="AL170" i="42"/>
  <c r="AL171" i="42"/>
  <c r="AL172" i="42"/>
  <c r="AL173" i="42"/>
  <c r="AL174" i="42"/>
  <c r="AL175" i="42"/>
  <c r="AL176" i="42"/>
  <c r="AL177" i="42"/>
  <c r="AL178" i="42"/>
  <c r="AL179" i="42"/>
  <c r="AL180" i="42"/>
  <c r="AL181" i="42"/>
  <c r="AL182" i="42"/>
  <c r="AL183" i="42"/>
  <c r="AL184" i="42"/>
  <c r="AL185" i="42"/>
  <c r="AL186" i="42"/>
  <c r="AL187" i="42"/>
  <c r="AL188" i="42"/>
  <c r="AL189" i="42"/>
  <c r="AL190" i="42"/>
  <c r="AL191" i="42"/>
  <c r="AL192" i="42"/>
  <c r="AL193" i="42"/>
  <c r="AL194" i="42"/>
  <c r="AL195" i="42"/>
  <c r="AL196" i="42"/>
  <c r="AL197" i="42"/>
  <c r="AL198" i="42"/>
  <c r="AL199" i="42"/>
  <c r="AL200" i="42"/>
  <c r="AL201" i="42"/>
  <c r="AL202" i="42"/>
  <c r="AL203" i="42"/>
  <c r="AL204" i="42"/>
  <c r="AL205" i="42"/>
  <c r="AL206" i="42"/>
  <c r="AL207" i="42"/>
  <c r="AL208" i="42"/>
  <c r="AL209" i="42"/>
  <c r="AL210" i="42"/>
  <c r="AL211" i="42"/>
  <c r="AL212" i="42"/>
  <c r="AL213" i="42"/>
  <c r="AL214" i="42"/>
  <c r="AL215" i="42"/>
  <c r="AL216" i="42"/>
  <c r="AL217" i="42"/>
  <c r="AL218" i="42"/>
  <c r="AL219" i="42"/>
  <c r="AL220" i="42"/>
  <c r="AL221" i="42"/>
  <c r="AL222" i="42"/>
  <c r="AL223" i="42"/>
  <c r="AL224" i="42"/>
  <c r="AL225" i="42"/>
  <c r="AL226" i="42"/>
  <c r="AL227" i="42"/>
  <c r="AL228" i="42"/>
  <c r="AL229" i="42"/>
  <c r="AL230" i="42"/>
  <c r="AL231" i="42"/>
  <c r="AL232" i="42"/>
  <c r="AL233" i="42"/>
  <c r="AL234" i="42"/>
  <c r="AL236" i="42"/>
  <c r="AL237" i="42"/>
  <c r="AL238" i="42"/>
  <c r="AL239" i="42"/>
  <c r="AL240" i="42"/>
  <c r="AL241" i="42"/>
  <c r="AL242" i="42"/>
  <c r="AL243" i="42"/>
  <c r="AL244" i="42"/>
  <c r="AL245" i="42"/>
  <c r="AL246" i="42"/>
  <c r="AL247" i="42"/>
  <c r="AL248" i="42"/>
  <c r="AL249" i="42"/>
  <c r="AL250" i="42"/>
  <c r="AL251" i="42"/>
  <c r="AL252" i="42"/>
  <c r="AL253" i="42"/>
  <c r="AL254" i="42"/>
  <c r="AL255" i="42"/>
  <c r="AL256" i="42"/>
  <c r="AL257" i="42"/>
  <c r="AL258" i="42"/>
  <c r="AL259" i="42"/>
  <c r="AL260" i="42"/>
  <c r="AL261" i="42"/>
  <c r="AL262" i="42"/>
  <c r="AL263" i="42"/>
  <c r="AL264" i="42"/>
  <c r="AL265" i="42"/>
  <c r="AL266" i="42"/>
  <c r="AL267" i="42"/>
  <c r="AL268" i="42"/>
  <c r="AL269" i="42"/>
  <c r="AL270" i="42"/>
  <c r="AL271" i="42"/>
  <c r="AL272" i="42"/>
  <c r="AL273" i="42"/>
  <c r="AL274" i="42"/>
  <c r="AL276" i="42"/>
  <c r="AL277" i="42"/>
  <c r="AL278" i="42"/>
  <c r="AL279" i="42"/>
  <c r="AL280" i="42"/>
  <c r="AL281" i="42"/>
  <c r="AL282" i="42"/>
  <c r="AL283" i="42"/>
  <c r="AL284" i="42"/>
  <c r="AL285" i="42"/>
  <c r="AL286" i="42"/>
  <c r="AL287" i="42"/>
  <c r="AL288" i="42"/>
  <c r="AL289" i="42"/>
  <c r="AL290" i="42"/>
  <c r="AL291" i="42"/>
  <c r="AL292" i="42"/>
  <c r="AL293" i="42"/>
  <c r="AL294" i="42"/>
  <c r="AL295" i="42"/>
  <c r="AL296" i="42"/>
  <c r="AL297" i="42"/>
  <c r="AL298" i="42"/>
  <c r="AL299" i="42"/>
  <c r="AL300" i="42"/>
  <c r="AL301" i="42"/>
  <c r="AL302" i="42"/>
  <c r="AL303" i="42"/>
  <c r="AL304" i="42"/>
  <c r="AL305" i="42"/>
  <c r="AD7" i="42"/>
  <c r="AD8" i="42"/>
  <c r="AD9" i="42"/>
  <c r="AD10" i="42"/>
  <c r="AD11" i="42"/>
  <c r="AD12" i="42"/>
  <c r="AD13" i="42"/>
  <c r="AD14" i="42"/>
  <c r="AD15" i="42"/>
  <c r="AD16" i="42"/>
  <c r="AD17" i="42"/>
  <c r="AD18" i="42"/>
  <c r="AD19" i="42"/>
  <c r="AD20" i="42"/>
  <c r="AD21" i="42"/>
  <c r="AD22" i="42"/>
  <c r="AD23" i="42"/>
  <c r="AD24" i="42"/>
  <c r="AD25" i="42"/>
  <c r="AD26" i="42"/>
  <c r="AD27" i="42"/>
  <c r="AD28" i="42"/>
  <c r="AD30" i="42"/>
  <c r="AD31" i="42"/>
  <c r="AD32" i="42"/>
  <c r="AD33" i="42"/>
  <c r="AD34" i="42"/>
  <c r="AD35" i="42"/>
  <c r="AD36" i="42"/>
  <c r="AD37" i="42"/>
  <c r="AD38" i="42"/>
  <c r="AD39" i="42"/>
  <c r="AD40" i="42"/>
  <c r="AD41" i="42"/>
  <c r="AD42" i="42"/>
  <c r="AD43" i="42"/>
  <c r="AD44" i="42"/>
  <c r="AD45" i="42"/>
  <c r="AD46" i="42"/>
  <c r="AD47" i="42"/>
  <c r="AD48" i="42"/>
  <c r="AD49" i="42"/>
  <c r="AD50" i="42"/>
  <c r="AD51" i="42"/>
  <c r="AD52" i="42"/>
  <c r="AD53" i="42"/>
  <c r="AD54" i="42"/>
  <c r="AD55" i="42"/>
  <c r="AD56" i="42"/>
  <c r="AD57" i="42"/>
  <c r="AD58" i="42"/>
  <c r="AD59" i="42"/>
  <c r="AD60" i="42"/>
  <c r="AD61" i="42"/>
  <c r="AD62" i="42"/>
  <c r="AD63" i="42"/>
  <c r="AD64" i="42"/>
  <c r="AD65" i="42"/>
  <c r="AD66" i="42"/>
  <c r="AD67" i="42"/>
  <c r="AD69" i="42"/>
  <c r="AD70" i="42"/>
  <c r="AD71" i="42"/>
  <c r="AD72" i="42"/>
  <c r="AD73" i="42"/>
  <c r="AD74" i="42"/>
  <c r="AD75" i="42"/>
  <c r="AD76" i="42"/>
  <c r="AD77" i="42"/>
  <c r="AD78" i="42"/>
  <c r="AD79" i="42"/>
  <c r="AD80" i="42"/>
  <c r="AD81" i="42"/>
  <c r="AD82" i="42"/>
  <c r="AD83" i="42"/>
  <c r="AD84" i="42"/>
  <c r="AD85" i="42"/>
  <c r="AD86" i="42"/>
  <c r="AD87" i="42"/>
  <c r="AD88" i="42"/>
  <c r="AD89" i="42"/>
  <c r="AD90" i="42"/>
  <c r="AD91" i="42"/>
  <c r="AD92" i="42"/>
  <c r="AD93" i="42"/>
  <c r="AD94" i="42"/>
  <c r="AD95" i="42"/>
  <c r="AD96" i="42"/>
  <c r="AD97" i="42"/>
  <c r="AD98" i="42"/>
  <c r="AD99" i="42"/>
  <c r="AD100" i="42"/>
  <c r="AD101" i="42"/>
  <c r="AD102" i="42"/>
  <c r="AD103" i="42"/>
  <c r="AD104" i="42"/>
  <c r="AD105" i="42"/>
  <c r="AD106" i="42"/>
  <c r="AD107" i="42"/>
  <c r="AD108" i="42"/>
  <c r="AD109" i="42"/>
  <c r="AD110" i="42"/>
  <c r="AD111" i="42"/>
  <c r="AD112" i="42"/>
  <c r="AD113" i="42"/>
  <c r="AD114" i="42"/>
  <c r="AD115" i="42"/>
  <c r="AD116" i="42"/>
  <c r="AD117" i="42"/>
  <c r="AD118" i="42"/>
  <c r="AD119" i="42"/>
  <c r="AD120" i="42"/>
  <c r="AD121" i="42"/>
  <c r="AD122" i="42"/>
  <c r="AD123" i="42"/>
  <c r="AD124" i="42"/>
  <c r="AD125" i="42"/>
  <c r="AD126" i="42"/>
  <c r="AD127" i="42"/>
  <c r="AD128" i="42"/>
  <c r="AD129" i="42"/>
  <c r="AD130" i="42"/>
  <c r="AD131" i="42"/>
  <c r="AD132" i="42"/>
  <c r="AD133" i="42"/>
  <c r="AD134" i="42"/>
  <c r="AD135" i="42"/>
  <c r="AD136" i="42"/>
  <c r="AD137" i="42"/>
  <c r="AD138" i="42"/>
  <c r="AD139" i="42"/>
  <c r="AD140" i="42"/>
  <c r="AD141" i="42"/>
  <c r="AD142" i="42"/>
  <c r="AD143" i="42"/>
  <c r="AD144" i="42"/>
  <c r="AD145" i="42"/>
  <c r="AD146" i="42"/>
  <c r="AD147" i="42"/>
  <c r="AD148" i="42"/>
  <c r="AD149" i="42"/>
  <c r="AD150" i="42"/>
  <c r="AD151" i="42"/>
  <c r="AD152" i="42"/>
  <c r="AD153" i="42"/>
  <c r="AD154" i="42"/>
  <c r="AD156" i="42"/>
  <c r="AD157" i="42"/>
  <c r="AD158" i="42"/>
  <c r="AD159" i="42"/>
  <c r="AD160" i="42"/>
  <c r="AD161" i="42"/>
  <c r="AD162" i="42"/>
  <c r="AD163" i="42"/>
  <c r="AD164" i="42"/>
  <c r="AD165" i="42"/>
  <c r="AD166" i="42"/>
  <c r="AD167" i="42"/>
  <c r="AD168" i="42"/>
  <c r="AD169" i="42"/>
  <c r="AD170" i="42"/>
  <c r="AD171" i="42"/>
  <c r="AD172" i="42"/>
  <c r="AD173" i="42"/>
  <c r="AD174" i="42"/>
  <c r="AD175" i="42"/>
  <c r="AD176" i="42"/>
  <c r="AD177" i="42"/>
  <c r="AD178" i="42"/>
  <c r="AD179" i="42"/>
  <c r="AD180" i="42"/>
  <c r="AD181" i="42"/>
  <c r="AD182" i="42"/>
  <c r="AD183" i="42"/>
  <c r="AD184" i="42"/>
  <c r="AD185" i="42"/>
  <c r="AD186" i="42"/>
  <c r="AD187" i="42"/>
  <c r="AD188" i="42"/>
  <c r="AD189" i="42"/>
  <c r="AD190" i="42"/>
  <c r="AD191" i="42"/>
  <c r="AD192" i="42"/>
  <c r="AD193" i="42"/>
  <c r="AD194" i="42"/>
  <c r="AD195" i="42"/>
  <c r="AD196" i="42"/>
  <c r="AD197" i="42"/>
  <c r="AD198" i="42"/>
  <c r="AD199" i="42"/>
  <c r="AD200" i="42"/>
  <c r="AD201" i="42"/>
  <c r="AD202" i="42"/>
  <c r="AD203" i="42"/>
  <c r="AD204" i="42"/>
  <c r="AD205" i="42"/>
  <c r="AD206" i="42"/>
  <c r="AD207" i="42"/>
  <c r="AD208" i="42"/>
  <c r="AD209" i="42"/>
  <c r="AD210" i="42"/>
  <c r="AD211" i="42"/>
  <c r="AD212" i="42"/>
  <c r="AD213" i="42"/>
  <c r="AD214" i="42"/>
  <c r="AD215" i="42"/>
  <c r="AD216" i="42"/>
  <c r="AD217" i="42"/>
  <c r="AD218" i="42"/>
  <c r="AD219" i="42"/>
  <c r="AD220" i="42"/>
  <c r="AD221" i="42"/>
  <c r="AD222" i="42"/>
  <c r="AD223" i="42"/>
  <c r="AD224" i="42"/>
  <c r="AD225" i="42"/>
  <c r="AD226" i="42"/>
  <c r="AD227" i="42"/>
  <c r="AD228" i="42"/>
  <c r="AD229" i="42"/>
  <c r="AD230" i="42"/>
  <c r="AD231" i="42"/>
  <c r="AD232" i="42"/>
  <c r="AD233" i="42"/>
  <c r="AD234" i="42"/>
  <c r="AD236" i="42"/>
  <c r="AD237" i="42"/>
  <c r="AD238" i="42"/>
  <c r="AD239" i="42"/>
  <c r="AD240" i="42"/>
  <c r="AD241" i="42"/>
  <c r="AD242" i="42"/>
  <c r="AD243" i="42"/>
  <c r="AD244" i="42"/>
  <c r="AD245" i="42"/>
  <c r="AD246" i="42"/>
  <c r="AD247" i="42"/>
  <c r="AD248" i="42"/>
  <c r="AD249" i="42"/>
  <c r="AD250" i="42"/>
  <c r="AD251" i="42"/>
  <c r="AD252" i="42"/>
  <c r="AD253" i="42"/>
  <c r="AD254" i="42"/>
  <c r="AD255" i="42"/>
  <c r="AD256" i="42"/>
  <c r="AD257" i="42"/>
  <c r="AD258" i="42"/>
  <c r="AD259" i="42"/>
  <c r="AD260" i="42"/>
  <c r="AD261" i="42"/>
  <c r="AD262" i="42"/>
  <c r="AD263" i="42"/>
  <c r="AD264" i="42"/>
  <c r="AD265" i="42"/>
  <c r="AD266" i="42"/>
  <c r="AD267" i="42"/>
  <c r="AD268" i="42"/>
  <c r="AD269" i="42"/>
  <c r="AD270" i="42"/>
  <c r="AD271" i="42"/>
  <c r="AD272" i="42"/>
  <c r="AD273" i="42"/>
  <c r="AD274" i="42"/>
  <c r="AD276" i="42"/>
  <c r="AD277" i="42"/>
  <c r="AD278" i="42"/>
  <c r="AD279" i="42"/>
  <c r="AD280" i="42"/>
  <c r="AD281" i="42"/>
  <c r="AD282" i="42"/>
  <c r="AD283" i="42"/>
  <c r="AD284" i="42"/>
  <c r="AD285" i="42"/>
  <c r="AD286" i="42"/>
  <c r="AD287" i="42"/>
  <c r="AD288" i="42"/>
  <c r="AD289" i="42"/>
  <c r="AD290" i="42"/>
  <c r="AD291" i="42"/>
  <c r="AD292" i="42"/>
  <c r="AD293" i="42"/>
  <c r="AD294" i="42"/>
  <c r="AD295" i="42"/>
  <c r="AD296" i="42"/>
  <c r="AD297" i="42"/>
  <c r="AD298" i="42"/>
  <c r="AD299" i="42"/>
  <c r="AD300" i="42"/>
  <c r="AD301" i="42"/>
  <c r="AD302" i="42"/>
  <c r="AD303" i="42"/>
  <c r="AD304" i="42"/>
  <c r="AD305" i="42"/>
  <c r="E212" i="33" l="1"/>
  <c r="D212" i="37" s="1"/>
  <c r="C212" i="11"/>
  <c r="C218" i="34"/>
  <c r="E220" i="33"/>
  <c r="D220" i="37" s="1"/>
  <c r="C220" i="11"/>
  <c r="C226" i="34"/>
  <c r="C290" i="11"/>
  <c r="C296" i="34"/>
  <c r="E290" i="33"/>
  <c r="D290" i="37" s="1"/>
  <c r="C282" i="11"/>
  <c r="C288" i="34"/>
  <c r="E282" i="33"/>
  <c r="D282" i="37" s="1"/>
  <c r="C89" i="11"/>
  <c r="C95" i="34"/>
  <c r="E89" i="33"/>
  <c r="D89" i="37" s="1"/>
  <c r="C74" i="11"/>
  <c r="C80" i="34"/>
  <c r="E74" i="33"/>
  <c r="D74" i="37" s="1"/>
  <c r="E107" i="33"/>
  <c r="D107" i="37" s="1"/>
  <c r="C107" i="11"/>
  <c r="C113" i="34"/>
  <c r="E289" i="33"/>
  <c r="D289" i="37" s="1"/>
  <c r="C289" i="11"/>
  <c r="C295" i="34"/>
  <c r="C274" i="11"/>
  <c r="C280" i="34"/>
  <c r="E274" i="33"/>
  <c r="D274" i="37" s="1"/>
  <c r="E292" i="33"/>
  <c r="D292" i="37" s="1"/>
  <c r="C292" i="11"/>
  <c r="C298" i="34"/>
  <c r="E285" i="33"/>
  <c r="D285" i="37" s="1"/>
  <c r="C285" i="11"/>
  <c r="C291" i="34"/>
  <c r="E229" i="33"/>
  <c r="D229" i="37" s="1"/>
  <c r="C229" i="11"/>
  <c r="C235" i="34"/>
  <c r="C62" i="11"/>
  <c r="C68" i="34"/>
  <c r="E62" i="33"/>
  <c r="D62" i="37" s="1"/>
  <c r="C95" i="11"/>
  <c r="C101" i="34"/>
  <c r="E95" i="33"/>
  <c r="D95" i="37" s="1"/>
  <c r="E241" i="33"/>
  <c r="D241" i="37" s="1"/>
  <c r="C241" i="11"/>
  <c r="C247" i="34"/>
  <c r="C69" i="11"/>
  <c r="C75" i="34"/>
  <c r="E69" i="33"/>
  <c r="D69" i="37" s="1"/>
  <c r="C254" i="11"/>
  <c r="C260" i="34"/>
  <c r="E254" i="33"/>
  <c r="D254" i="37" s="1"/>
  <c r="C231" i="11"/>
  <c r="C237" i="34"/>
  <c r="E231" i="33"/>
  <c r="D231" i="37" s="1"/>
  <c r="C275" i="11"/>
  <c r="C281" i="34"/>
  <c r="E275" i="33"/>
  <c r="D275" i="37" s="1"/>
  <c r="E281" i="33"/>
  <c r="D281" i="37" s="1"/>
  <c r="C281" i="11"/>
  <c r="C287" i="34"/>
  <c r="C166" i="11"/>
  <c r="C172" i="34"/>
  <c r="E166" i="33"/>
  <c r="D166" i="37" s="1"/>
  <c r="E261" i="33"/>
  <c r="D261" i="37" s="1"/>
  <c r="C261" i="11"/>
  <c r="C267" i="34"/>
  <c r="E170" i="33"/>
  <c r="D170" i="37" s="1"/>
  <c r="C170" i="11"/>
  <c r="C176" i="34"/>
  <c r="E224" i="33"/>
  <c r="D224" i="37" s="1"/>
  <c r="C224" i="11"/>
  <c r="C230" i="34"/>
  <c r="C73" i="11"/>
  <c r="C79" i="34"/>
  <c r="E73" i="33"/>
  <c r="D73" i="37" s="1"/>
  <c r="E96" i="33"/>
  <c r="D96" i="37" s="1"/>
  <c r="C96" i="11"/>
  <c r="C102" i="34"/>
  <c r="C94" i="11"/>
  <c r="C100" i="34"/>
  <c r="E94" i="33"/>
  <c r="D94" i="37" s="1"/>
  <c r="C243" i="11"/>
  <c r="C249" i="34"/>
  <c r="E243" i="33"/>
  <c r="D243" i="37" s="1"/>
  <c r="E293" i="33"/>
  <c r="D293" i="37" s="1"/>
  <c r="C293" i="11"/>
  <c r="C299" i="34"/>
  <c r="E249" i="33"/>
  <c r="D249" i="37" s="1"/>
  <c r="C249" i="11"/>
  <c r="C255" i="34"/>
  <c r="E265" i="33"/>
  <c r="D265" i="37" s="1"/>
  <c r="C265" i="11"/>
  <c r="C271" i="34"/>
  <c r="E186" i="33"/>
  <c r="D186" i="37" s="1"/>
  <c r="C186" i="11"/>
  <c r="C192" i="34"/>
  <c r="E232" i="33"/>
  <c r="D232" i="37" s="1"/>
  <c r="C232" i="11"/>
  <c r="C238" i="34"/>
  <c r="C105" i="11"/>
  <c r="C111" i="34"/>
  <c r="E105" i="33"/>
  <c r="D105" i="37" s="1"/>
  <c r="C222" i="11"/>
  <c r="C228" i="34"/>
  <c r="E222" i="33"/>
  <c r="D222" i="37" s="1"/>
  <c r="E132" i="33"/>
  <c r="D132" i="37" s="1"/>
  <c r="C132" i="11"/>
  <c r="C138" i="34"/>
  <c r="E288" i="33"/>
  <c r="D288" i="37" s="1"/>
  <c r="C288" i="11"/>
  <c r="C294" i="34"/>
  <c r="E91" i="33"/>
  <c r="D91" i="37" s="1"/>
  <c r="C91" i="11"/>
  <c r="C97" i="34"/>
  <c r="E14" i="33"/>
  <c r="D14" i="37" s="1"/>
  <c r="C14" i="11"/>
  <c r="C20" i="34"/>
  <c r="E16" i="33"/>
  <c r="D16" i="37" s="1"/>
  <c r="C16" i="11"/>
  <c r="C22" i="34"/>
  <c r="C66" i="11"/>
  <c r="C72" i="34"/>
  <c r="E66" i="33"/>
  <c r="D66" i="37" s="1"/>
  <c r="E71" i="33"/>
  <c r="D71" i="37" s="1"/>
  <c r="C71" i="11"/>
  <c r="C77" i="34"/>
  <c r="E104" i="33"/>
  <c r="D104" i="37" s="1"/>
  <c r="C104" i="11"/>
  <c r="C110" i="34"/>
  <c r="C50" i="11"/>
  <c r="C56" i="34"/>
  <c r="E50" i="33"/>
  <c r="D50" i="37" s="1"/>
  <c r="E272" i="33"/>
  <c r="D272" i="37" s="1"/>
  <c r="C272" i="11"/>
  <c r="C278" i="34"/>
  <c r="C255" i="11"/>
  <c r="C261" i="34"/>
  <c r="E255" i="33"/>
  <c r="D255" i="37" s="1"/>
  <c r="C299" i="11"/>
  <c r="C305" i="34"/>
  <c r="E299" i="33"/>
  <c r="D299" i="37" s="1"/>
  <c r="E256" i="33"/>
  <c r="D256" i="37" s="1"/>
  <c r="C256" i="11"/>
  <c r="C262" i="34"/>
  <c r="C251" i="11"/>
  <c r="C257" i="34"/>
  <c r="E251" i="33"/>
  <c r="D251" i="37" s="1"/>
  <c r="C86" i="11"/>
  <c r="C92" i="34"/>
  <c r="E86" i="33"/>
  <c r="D86" i="37" s="1"/>
  <c r="C97" i="11"/>
  <c r="C103" i="34"/>
  <c r="E97" i="33"/>
  <c r="D97" i="37" s="1"/>
  <c r="C182" i="11"/>
  <c r="C188" i="34"/>
  <c r="E182" i="33"/>
  <c r="D182" i="37" s="1"/>
  <c r="C83" i="11"/>
  <c r="C89" i="34"/>
  <c r="E83" i="33"/>
  <c r="D83" i="37" s="1"/>
  <c r="E260" i="33"/>
  <c r="D260" i="37" s="1"/>
  <c r="C260" i="11"/>
  <c r="C266" i="34"/>
  <c r="C106" i="11"/>
  <c r="C112" i="34"/>
  <c r="E106" i="33"/>
  <c r="D106" i="37" s="1"/>
  <c r="E154" i="33"/>
  <c r="D154" i="37" s="1"/>
  <c r="C154" i="11"/>
  <c r="C160" i="34"/>
  <c r="E162" i="33"/>
  <c r="D162" i="37" s="1"/>
  <c r="C162" i="11"/>
  <c r="C168" i="34"/>
  <c r="C56" i="11"/>
  <c r="C62" i="34"/>
  <c r="E56" i="33"/>
  <c r="D56" i="37" s="1"/>
  <c r="E30" i="33"/>
  <c r="D30" i="37" s="1"/>
  <c r="C30" i="11"/>
  <c r="C36" i="34"/>
  <c r="E32" i="33"/>
  <c r="D32" i="37" s="1"/>
  <c r="C32" i="11"/>
  <c r="C38" i="34"/>
  <c r="E257" i="33"/>
  <c r="D257" i="37" s="1"/>
  <c r="C257" i="11"/>
  <c r="C263" i="34"/>
  <c r="E284" i="33"/>
  <c r="D284" i="37" s="1"/>
  <c r="C284" i="11"/>
  <c r="C290" i="34"/>
  <c r="E116" i="33"/>
  <c r="D116" i="37" s="1"/>
  <c r="C116" i="11"/>
  <c r="C122" i="34"/>
  <c r="E236" i="33"/>
  <c r="D236" i="37" s="1"/>
  <c r="C236" i="11"/>
  <c r="C242" i="34"/>
  <c r="C109" i="11"/>
  <c r="C115" i="34"/>
  <c r="E109" i="33"/>
  <c r="D109" i="37" s="1"/>
  <c r="C90" i="11"/>
  <c r="C96" i="34"/>
  <c r="E90" i="33"/>
  <c r="D90" i="37" s="1"/>
  <c r="E215" i="33"/>
  <c r="D215" i="37" s="1"/>
  <c r="C215" i="11"/>
  <c r="C221" i="34"/>
  <c r="C210" i="11"/>
  <c r="C216" i="34"/>
  <c r="E210" i="33"/>
  <c r="D210" i="37" s="1"/>
  <c r="E8" i="33"/>
  <c r="D8" i="37" s="1"/>
  <c r="C8" i="11"/>
  <c r="C14" i="34"/>
  <c r="C84" i="11"/>
  <c r="C90" i="34"/>
  <c r="E84" i="33"/>
  <c r="D84" i="37" s="1"/>
  <c r="E126" i="33"/>
  <c r="D126" i="37" s="1"/>
  <c r="C126" i="11"/>
  <c r="C132" i="34"/>
  <c r="C164" i="11"/>
  <c r="C170" i="34"/>
  <c r="E164" i="33"/>
  <c r="D164" i="37" s="1"/>
  <c r="E225" i="33"/>
  <c r="D225" i="37" s="1"/>
  <c r="C225" i="11"/>
  <c r="C231" i="34"/>
  <c r="E72" i="33"/>
  <c r="D72" i="37" s="1"/>
  <c r="C72" i="11"/>
  <c r="C78" i="34"/>
  <c r="C235" i="11"/>
  <c r="C241" i="34"/>
  <c r="E235" i="33"/>
  <c r="D235" i="37" s="1"/>
  <c r="C18" i="11"/>
  <c r="C24" i="34"/>
  <c r="E18" i="33"/>
  <c r="D18" i="37" s="1"/>
  <c r="C12" i="11"/>
  <c r="C18" i="34"/>
  <c r="E12" i="33"/>
  <c r="D12" i="37" s="1"/>
  <c r="E40" i="33"/>
  <c r="D40" i="37" s="1"/>
  <c r="C40" i="11"/>
  <c r="C46" i="34"/>
  <c r="E264" i="33"/>
  <c r="D264" i="37" s="1"/>
  <c r="C264" i="11"/>
  <c r="C270" i="34"/>
  <c r="E123" i="33"/>
  <c r="D123" i="37" s="1"/>
  <c r="C123" i="11"/>
  <c r="C129" i="34"/>
  <c r="C20" i="11"/>
  <c r="C26" i="34"/>
  <c r="E20" i="33"/>
  <c r="D20" i="37" s="1"/>
  <c r="C26" i="11"/>
  <c r="C32" i="34"/>
  <c r="E26" i="33"/>
  <c r="D26" i="37" s="1"/>
  <c r="C172" i="11"/>
  <c r="C178" i="34"/>
  <c r="E172" i="33"/>
  <c r="D172" i="37" s="1"/>
  <c r="C244" i="11"/>
  <c r="C250" i="34"/>
  <c r="E244" i="33"/>
  <c r="D244" i="37" s="1"/>
  <c r="C122" i="11"/>
  <c r="C128" i="34"/>
  <c r="E122" i="33"/>
  <c r="D122" i="37" s="1"/>
  <c r="E88" i="33"/>
  <c r="D88" i="37" s="1"/>
  <c r="C88" i="11"/>
  <c r="C94" i="34"/>
  <c r="C58" i="11"/>
  <c r="C64" i="34"/>
  <c r="E58" i="33"/>
  <c r="D58" i="37" s="1"/>
  <c r="C85" i="11"/>
  <c r="C91" i="34"/>
  <c r="E85" i="33"/>
  <c r="D85" i="37" s="1"/>
  <c r="C158" i="11"/>
  <c r="C164" i="34"/>
  <c r="E158" i="33"/>
  <c r="D158" i="37" s="1"/>
  <c r="E140" i="33"/>
  <c r="D140" i="37" s="1"/>
  <c r="C140" i="11"/>
  <c r="C146" i="34"/>
  <c r="E305" i="33"/>
  <c r="D305" i="37" s="1"/>
  <c r="C305" i="11"/>
  <c r="C311" i="34"/>
  <c r="C111" i="11"/>
  <c r="C117" i="34"/>
  <c r="E111" i="33"/>
  <c r="D111" i="37" s="1"/>
  <c r="E219" i="33"/>
  <c r="D219" i="37" s="1"/>
  <c r="C219" i="11"/>
  <c r="C225" i="34"/>
  <c r="C65" i="11"/>
  <c r="C71" i="34"/>
  <c r="E65" i="33"/>
  <c r="D65" i="37" s="1"/>
  <c r="E118" i="33"/>
  <c r="D118" i="37" s="1"/>
  <c r="C118" i="11"/>
  <c r="C124" i="34"/>
  <c r="C263" i="11"/>
  <c r="C269" i="34"/>
  <c r="E263" i="33"/>
  <c r="D263" i="37" s="1"/>
  <c r="C221" i="11"/>
  <c r="C227" i="34"/>
  <c r="E221" i="33"/>
  <c r="D221" i="37" s="1"/>
  <c r="C198" i="11"/>
  <c r="C204" i="34"/>
  <c r="E198" i="33"/>
  <c r="D198" i="37" s="1"/>
  <c r="C34" i="11"/>
  <c r="C40" i="34"/>
  <c r="E34" i="33"/>
  <c r="D34" i="37" s="1"/>
  <c r="C93" i="11"/>
  <c r="C99" i="34"/>
  <c r="E93" i="33"/>
  <c r="D93" i="37" s="1"/>
  <c r="C174" i="11"/>
  <c r="C180" i="34"/>
  <c r="E174" i="33"/>
  <c r="D174" i="37" s="1"/>
  <c r="C79" i="11"/>
  <c r="C85" i="34"/>
  <c r="E79" i="33"/>
  <c r="D79" i="37" s="1"/>
  <c r="E252" i="33"/>
  <c r="D252" i="37" s="1"/>
  <c r="C252" i="11"/>
  <c r="C258" i="34"/>
  <c r="E242" i="33"/>
  <c r="D242" i="37" s="1"/>
  <c r="C242" i="11"/>
  <c r="C248" i="34"/>
  <c r="C278" i="11"/>
  <c r="C284" i="34"/>
  <c r="E278" i="33"/>
  <c r="D278" i="37" s="1"/>
  <c r="E148" i="33"/>
  <c r="D148" i="37" s="1"/>
  <c r="C148" i="11"/>
  <c r="C154" i="34"/>
  <c r="E228" i="33"/>
  <c r="D228" i="37" s="1"/>
  <c r="C228" i="11"/>
  <c r="C234" i="34"/>
  <c r="C270" i="11"/>
  <c r="C276" i="34"/>
  <c r="E270" i="33"/>
  <c r="D270" i="37" s="1"/>
  <c r="E276" i="33"/>
  <c r="D276" i="37" s="1"/>
  <c r="C276" i="11"/>
  <c r="C282" i="34"/>
  <c r="E297" i="33"/>
  <c r="D297" i="37" s="1"/>
  <c r="C297" i="11"/>
  <c r="C303" i="34"/>
  <c r="C239" i="11"/>
  <c r="C245" i="34"/>
  <c r="E239" i="33"/>
  <c r="D239" i="37" s="1"/>
  <c r="C214" i="11"/>
  <c r="C220" i="34"/>
  <c r="E214" i="33"/>
  <c r="D214" i="37" s="1"/>
  <c r="E301" i="33"/>
  <c r="D301" i="37" s="1"/>
  <c r="C301" i="11"/>
  <c r="C307" i="34"/>
  <c r="C70" i="11"/>
  <c r="C76" i="34"/>
  <c r="E70" i="33"/>
  <c r="D70" i="37" s="1"/>
  <c r="E52" i="33"/>
  <c r="D52" i="37" s="1"/>
  <c r="C52" i="11"/>
  <c r="C58" i="34"/>
  <c r="C46" i="11"/>
  <c r="C52" i="34"/>
  <c r="E46" i="33"/>
  <c r="D46" i="37" s="1"/>
  <c r="E48" i="33"/>
  <c r="D48" i="37" s="1"/>
  <c r="C48" i="11"/>
  <c r="C54" i="34"/>
  <c r="C103" i="11"/>
  <c r="C109" i="34"/>
  <c r="E103" i="33"/>
  <c r="D103" i="37" s="1"/>
  <c r="C82" i="11"/>
  <c r="C88" i="34"/>
  <c r="E82" i="33"/>
  <c r="D82" i="37" s="1"/>
  <c r="C87" i="11"/>
  <c r="C93" i="34"/>
  <c r="E87" i="33"/>
  <c r="D87" i="37" s="1"/>
  <c r="E268" i="33"/>
  <c r="D268" i="37" s="1"/>
  <c r="C268" i="11"/>
  <c r="C274" i="34"/>
  <c r="E233" i="33"/>
  <c r="D233" i="37" s="1"/>
  <c r="C233" i="11"/>
  <c r="C239" i="34"/>
  <c r="C291" i="11"/>
  <c r="C297" i="34"/>
  <c r="E291" i="33"/>
  <c r="D291" i="37" s="1"/>
  <c r="E273" i="33"/>
  <c r="D273" i="37" s="1"/>
  <c r="C273" i="11"/>
  <c r="C279" i="34"/>
  <c r="C262" i="11"/>
  <c r="C268" i="34"/>
  <c r="E262" i="33"/>
  <c r="D262" i="37" s="1"/>
  <c r="C266" i="11"/>
  <c r="C272" i="34"/>
  <c r="E266" i="33"/>
  <c r="D266" i="37" s="1"/>
  <c r="E134" i="33"/>
  <c r="D134" i="37" s="1"/>
  <c r="C134" i="11"/>
  <c r="C140" i="34"/>
  <c r="C28" i="11"/>
  <c r="C34" i="34"/>
  <c r="E28" i="33"/>
  <c r="D28" i="37" s="1"/>
  <c r="C42" i="11"/>
  <c r="C48" i="34"/>
  <c r="E42" i="33"/>
  <c r="D42" i="37" s="1"/>
  <c r="E99" i="33"/>
  <c r="D99" i="37" s="1"/>
  <c r="C99" i="11"/>
  <c r="C105" i="34"/>
  <c r="C180" i="11"/>
  <c r="C186" i="34"/>
  <c r="E180" i="33"/>
  <c r="D180" i="37" s="1"/>
  <c r="C130" i="11"/>
  <c r="C136" i="34"/>
  <c r="E130" i="33"/>
  <c r="D130" i="37" s="1"/>
  <c r="E196" i="33"/>
  <c r="D196" i="37" s="1"/>
  <c r="C196" i="11"/>
  <c r="C202" i="34"/>
  <c r="C206" i="11"/>
  <c r="C212" i="34"/>
  <c r="E206" i="33"/>
  <c r="D206" i="37" s="1"/>
  <c r="E245" i="33"/>
  <c r="D245" i="37" s="1"/>
  <c r="C245" i="11"/>
  <c r="C251" i="34"/>
  <c r="E204" i="33"/>
  <c r="D204" i="37" s="1"/>
  <c r="C204" i="11"/>
  <c r="C210" i="34"/>
  <c r="E194" i="33"/>
  <c r="D194" i="37" s="1"/>
  <c r="C194" i="11"/>
  <c r="C200" i="34"/>
  <c r="C213" i="11"/>
  <c r="C219" i="34"/>
  <c r="E213" i="33"/>
  <c r="D213" i="37" s="1"/>
  <c r="E142" i="33"/>
  <c r="D142" i="37" s="1"/>
  <c r="C142" i="11"/>
  <c r="C148" i="34"/>
  <c r="E60" i="33"/>
  <c r="D60" i="37" s="1"/>
  <c r="C60" i="11"/>
  <c r="C66" i="34"/>
  <c r="C101" i="11"/>
  <c r="C107" i="34"/>
  <c r="E101" i="33"/>
  <c r="D101" i="37" s="1"/>
  <c r="C98" i="11"/>
  <c r="C104" i="34"/>
  <c r="E98" i="33"/>
  <c r="D98" i="37" s="1"/>
  <c r="C247" i="11"/>
  <c r="C253" i="34"/>
  <c r="E247" i="33"/>
  <c r="D247" i="37" s="1"/>
  <c r="C287" i="11"/>
  <c r="C293" i="34"/>
  <c r="E287" i="33"/>
  <c r="D287" i="37" s="1"/>
  <c r="C155" i="11"/>
  <c r="C161" i="34"/>
  <c r="E155" i="33"/>
  <c r="D155" i="37" s="1"/>
  <c r="E22" i="33"/>
  <c r="D22" i="37" s="1"/>
  <c r="C22" i="11"/>
  <c r="C28" i="34"/>
  <c r="C202" i="11"/>
  <c r="C208" i="34"/>
  <c r="E202" i="33"/>
  <c r="D202" i="37" s="1"/>
  <c r="C240" i="11"/>
  <c r="C246" i="34"/>
  <c r="E240" i="33"/>
  <c r="D240" i="37" s="1"/>
  <c r="E24" i="33"/>
  <c r="D24" i="37" s="1"/>
  <c r="C24" i="11"/>
  <c r="C30" i="34"/>
  <c r="E80" i="33"/>
  <c r="D80" i="37" s="1"/>
  <c r="C80" i="11"/>
  <c r="C86" i="34"/>
  <c r="C78" i="11"/>
  <c r="C84" i="34"/>
  <c r="E78" i="33"/>
  <c r="D78" i="37" s="1"/>
  <c r="C227" i="11"/>
  <c r="C233" i="34"/>
  <c r="E227" i="33"/>
  <c r="D227" i="37" s="1"/>
  <c r="E253" i="33"/>
  <c r="D253" i="37" s="1"/>
  <c r="C253" i="11"/>
  <c r="C259" i="34"/>
  <c r="C146" i="11"/>
  <c r="C152" i="34"/>
  <c r="E146" i="33"/>
  <c r="D146" i="37" s="1"/>
  <c r="E280" i="33"/>
  <c r="D280" i="37" s="1"/>
  <c r="C280" i="11"/>
  <c r="C286" i="34"/>
  <c r="C248" i="11"/>
  <c r="C254" i="34"/>
  <c r="E248" i="33"/>
  <c r="D248" i="37" s="1"/>
  <c r="E208" i="33"/>
  <c r="D208" i="37" s="1"/>
  <c r="C208" i="11"/>
  <c r="C214" i="34"/>
  <c r="C258" i="11"/>
  <c r="C264" i="34"/>
  <c r="E258" i="33"/>
  <c r="D258" i="37" s="1"/>
  <c r="C147" i="11"/>
  <c r="C153" i="34"/>
  <c r="E147" i="33"/>
  <c r="D147" i="37" s="1"/>
  <c r="E76" i="33"/>
  <c r="D76" i="37" s="1"/>
  <c r="C76" i="11"/>
  <c r="C82" i="34"/>
  <c r="C223" i="11"/>
  <c r="C229" i="34"/>
  <c r="E223" i="33"/>
  <c r="D223" i="37" s="1"/>
  <c r="C156" i="11"/>
  <c r="C162" i="34"/>
  <c r="E156" i="33"/>
  <c r="D156" i="37" s="1"/>
  <c r="C216" i="11"/>
  <c r="C222" i="34"/>
  <c r="E216" i="33"/>
  <c r="D216" i="37" s="1"/>
  <c r="C114" i="11"/>
  <c r="C120" i="34"/>
  <c r="E114" i="33"/>
  <c r="D114" i="37" s="1"/>
  <c r="E178" i="33"/>
  <c r="D178" i="37" s="1"/>
  <c r="C178" i="11"/>
  <c r="C184" i="34"/>
  <c r="C188" i="11"/>
  <c r="C194" i="34"/>
  <c r="E188" i="33"/>
  <c r="D188" i="37" s="1"/>
  <c r="E269" i="33"/>
  <c r="D269" i="37" s="1"/>
  <c r="C269" i="11"/>
  <c r="C275" i="34"/>
  <c r="E277" i="33"/>
  <c r="D277" i="37" s="1"/>
  <c r="C277" i="11"/>
  <c r="C283" i="34"/>
  <c r="C77" i="11"/>
  <c r="C83" i="34"/>
  <c r="E77" i="33"/>
  <c r="D77" i="37" s="1"/>
  <c r="C54" i="11"/>
  <c r="C60" i="34"/>
  <c r="E54" i="33"/>
  <c r="D54" i="37" s="1"/>
  <c r="C36" i="11"/>
  <c r="C42" i="34"/>
  <c r="E36" i="33"/>
  <c r="D36" i="37" s="1"/>
  <c r="C190" i="11"/>
  <c r="C196" i="34"/>
  <c r="E190" i="33"/>
  <c r="D190" i="37" s="1"/>
  <c r="E124" i="33"/>
  <c r="D124" i="37" s="1"/>
  <c r="C124" i="11"/>
  <c r="C130" i="34"/>
  <c r="C283" i="11"/>
  <c r="C289" i="34"/>
  <c r="E283" i="33"/>
  <c r="D283" i="37" s="1"/>
  <c r="C81" i="11"/>
  <c r="C87" i="34"/>
  <c r="E81" i="33"/>
  <c r="D81" i="37" s="1"/>
  <c r="C150" i="11"/>
  <c r="C156" i="34"/>
  <c r="E150" i="33"/>
  <c r="D150" i="37" s="1"/>
  <c r="C67" i="11"/>
  <c r="C73" i="34"/>
  <c r="E67" i="33"/>
  <c r="D67" i="37" s="1"/>
  <c r="E108" i="33"/>
  <c r="D108" i="37" s="1"/>
  <c r="C108" i="11"/>
  <c r="C114" i="34"/>
  <c r="E44" i="33"/>
  <c r="D44" i="37" s="1"/>
  <c r="C44" i="11"/>
  <c r="C50" i="34"/>
  <c r="C10" i="11"/>
  <c r="C16" i="34"/>
  <c r="E10" i="33"/>
  <c r="D10" i="37" s="1"/>
  <c r="C295" i="11"/>
  <c r="C301" i="34"/>
  <c r="E295" i="33"/>
  <c r="D295" i="37" s="1"/>
  <c r="E92" i="33"/>
  <c r="D92" i="37" s="1"/>
  <c r="C92" i="11"/>
  <c r="C98" i="34"/>
  <c r="E100" i="33"/>
  <c r="D100" i="37" s="1"/>
  <c r="C100" i="11"/>
  <c r="C106" i="34"/>
  <c r="C209" i="11"/>
  <c r="C215" i="34"/>
  <c r="E209" i="33"/>
  <c r="D209" i="37" s="1"/>
  <c r="E68" i="33"/>
  <c r="D68" i="37" s="1"/>
  <c r="C68" i="11"/>
  <c r="C74" i="34"/>
  <c r="C217" i="11"/>
  <c r="C223" i="34"/>
  <c r="E217" i="33"/>
  <c r="D217" i="37" s="1"/>
  <c r="C279" i="11"/>
  <c r="C285" i="34"/>
  <c r="E279" i="33"/>
  <c r="D279" i="37" s="1"/>
  <c r="C286" i="11"/>
  <c r="C292" i="34"/>
  <c r="E286" i="33"/>
  <c r="D286" i="37" s="1"/>
  <c r="E237" i="33"/>
  <c r="D237" i="37" s="1"/>
  <c r="C237" i="11"/>
  <c r="C243" i="34"/>
  <c r="C187" i="11"/>
  <c r="C193" i="34"/>
  <c r="E187" i="33"/>
  <c r="D187" i="37" s="1"/>
  <c r="C138" i="11"/>
  <c r="C144" i="34"/>
  <c r="E138" i="33"/>
  <c r="D138" i="37" s="1"/>
  <c r="E75" i="33"/>
  <c r="D75" i="37" s="1"/>
  <c r="C75" i="11"/>
  <c r="C81" i="34"/>
  <c r="E38" i="33"/>
  <c r="D38" i="37" s="1"/>
  <c r="C38" i="11"/>
  <c r="C44" i="34"/>
  <c r="A7" i="49"/>
  <c r="B7" i="49"/>
  <c r="C7" i="49"/>
  <c r="I7" i="49" s="1"/>
  <c r="A8" i="49"/>
  <c r="B8" i="49"/>
  <c r="C8" i="49"/>
  <c r="A9" i="49"/>
  <c r="B9" i="49"/>
  <c r="C9" i="49"/>
  <c r="A10" i="49"/>
  <c r="B10" i="49"/>
  <c r="C10" i="49"/>
  <c r="A11" i="49"/>
  <c r="B11" i="49"/>
  <c r="C11" i="49"/>
  <c r="A12" i="49"/>
  <c r="B12" i="49"/>
  <c r="C12" i="49"/>
  <c r="A13" i="49"/>
  <c r="B13" i="49"/>
  <c r="C13" i="49"/>
  <c r="A14" i="49"/>
  <c r="B14" i="49"/>
  <c r="C14" i="49"/>
  <c r="I14" i="49" s="1"/>
  <c r="A15" i="49"/>
  <c r="B15" i="49"/>
  <c r="C15" i="49"/>
  <c r="A16" i="49"/>
  <c r="B16" i="49"/>
  <c r="C16" i="49"/>
  <c r="A17" i="49"/>
  <c r="B17" i="49"/>
  <c r="C17" i="49"/>
  <c r="A18" i="49"/>
  <c r="B18" i="49"/>
  <c r="C18" i="49"/>
  <c r="A19" i="49"/>
  <c r="B19" i="49"/>
  <c r="C19" i="49"/>
  <c r="A20" i="49"/>
  <c r="B20" i="49"/>
  <c r="C20" i="49"/>
  <c r="A21" i="49"/>
  <c r="B21" i="49"/>
  <c r="C21" i="49"/>
  <c r="A22" i="49"/>
  <c r="B22" i="49"/>
  <c r="C22" i="49"/>
  <c r="A23" i="49"/>
  <c r="B23" i="49"/>
  <c r="C23" i="49"/>
  <c r="A24" i="49"/>
  <c r="B24" i="49"/>
  <c r="C24" i="49"/>
  <c r="A25" i="49"/>
  <c r="B25" i="49"/>
  <c r="C25" i="49"/>
  <c r="A26" i="49"/>
  <c r="B26" i="49"/>
  <c r="C26" i="49"/>
  <c r="A27" i="49"/>
  <c r="B27" i="49"/>
  <c r="C27" i="49"/>
  <c r="A28" i="49"/>
  <c r="B28" i="49"/>
  <c r="C28" i="49"/>
  <c r="A29" i="49"/>
  <c r="B29" i="49"/>
  <c r="C29" i="49"/>
  <c r="A30" i="49"/>
  <c r="B30" i="49"/>
  <c r="C30" i="49"/>
  <c r="A31" i="49"/>
  <c r="B31" i="49"/>
  <c r="C31" i="49"/>
  <c r="A32" i="49"/>
  <c r="B32" i="49"/>
  <c r="C32" i="49"/>
  <c r="A33" i="49"/>
  <c r="B33" i="49"/>
  <c r="C33" i="49"/>
  <c r="A34" i="49"/>
  <c r="B34" i="49"/>
  <c r="C34" i="49"/>
  <c r="A35" i="49"/>
  <c r="B35" i="49"/>
  <c r="C35" i="49"/>
  <c r="A36" i="49"/>
  <c r="B36" i="49"/>
  <c r="C36" i="49"/>
  <c r="A37" i="49"/>
  <c r="B37" i="49"/>
  <c r="C37" i="49"/>
  <c r="A38" i="49"/>
  <c r="B38" i="49"/>
  <c r="C38" i="49"/>
  <c r="A39" i="49"/>
  <c r="B39" i="49"/>
  <c r="C39" i="49"/>
  <c r="A40" i="49"/>
  <c r="B40" i="49"/>
  <c r="C40" i="49"/>
  <c r="A41" i="49"/>
  <c r="B41" i="49"/>
  <c r="C41" i="49"/>
  <c r="A42" i="49"/>
  <c r="B42" i="49"/>
  <c r="C42" i="49"/>
  <c r="A43" i="49"/>
  <c r="B43" i="49"/>
  <c r="C43" i="49"/>
  <c r="A44" i="49"/>
  <c r="B44" i="49"/>
  <c r="C44" i="49"/>
  <c r="A45" i="49"/>
  <c r="B45" i="49"/>
  <c r="C45" i="49"/>
  <c r="A46" i="49"/>
  <c r="B46" i="49"/>
  <c r="C46" i="49"/>
  <c r="A47" i="49"/>
  <c r="B47" i="49"/>
  <c r="C47" i="49"/>
  <c r="A48" i="49"/>
  <c r="B48" i="49"/>
  <c r="C48" i="49"/>
  <c r="A49" i="49"/>
  <c r="B49" i="49"/>
  <c r="C49" i="49"/>
  <c r="A50" i="49"/>
  <c r="B50" i="49"/>
  <c r="C50" i="49"/>
  <c r="A51" i="49"/>
  <c r="B51" i="49"/>
  <c r="C51" i="49"/>
  <c r="A52" i="49"/>
  <c r="B52" i="49"/>
  <c r="C52" i="49"/>
  <c r="A53" i="49"/>
  <c r="B53" i="49"/>
  <c r="C53" i="49"/>
  <c r="A54" i="49"/>
  <c r="B54" i="49"/>
  <c r="C54" i="49"/>
  <c r="A55" i="49"/>
  <c r="B55" i="49"/>
  <c r="C55" i="49"/>
  <c r="A56" i="49"/>
  <c r="B56" i="49"/>
  <c r="C56" i="49"/>
  <c r="A57" i="49"/>
  <c r="B57" i="49"/>
  <c r="C57" i="49"/>
  <c r="A58" i="49"/>
  <c r="B58" i="49"/>
  <c r="C58" i="49"/>
  <c r="A59" i="49"/>
  <c r="B59" i="49"/>
  <c r="C59" i="49"/>
  <c r="A60" i="49"/>
  <c r="B60" i="49"/>
  <c r="C60" i="49"/>
  <c r="A61" i="49"/>
  <c r="B61" i="49"/>
  <c r="C61" i="49"/>
  <c r="A62" i="49"/>
  <c r="B62" i="49"/>
  <c r="C62" i="49"/>
  <c r="A63" i="49"/>
  <c r="B63" i="49"/>
  <c r="C63" i="49"/>
  <c r="A64" i="49"/>
  <c r="B64" i="49"/>
  <c r="C64" i="49"/>
  <c r="A65" i="49"/>
  <c r="B65" i="49"/>
  <c r="C65" i="49"/>
  <c r="A66" i="49"/>
  <c r="B66" i="49"/>
  <c r="C66" i="49"/>
  <c r="A67" i="49"/>
  <c r="B67" i="49"/>
  <c r="C67" i="49"/>
  <c r="A68" i="49"/>
  <c r="B68" i="49"/>
  <c r="A69" i="49"/>
  <c r="B69" i="49"/>
  <c r="C69" i="49"/>
  <c r="A70" i="49"/>
  <c r="B70" i="49"/>
  <c r="C70" i="49"/>
  <c r="A71" i="49"/>
  <c r="B71" i="49"/>
  <c r="C71" i="49"/>
  <c r="A72" i="49"/>
  <c r="B72" i="49"/>
  <c r="C72" i="49"/>
  <c r="A73" i="49"/>
  <c r="B73" i="49"/>
  <c r="C73" i="49"/>
  <c r="A74" i="49"/>
  <c r="B74" i="49"/>
  <c r="C74" i="49"/>
  <c r="A75" i="49"/>
  <c r="B75" i="49"/>
  <c r="C75" i="49"/>
  <c r="A76" i="49"/>
  <c r="B76" i="49"/>
  <c r="C76" i="49"/>
  <c r="A77" i="49"/>
  <c r="B77" i="49"/>
  <c r="C77" i="49"/>
  <c r="A78" i="49"/>
  <c r="B78" i="49"/>
  <c r="C78" i="49"/>
  <c r="A79" i="49"/>
  <c r="B79" i="49"/>
  <c r="C79" i="49"/>
  <c r="A80" i="49"/>
  <c r="B80" i="49"/>
  <c r="C80" i="49"/>
  <c r="A81" i="49"/>
  <c r="B81" i="49"/>
  <c r="C81" i="49"/>
  <c r="A82" i="49"/>
  <c r="B82" i="49"/>
  <c r="C82" i="49"/>
  <c r="A83" i="49"/>
  <c r="B83" i="49"/>
  <c r="C83" i="49"/>
  <c r="A84" i="49"/>
  <c r="B84" i="49"/>
  <c r="C84" i="49"/>
  <c r="A85" i="49"/>
  <c r="B85" i="49"/>
  <c r="C85" i="49"/>
  <c r="A86" i="49"/>
  <c r="B86" i="49"/>
  <c r="C86" i="49"/>
  <c r="A87" i="49"/>
  <c r="B87" i="49"/>
  <c r="C87" i="49"/>
  <c r="A88" i="49"/>
  <c r="B88" i="49"/>
  <c r="C88" i="49"/>
  <c r="A89" i="49"/>
  <c r="B89" i="49"/>
  <c r="C89" i="49"/>
  <c r="A90" i="49"/>
  <c r="B90" i="49"/>
  <c r="C90" i="49"/>
  <c r="A91" i="49"/>
  <c r="B91" i="49"/>
  <c r="C91" i="49"/>
  <c r="A92" i="49"/>
  <c r="B92" i="49"/>
  <c r="C92" i="49"/>
  <c r="A93" i="49"/>
  <c r="B93" i="49"/>
  <c r="C93" i="49"/>
  <c r="A94" i="49"/>
  <c r="B94" i="49"/>
  <c r="C94" i="49"/>
  <c r="A95" i="49"/>
  <c r="B95" i="49"/>
  <c r="C95" i="49"/>
  <c r="A96" i="49"/>
  <c r="B96" i="49"/>
  <c r="C96" i="49"/>
  <c r="A97" i="49"/>
  <c r="B97" i="49"/>
  <c r="C97" i="49"/>
  <c r="A98" i="49"/>
  <c r="B98" i="49"/>
  <c r="C98" i="49"/>
  <c r="A99" i="49"/>
  <c r="B99" i="49"/>
  <c r="C99" i="49"/>
  <c r="A100" i="49"/>
  <c r="B100" i="49"/>
  <c r="C100" i="49"/>
  <c r="A101" i="49"/>
  <c r="B101" i="49"/>
  <c r="C101" i="49"/>
  <c r="A102" i="49"/>
  <c r="B102" i="49"/>
  <c r="C102" i="49"/>
  <c r="A103" i="49"/>
  <c r="B103" i="49"/>
  <c r="C103" i="49"/>
  <c r="A104" i="49"/>
  <c r="B104" i="49"/>
  <c r="C104" i="49"/>
  <c r="A105" i="49"/>
  <c r="B105" i="49"/>
  <c r="C105" i="49"/>
  <c r="A106" i="49"/>
  <c r="B106" i="49"/>
  <c r="C106" i="49"/>
  <c r="I106" i="49" s="1"/>
  <c r="A107" i="49"/>
  <c r="B107" i="49"/>
  <c r="C107" i="49"/>
  <c r="A108" i="49"/>
  <c r="B108" i="49"/>
  <c r="C108" i="49"/>
  <c r="I108" i="49" s="1"/>
  <c r="A109" i="49"/>
  <c r="B109" i="49"/>
  <c r="C109" i="49"/>
  <c r="A110" i="49"/>
  <c r="B110" i="49"/>
  <c r="C110" i="49"/>
  <c r="A111" i="49"/>
  <c r="B111" i="49"/>
  <c r="C111" i="49"/>
  <c r="I111" i="49" s="1"/>
  <c r="A112" i="49"/>
  <c r="B112" i="49"/>
  <c r="C112" i="49"/>
  <c r="A113" i="49"/>
  <c r="B113" i="49"/>
  <c r="C113" i="49"/>
  <c r="I113" i="49" s="1"/>
  <c r="A114" i="49"/>
  <c r="B114" i="49"/>
  <c r="C114" i="49"/>
  <c r="I114" i="49" s="1"/>
  <c r="A115" i="49"/>
  <c r="B115" i="49"/>
  <c r="C115" i="49"/>
  <c r="I115" i="49" s="1"/>
  <c r="A116" i="49"/>
  <c r="B116" i="49"/>
  <c r="C116" i="49"/>
  <c r="I116" i="49" s="1"/>
  <c r="A117" i="49"/>
  <c r="B117" i="49"/>
  <c r="C117" i="49"/>
  <c r="A118" i="49"/>
  <c r="B118" i="49"/>
  <c r="C118" i="49"/>
  <c r="I118" i="49" s="1"/>
  <c r="A119" i="49"/>
  <c r="B119" i="49"/>
  <c r="C119" i="49"/>
  <c r="A120" i="49"/>
  <c r="B120" i="49"/>
  <c r="C120" i="49"/>
  <c r="I120" i="49" s="1"/>
  <c r="A121" i="49"/>
  <c r="B121" i="49"/>
  <c r="C121" i="49"/>
  <c r="I121" i="49" s="1"/>
  <c r="A122" i="49"/>
  <c r="B122" i="49"/>
  <c r="C122" i="49"/>
  <c r="I122" i="49" s="1"/>
  <c r="A123" i="49"/>
  <c r="B123" i="49"/>
  <c r="C123" i="49"/>
  <c r="I123" i="49" s="1"/>
  <c r="A124" i="49"/>
  <c r="B124" i="49"/>
  <c r="C124" i="49"/>
  <c r="I124" i="49" s="1"/>
  <c r="A125" i="49"/>
  <c r="B125" i="49"/>
  <c r="C125" i="49"/>
  <c r="I125" i="49" s="1"/>
  <c r="A126" i="49"/>
  <c r="B126" i="49"/>
  <c r="C126" i="49"/>
  <c r="A127" i="49"/>
  <c r="B127" i="49"/>
  <c r="C127" i="49"/>
  <c r="A128" i="49"/>
  <c r="B128" i="49"/>
  <c r="C128" i="49"/>
  <c r="I128" i="49" s="1"/>
  <c r="A129" i="49"/>
  <c r="B129" i="49"/>
  <c r="C129" i="49"/>
  <c r="I129" i="49" s="1"/>
  <c r="A130" i="49"/>
  <c r="B130" i="49"/>
  <c r="C130" i="49"/>
  <c r="I130" i="49" s="1"/>
  <c r="A131" i="49"/>
  <c r="B131" i="49"/>
  <c r="C131" i="49"/>
  <c r="A132" i="49"/>
  <c r="B132" i="49"/>
  <c r="C132" i="49"/>
  <c r="A133" i="49"/>
  <c r="B133" i="49"/>
  <c r="C133" i="49"/>
  <c r="A134" i="49"/>
  <c r="B134" i="49"/>
  <c r="C134" i="49"/>
  <c r="A135" i="49"/>
  <c r="B135" i="49"/>
  <c r="C135" i="49"/>
  <c r="A136" i="49"/>
  <c r="B136" i="49"/>
  <c r="C136" i="49"/>
  <c r="A137" i="49"/>
  <c r="B137" i="49"/>
  <c r="C137" i="49"/>
  <c r="I137" i="49" s="1"/>
  <c r="A138" i="49"/>
  <c r="B138" i="49"/>
  <c r="C138" i="49"/>
  <c r="A139" i="49"/>
  <c r="B139" i="49"/>
  <c r="C139" i="49"/>
  <c r="A140" i="49"/>
  <c r="B140" i="49"/>
  <c r="C140" i="49"/>
  <c r="A141" i="49"/>
  <c r="B141" i="49"/>
  <c r="C141" i="49"/>
  <c r="A142" i="49"/>
  <c r="B142" i="49"/>
  <c r="C142" i="49"/>
  <c r="I142" i="49" s="1"/>
  <c r="A143" i="49"/>
  <c r="B143" i="49"/>
  <c r="C143" i="49"/>
  <c r="I143" i="49" s="1"/>
  <c r="A144" i="49"/>
  <c r="B144" i="49"/>
  <c r="C144" i="49"/>
  <c r="I144" i="49" s="1"/>
  <c r="A145" i="49"/>
  <c r="B145" i="49"/>
  <c r="C145" i="49"/>
  <c r="A146" i="49"/>
  <c r="B146" i="49"/>
  <c r="C146" i="49"/>
  <c r="I146" i="49" s="1"/>
  <c r="A147" i="49"/>
  <c r="B147" i="49"/>
  <c r="C147" i="49"/>
  <c r="I147" i="49" s="1"/>
  <c r="A148" i="49"/>
  <c r="B148" i="49"/>
  <c r="C148" i="49"/>
  <c r="I148" i="49" s="1"/>
  <c r="A149" i="49"/>
  <c r="B149" i="49"/>
  <c r="C149" i="49"/>
  <c r="A150" i="49"/>
  <c r="B150" i="49"/>
  <c r="C150" i="49"/>
  <c r="I150" i="49" s="1"/>
  <c r="A151" i="49"/>
  <c r="B151" i="49"/>
  <c r="C151" i="49"/>
  <c r="A152" i="49"/>
  <c r="B152" i="49"/>
  <c r="C152" i="49"/>
  <c r="A153" i="49"/>
  <c r="B153" i="49"/>
  <c r="C153" i="49"/>
  <c r="A154" i="49"/>
  <c r="B154" i="49"/>
  <c r="C154" i="49"/>
  <c r="A155" i="49"/>
  <c r="B155" i="49"/>
  <c r="A156" i="49"/>
  <c r="B156" i="49"/>
  <c r="C156" i="49"/>
  <c r="A157" i="49"/>
  <c r="B157" i="49"/>
  <c r="C157" i="49"/>
  <c r="A158" i="49"/>
  <c r="B158" i="49"/>
  <c r="C158" i="49"/>
  <c r="A159" i="49"/>
  <c r="B159" i="49"/>
  <c r="C159" i="49"/>
  <c r="A160" i="49"/>
  <c r="B160" i="49"/>
  <c r="C160" i="49"/>
  <c r="A161" i="49"/>
  <c r="B161" i="49"/>
  <c r="C161" i="49"/>
  <c r="A162" i="49"/>
  <c r="B162" i="49"/>
  <c r="C162" i="49"/>
  <c r="A163" i="49"/>
  <c r="B163" i="49"/>
  <c r="C163" i="49"/>
  <c r="A164" i="49"/>
  <c r="B164" i="49"/>
  <c r="C164" i="49"/>
  <c r="A165" i="49"/>
  <c r="B165" i="49"/>
  <c r="C165" i="49"/>
  <c r="A166" i="49"/>
  <c r="B166" i="49"/>
  <c r="C166" i="49"/>
  <c r="A167" i="49"/>
  <c r="B167" i="49"/>
  <c r="C167" i="49"/>
  <c r="A168" i="49"/>
  <c r="B168" i="49"/>
  <c r="C168" i="49"/>
  <c r="A169" i="49"/>
  <c r="B169" i="49"/>
  <c r="C169" i="49"/>
  <c r="A170" i="49"/>
  <c r="B170" i="49"/>
  <c r="C170" i="49"/>
  <c r="A171" i="49"/>
  <c r="B171" i="49"/>
  <c r="C171" i="49"/>
  <c r="A172" i="49"/>
  <c r="B172" i="49"/>
  <c r="C172" i="49"/>
  <c r="A173" i="49"/>
  <c r="B173" i="49"/>
  <c r="C173" i="49"/>
  <c r="A174" i="49"/>
  <c r="B174" i="49"/>
  <c r="C174" i="49"/>
  <c r="A175" i="49"/>
  <c r="B175" i="49"/>
  <c r="C175" i="49"/>
  <c r="A176" i="49"/>
  <c r="B176" i="49"/>
  <c r="C176" i="49"/>
  <c r="A177" i="49"/>
  <c r="B177" i="49"/>
  <c r="C177" i="49"/>
  <c r="A178" i="49"/>
  <c r="B178" i="49"/>
  <c r="C178" i="49"/>
  <c r="A179" i="49"/>
  <c r="B179" i="49"/>
  <c r="C179" i="49"/>
  <c r="A180" i="49"/>
  <c r="B180" i="49"/>
  <c r="C180" i="49"/>
  <c r="A181" i="49"/>
  <c r="B181" i="49"/>
  <c r="C181" i="49"/>
  <c r="A182" i="49"/>
  <c r="B182" i="49"/>
  <c r="C182" i="49"/>
  <c r="A183" i="49"/>
  <c r="B183" i="49"/>
  <c r="C183" i="49"/>
  <c r="A184" i="49"/>
  <c r="B184" i="49"/>
  <c r="C184" i="49"/>
  <c r="I184" i="49" s="1"/>
  <c r="A185" i="49"/>
  <c r="B185" i="49"/>
  <c r="C185" i="49"/>
  <c r="A186" i="49"/>
  <c r="B186" i="49"/>
  <c r="C186" i="49"/>
  <c r="A187" i="49"/>
  <c r="B187" i="49"/>
  <c r="C187" i="49"/>
  <c r="A188" i="49"/>
  <c r="B188" i="49"/>
  <c r="C188" i="49"/>
  <c r="A189" i="49"/>
  <c r="B189" i="49"/>
  <c r="C189" i="49"/>
  <c r="A190" i="49"/>
  <c r="B190" i="49"/>
  <c r="C190" i="49"/>
  <c r="A191" i="49"/>
  <c r="B191" i="49"/>
  <c r="C191" i="49"/>
  <c r="A192" i="49"/>
  <c r="B192" i="49"/>
  <c r="C192" i="49"/>
  <c r="A193" i="49"/>
  <c r="B193" i="49"/>
  <c r="C193" i="49"/>
  <c r="A194" i="49"/>
  <c r="B194" i="49"/>
  <c r="C194" i="49"/>
  <c r="A195" i="49"/>
  <c r="B195" i="49"/>
  <c r="C195" i="49"/>
  <c r="I195" i="49" s="1"/>
  <c r="A196" i="49"/>
  <c r="B196" i="49"/>
  <c r="C196" i="49"/>
  <c r="I196" i="49" s="1"/>
  <c r="A197" i="49"/>
  <c r="B197" i="49"/>
  <c r="C197" i="49"/>
  <c r="A198" i="49"/>
  <c r="B198" i="49"/>
  <c r="C198" i="49"/>
  <c r="A199" i="49"/>
  <c r="B199" i="49"/>
  <c r="C199" i="49"/>
  <c r="A200" i="49"/>
  <c r="B200" i="49"/>
  <c r="C200" i="49"/>
  <c r="A201" i="49"/>
  <c r="B201" i="49"/>
  <c r="C201" i="49"/>
  <c r="A202" i="49"/>
  <c r="B202" i="49"/>
  <c r="C202" i="49"/>
  <c r="A203" i="49"/>
  <c r="B203" i="49"/>
  <c r="C203" i="49"/>
  <c r="A204" i="49"/>
  <c r="B204" i="49"/>
  <c r="C204" i="49"/>
  <c r="A205" i="49"/>
  <c r="B205" i="49"/>
  <c r="C205" i="49"/>
  <c r="A206" i="49"/>
  <c r="B206" i="49"/>
  <c r="C206" i="49"/>
  <c r="A207" i="49"/>
  <c r="B207" i="49"/>
  <c r="C207" i="49"/>
  <c r="A208" i="49"/>
  <c r="B208" i="49"/>
  <c r="C208" i="49"/>
  <c r="A209" i="49"/>
  <c r="B209" i="49"/>
  <c r="C209" i="49"/>
  <c r="A210" i="49"/>
  <c r="B210" i="49"/>
  <c r="C210" i="49"/>
  <c r="A211" i="49"/>
  <c r="B211" i="49"/>
  <c r="C211" i="49"/>
  <c r="A212" i="49"/>
  <c r="B212" i="49"/>
  <c r="C212" i="49"/>
  <c r="A213" i="49"/>
  <c r="B213" i="49"/>
  <c r="C213" i="49"/>
  <c r="A214" i="49"/>
  <c r="B214" i="49"/>
  <c r="C214" i="49"/>
  <c r="A215" i="49"/>
  <c r="B215" i="49"/>
  <c r="C215" i="49"/>
  <c r="A216" i="49"/>
  <c r="B216" i="49"/>
  <c r="C216" i="49"/>
  <c r="A217" i="49"/>
  <c r="B217" i="49"/>
  <c r="C217" i="49"/>
  <c r="A218" i="49"/>
  <c r="B218" i="49"/>
  <c r="C218" i="49"/>
  <c r="A219" i="49"/>
  <c r="B219" i="49"/>
  <c r="C219" i="49"/>
  <c r="A220" i="49"/>
  <c r="B220" i="49"/>
  <c r="C220" i="49"/>
  <c r="A221" i="49"/>
  <c r="B221" i="49"/>
  <c r="C221" i="49"/>
  <c r="A222" i="49"/>
  <c r="B222" i="49"/>
  <c r="C222" i="49"/>
  <c r="A223" i="49"/>
  <c r="B223" i="49"/>
  <c r="C223" i="49"/>
  <c r="A224" i="49"/>
  <c r="B224" i="49"/>
  <c r="C224" i="49"/>
  <c r="A225" i="49"/>
  <c r="B225" i="49"/>
  <c r="C225" i="49"/>
  <c r="A226" i="49"/>
  <c r="B226" i="49"/>
  <c r="C226" i="49"/>
  <c r="A227" i="49"/>
  <c r="B227" i="49"/>
  <c r="C227" i="49"/>
  <c r="A228" i="49"/>
  <c r="B228" i="49"/>
  <c r="C228" i="49"/>
  <c r="A229" i="49"/>
  <c r="B229" i="49"/>
  <c r="C229" i="49"/>
  <c r="A230" i="49"/>
  <c r="B230" i="49"/>
  <c r="C230" i="49"/>
  <c r="A231" i="49"/>
  <c r="B231" i="49"/>
  <c r="C231" i="49"/>
  <c r="A232" i="49"/>
  <c r="B232" i="49"/>
  <c r="C232" i="49"/>
  <c r="A233" i="49"/>
  <c r="B233" i="49"/>
  <c r="C233" i="49"/>
  <c r="A234" i="49"/>
  <c r="B234" i="49"/>
  <c r="C234" i="49"/>
  <c r="A235" i="49"/>
  <c r="B235" i="49"/>
  <c r="A236" i="49"/>
  <c r="B236" i="49"/>
  <c r="C236" i="49"/>
  <c r="A237" i="49"/>
  <c r="B237" i="49"/>
  <c r="C237" i="49"/>
  <c r="A238" i="49"/>
  <c r="B238" i="49"/>
  <c r="C238" i="49"/>
  <c r="A239" i="49"/>
  <c r="B239" i="49"/>
  <c r="C239" i="49"/>
  <c r="A240" i="49"/>
  <c r="B240" i="49"/>
  <c r="C240" i="49"/>
  <c r="A241" i="49"/>
  <c r="B241" i="49"/>
  <c r="C241" i="49"/>
  <c r="A242" i="49"/>
  <c r="B242" i="49"/>
  <c r="C242" i="49"/>
  <c r="A243" i="49"/>
  <c r="B243" i="49"/>
  <c r="C243" i="49"/>
  <c r="A244" i="49"/>
  <c r="B244" i="49"/>
  <c r="C244" i="49"/>
  <c r="A245" i="49"/>
  <c r="B245" i="49"/>
  <c r="C245" i="49"/>
  <c r="A246" i="49"/>
  <c r="B246" i="49"/>
  <c r="C246" i="49"/>
  <c r="A247" i="49"/>
  <c r="B247" i="49"/>
  <c r="C247" i="49"/>
  <c r="A248" i="49"/>
  <c r="B248" i="49"/>
  <c r="C248" i="49"/>
  <c r="A249" i="49"/>
  <c r="B249" i="49"/>
  <c r="C249" i="49"/>
  <c r="A250" i="49"/>
  <c r="B250" i="49"/>
  <c r="C250" i="49"/>
  <c r="A251" i="49"/>
  <c r="B251" i="49"/>
  <c r="C251" i="49"/>
  <c r="A252" i="49"/>
  <c r="B252" i="49"/>
  <c r="C252" i="49"/>
  <c r="A253" i="49"/>
  <c r="B253" i="49"/>
  <c r="C253" i="49"/>
  <c r="A254" i="49"/>
  <c r="B254" i="49"/>
  <c r="C254" i="49"/>
  <c r="A255" i="49"/>
  <c r="B255" i="49"/>
  <c r="C255" i="49"/>
  <c r="A256" i="49"/>
  <c r="B256" i="49"/>
  <c r="C256" i="49"/>
  <c r="A257" i="49"/>
  <c r="B257" i="49"/>
  <c r="C257" i="49"/>
  <c r="A258" i="49"/>
  <c r="B258" i="49"/>
  <c r="C258" i="49"/>
  <c r="A259" i="49"/>
  <c r="B259" i="49"/>
  <c r="C259" i="49"/>
  <c r="A260" i="49"/>
  <c r="B260" i="49"/>
  <c r="C260" i="49"/>
  <c r="A261" i="49"/>
  <c r="B261" i="49"/>
  <c r="C261" i="49"/>
  <c r="A262" i="49"/>
  <c r="B262" i="49"/>
  <c r="C262" i="49"/>
  <c r="A263" i="49"/>
  <c r="B263" i="49"/>
  <c r="C263" i="49"/>
  <c r="A264" i="49"/>
  <c r="B264" i="49"/>
  <c r="C264" i="49"/>
  <c r="A265" i="49"/>
  <c r="B265" i="49"/>
  <c r="C265" i="49"/>
  <c r="A266" i="49"/>
  <c r="B266" i="49"/>
  <c r="C266" i="49"/>
  <c r="A267" i="49"/>
  <c r="B267" i="49"/>
  <c r="C267" i="49"/>
  <c r="I267" i="49" s="1"/>
  <c r="A268" i="49"/>
  <c r="B268" i="49"/>
  <c r="C268" i="49"/>
  <c r="I268" i="49" s="1"/>
  <c r="A269" i="49"/>
  <c r="B269" i="49"/>
  <c r="C269" i="49"/>
  <c r="I269" i="49" s="1"/>
  <c r="A270" i="49"/>
  <c r="B270" i="49"/>
  <c r="C270" i="49"/>
  <c r="I270" i="49" s="1"/>
  <c r="A271" i="49"/>
  <c r="B271" i="49"/>
  <c r="C271" i="49"/>
  <c r="I271" i="49" s="1"/>
  <c r="A272" i="49"/>
  <c r="B272" i="49"/>
  <c r="C272" i="49"/>
  <c r="I272" i="49" s="1"/>
  <c r="A273" i="49"/>
  <c r="B273" i="49"/>
  <c r="C273" i="49"/>
  <c r="I273" i="49" s="1"/>
  <c r="A274" i="49"/>
  <c r="B274" i="49"/>
  <c r="C274" i="49"/>
  <c r="I274" i="49" s="1"/>
  <c r="A275" i="49"/>
  <c r="B275" i="49"/>
  <c r="A276" i="49"/>
  <c r="B276" i="49"/>
  <c r="C276" i="49"/>
  <c r="A277" i="49"/>
  <c r="B277" i="49"/>
  <c r="C277" i="49"/>
  <c r="A278" i="49"/>
  <c r="B278" i="49"/>
  <c r="C278" i="49"/>
  <c r="I278" i="49" s="1"/>
  <c r="A279" i="49"/>
  <c r="B279" i="49"/>
  <c r="C279" i="49"/>
  <c r="A280" i="49"/>
  <c r="B280" i="49"/>
  <c r="C280" i="49"/>
  <c r="A281" i="49"/>
  <c r="B281" i="49"/>
  <c r="C281" i="49"/>
  <c r="A282" i="49"/>
  <c r="B282" i="49"/>
  <c r="C282" i="49"/>
  <c r="I282" i="49" s="1"/>
  <c r="A283" i="49"/>
  <c r="B283" i="49"/>
  <c r="C283" i="49"/>
  <c r="A284" i="49"/>
  <c r="B284" i="49"/>
  <c r="C284" i="49"/>
  <c r="A285" i="49"/>
  <c r="B285" i="49"/>
  <c r="C285" i="49"/>
  <c r="A286" i="49"/>
  <c r="B286" i="49"/>
  <c r="C286" i="49"/>
  <c r="A287" i="49"/>
  <c r="B287" i="49"/>
  <c r="C287" i="49"/>
  <c r="I287" i="49" s="1"/>
  <c r="A288" i="49"/>
  <c r="B288" i="49"/>
  <c r="C288" i="49"/>
  <c r="I288" i="49" s="1"/>
  <c r="A289" i="49"/>
  <c r="B289" i="49"/>
  <c r="C289" i="49"/>
  <c r="A290" i="49"/>
  <c r="B290" i="49"/>
  <c r="C290" i="49"/>
  <c r="A291" i="49"/>
  <c r="B291" i="49"/>
  <c r="C291" i="49"/>
  <c r="A292" i="49"/>
  <c r="B292" i="49"/>
  <c r="C292" i="49"/>
  <c r="A293" i="49"/>
  <c r="B293" i="49"/>
  <c r="C293" i="49"/>
  <c r="A294" i="49"/>
  <c r="B294" i="49"/>
  <c r="C294" i="49"/>
  <c r="I294" i="49" s="1"/>
  <c r="A295" i="49"/>
  <c r="B295" i="49"/>
  <c r="C295" i="49"/>
  <c r="A296" i="49"/>
  <c r="B296" i="49"/>
  <c r="C296" i="49"/>
  <c r="I296" i="49" s="1"/>
  <c r="A297" i="49"/>
  <c r="B297" i="49"/>
  <c r="C297" i="49"/>
  <c r="I297" i="49" s="1"/>
  <c r="A298" i="49"/>
  <c r="B298" i="49"/>
  <c r="C298" i="49"/>
  <c r="I298" i="49" s="1"/>
  <c r="A299" i="49"/>
  <c r="B299" i="49"/>
  <c r="C299" i="49"/>
  <c r="A300" i="49"/>
  <c r="B300" i="49"/>
  <c r="C300" i="49"/>
  <c r="A301" i="49"/>
  <c r="B301" i="49"/>
  <c r="C301" i="49"/>
  <c r="A302" i="49"/>
  <c r="B302" i="49"/>
  <c r="C302" i="49"/>
  <c r="A303" i="49"/>
  <c r="B303" i="49"/>
  <c r="C303" i="49"/>
  <c r="A304" i="49"/>
  <c r="B304" i="49"/>
  <c r="C304" i="49"/>
  <c r="I304" i="49" s="1"/>
  <c r="A305" i="49"/>
  <c r="B305" i="49"/>
  <c r="C305" i="49"/>
  <c r="AJ68" i="42"/>
  <c r="AR68" i="42"/>
  <c r="C68" i="49" s="1"/>
  <c r="AJ235" i="42"/>
  <c r="C235" i="49"/>
  <c r="AL235" i="42" l="1"/>
  <c r="AD235" i="42"/>
  <c r="AL68" i="42"/>
  <c r="AD68" i="42"/>
  <c r="AR155" i="42"/>
  <c r="C155" i="49" s="1"/>
  <c r="AJ155" i="42"/>
  <c r="C275" i="49"/>
  <c r="I275" i="49" s="1"/>
  <c r="AK149" i="42" l="1"/>
  <c r="AE64" i="42"/>
  <c r="AK25" i="42"/>
  <c r="AK296" i="42"/>
  <c r="AC190" i="42"/>
  <c r="AC160" i="42"/>
  <c r="AC19" i="42"/>
  <c r="AE230" i="42"/>
  <c r="AE192" i="42"/>
  <c r="AC59" i="42"/>
  <c r="AC188" i="42"/>
  <c r="AC180" i="42"/>
  <c r="AE198" i="42"/>
  <c r="AC27" i="42"/>
  <c r="AM35" i="42"/>
  <c r="AC133" i="42"/>
  <c r="AD155" i="42"/>
  <c r="AK224" i="42"/>
  <c r="AC224" i="42"/>
  <c r="AM224" i="42"/>
  <c r="AE224" i="42"/>
  <c r="AK266" i="42"/>
  <c r="AC266" i="42"/>
  <c r="AE266" i="42"/>
  <c r="AM266" i="42"/>
  <c r="AK63" i="42"/>
  <c r="AC63" i="42"/>
  <c r="AE63" i="42"/>
  <c r="AM63" i="42"/>
  <c r="AK158" i="42"/>
  <c r="AC158" i="42"/>
  <c r="AE158" i="42"/>
  <c r="AM158" i="42"/>
  <c r="AK182" i="42"/>
  <c r="AC182" i="42"/>
  <c r="AE182" i="42"/>
  <c r="AM182" i="42"/>
  <c r="AK156" i="42"/>
  <c r="AM156" i="42"/>
  <c r="AC156" i="42"/>
  <c r="AE156" i="42"/>
  <c r="AK172" i="42"/>
  <c r="AM172" i="42"/>
  <c r="AE172" i="42"/>
  <c r="AC172" i="42"/>
  <c r="AK176" i="42"/>
  <c r="AC176" i="42"/>
  <c r="AM176" i="42"/>
  <c r="AE176" i="42"/>
  <c r="AK240" i="42"/>
  <c r="AC240" i="42"/>
  <c r="AE240" i="42"/>
  <c r="AM240" i="42"/>
  <c r="AK300" i="42"/>
  <c r="AC300" i="42"/>
  <c r="AE300" i="42"/>
  <c r="AM300" i="42"/>
  <c r="AK184" i="42"/>
  <c r="AC184" i="42"/>
  <c r="AE184" i="42"/>
  <c r="AM184" i="42"/>
  <c r="AK220" i="42"/>
  <c r="AC220" i="42"/>
  <c r="AE220" i="42"/>
  <c r="AM220" i="42"/>
  <c r="AK141" i="42"/>
  <c r="AM141" i="42"/>
  <c r="AC141" i="42"/>
  <c r="AE141" i="42"/>
  <c r="AK206" i="42"/>
  <c r="AE206" i="42"/>
  <c r="AC206" i="42"/>
  <c r="AM206" i="42"/>
  <c r="AK270" i="42"/>
  <c r="AC270" i="42"/>
  <c r="AE270" i="42"/>
  <c r="AM270" i="42"/>
  <c r="AK164" i="42"/>
  <c r="AM164" i="42"/>
  <c r="AC164" i="42"/>
  <c r="AE164" i="42"/>
  <c r="AK37" i="42"/>
  <c r="AC37" i="42"/>
  <c r="AE37" i="42"/>
  <c r="AM37" i="42"/>
  <c r="AD275" i="42"/>
  <c r="AK23" i="42"/>
  <c r="AC23" i="42"/>
  <c r="AE23" i="42"/>
  <c r="AM23" i="42"/>
  <c r="AK31" i="42"/>
  <c r="AC31" i="42"/>
  <c r="AE31" i="42"/>
  <c r="AM31" i="42"/>
  <c r="AK39" i="42"/>
  <c r="AC39" i="42"/>
  <c r="AE39" i="42"/>
  <c r="AM39" i="42"/>
  <c r="AK190" i="42"/>
  <c r="AE190" i="42"/>
  <c r="AK280" i="42"/>
  <c r="AC280" i="42"/>
  <c r="AE280" i="42"/>
  <c r="AM280" i="42"/>
  <c r="AK282" i="42"/>
  <c r="AC282" i="42"/>
  <c r="AE282" i="42"/>
  <c r="AM282" i="42"/>
  <c r="AK304" i="42"/>
  <c r="AC304" i="42"/>
  <c r="AE304" i="42"/>
  <c r="AM304" i="42"/>
  <c r="AK160" i="42"/>
  <c r="AK196" i="42"/>
  <c r="AC196" i="42"/>
  <c r="AE196" i="42"/>
  <c r="AM196" i="42"/>
  <c r="AK216" i="42"/>
  <c r="AC216" i="42"/>
  <c r="AM216" i="42"/>
  <c r="AE216" i="42"/>
  <c r="AK254" i="42"/>
  <c r="AC254" i="42"/>
  <c r="AM254" i="42"/>
  <c r="AE254" i="42"/>
  <c r="AK166" i="42"/>
  <c r="AC166" i="42"/>
  <c r="AE166" i="42"/>
  <c r="AM166" i="42"/>
  <c r="AK226" i="42"/>
  <c r="AE226" i="42"/>
  <c r="AK51" i="42"/>
  <c r="AM51" i="42"/>
  <c r="AC51" i="42"/>
  <c r="AE51" i="42"/>
  <c r="AK208" i="42"/>
  <c r="AC208" i="42"/>
  <c r="AE208" i="42"/>
  <c r="AM208" i="42"/>
  <c r="AK9" i="42"/>
  <c r="AC9" i="42"/>
  <c r="AE9" i="42"/>
  <c r="AM9" i="42"/>
  <c r="AL275" i="42"/>
  <c r="AK55" i="42"/>
  <c r="AC55" i="42"/>
  <c r="AE55" i="42"/>
  <c r="AM55" i="42"/>
  <c r="AK284" i="42"/>
  <c r="AC284" i="42"/>
  <c r="AE284" i="42"/>
  <c r="AM284" i="42"/>
  <c r="AM278" i="42"/>
  <c r="AK278" i="42"/>
  <c r="AE278" i="42"/>
  <c r="AC278" i="42"/>
  <c r="AK145" i="42"/>
  <c r="AC145" i="42"/>
  <c r="AM145" i="42"/>
  <c r="AE145" i="42"/>
  <c r="AE222" i="42"/>
  <c r="AE149" i="42"/>
  <c r="AL155" i="42"/>
  <c r="AK27" i="42"/>
  <c r="AM27" i="42"/>
  <c r="AK194" i="42"/>
  <c r="AC194" i="42"/>
  <c r="AM194" i="42"/>
  <c r="AE194" i="42"/>
  <c r="AK168" i="42"/>
  <c r="AC168" i="42"/>
  <c r="AE168" i="42"/>
  <c r="AM168" i="42"/>
  <c r="AK234" i="42"/>
  <c r="AC234" i="42"/>
  <c r="AE234" i="42"/>
  <c r="AM234" i="42"/>
  <c r="AK174" i="42"/>
  <c r="AC174" i="42"/>
  <c r="AE174" i="42"/>
  <c r="AM174" i="42"/>
  <c r="AK214" i="42"/>
  <c r="AC214" i="42"/>
  <c r="AE214" i="42"/>
  <c r="AM214" i="42"/>
  <c r="AK232" i="42"/>
  <c r="AC232" i="42"/>
  <c r="AE232" i="42"/>
  <c r="AM232" i="42"/>
  <c r="AK17" i="42"/>
  <c r="AC17" i="42"/>
  <c r="AM17" i="42"/>
  <c r="AE17" i="42"/>
  <c r="AK153" i="42"/>
  <c r="AC153" i="42"/>
  <c r="AM153" i="42"/>
  <c r="AE153" i="42"/>
  <c r="AK256" i="42"/>
  <c r="AC256" i="42"/>
  <c r="AE256" i="42"/>
  <c r="AM256" i="42"/>
  <c r="AK29" i="42"/>
  <c r="AC29" i="42"/>
  <c r="AM29" i="42"/>
  <c r="AM25" i="42"/>
  <c r="AE25" i="42"/>
  <c r="AC33" i="42"/>
  <c r="AE33" i="42"/>
  <c r="AK294" i="42"/>
  <c r="AC294" i="42"/>
  <c r="AE294" i="42"/>
  <c r="AM294" i="42"/>
  <c r="AK262" i="42"/>
  <c r="AC262" i="42"/>
  <c r="AE262" i="42"/>
  <c r="AM262" i="42"/>
  <c r="AK272" i="42"/>
  <c r="AC272" i="42"/>
  <c r="AE272" i="42"/>
  <c r="AM272" i="42"/>
  <c r="AK264" i="42"/>
  <c r="AC264" i="42"/>
  <c r="AM264" i="42"/>
  <c r="AE264" i="42"/>
  <c r="AK242" i="42"/>
  <c r="AC242" i="42"/>
  <c r="AM242" i="42"/>
  <c r="AE242" i="42"/>
  <c r="AK290" i="42"/>
  <c r="AC290" i="42"/>
  <c r="AM290" i="42"/>
  <c r="AE290" i="42"/>
  <c r="AK129" i="42"/>
  <c r="AC129" i="42"/>
  <c r="AE129" i="42"/>
  <c r="AM129" i="42"/>
  <c r="AK15" i="42"/>
  <c r="AC15" i="42"/>
  <c r="AE15" i="42"/>
  <c r="AM15" i="42"/>
  <c r="AE21" i="42"/>
  <c r="AK21" i="42"/>
  <c r="AC21" i="42"/>
  <c r="AM21" i="42"/>
  <c r="AK137" i="42"/>
  <c r="AC137" i="42"/>
  <c r="AM137" i="42"/>
  <c r="AE137" i="42"/>
  <c r="AM149" i="42" l="1"/>
  <c r="AC149" i="42"/>
  <c r="AC43" i="42"/>
  <c r="AM59" i="42"/>
  <c r="AK64" i="42"/>
  <c r="AC226" i="42"/>
  <c r="AC230" i="42"/>
  <c r="AM226" i="42"/>
  <c r="AC192" i="42"/>
  <c r="AC198" i="42"/>
  <c r="AE11" i="42"/>
  <c r="AM288" i="42"/>
  <c r="AM296" i="42"/>
  <c r="AK192" i="42"/>
  <c r="AC11" i="42"/>
  <c r="AK198" i="42"/>
  <c r="AC288" i="42"/>
  <c r="AE296" i="42"/>
  <c r="AM192" i="42"/>
  <c r="AK11" i="42"/>
  <c r="AM198" i="42"/>
  <c r="AK288" i="42"/>
  <c r="AC296" i="42"/>
  <c r="AM11" i="42"/>
  <c r="AE288" i="42"/>
  <c r="AM43" i="42"/>
  <c r="AM64" i="42"/>
  <c r="AK188" i="42"/>
  <c r="AM204" i="42"/>
  <c r="AK43" i="42"/>
  <c r="AC64" i="42"/>
  <c r="AE43" i="42"/>
  <c r="AK19" i="42"/>
  <c r="AK35" i="42"/>
  <c r="AC222" i="42"/>
  <c r="AK180" i="42"/>
  <c r="AK33" i="42"/>
  <c r="AC25" i="42"/>
  <c r="AE27" i="42"/>
  <c r="AE59" i="42"/>
  <c r="AK59" i="42"/>
  <c r="AK222" i="42"/>
  <c r="AM230" i="42"/>
  <c r="AE160" i="42"/>
  <c r="AM190" i="42"/>
  <c r="AK133" i="42"/>
  <c r="AK230" i="42"/>
  <c r="AM160" i="42"/>
  <c r="AM33" i="42"/>
  <c r="AM222" i="42"/>
  <c r="AC204" i="42"/>
  <c r="AE19" i="42"/>
  <c r="AE188" i="42"/>
  <c r="AK204" i="42"/>
  <c r="AM19" i="42"/>
  <c r="AM188" i="42"/>
  <c r="AE204" i="42"/>
  <c r="AM133" i="42"/>
  <c r="AE35" i="42"/>
  <c r="AM180" i="42"/>
  <c r="AE133" i="42"/>
  <c r="AC35" i="42"/>
  <c r="AE180" i="42"/>
  <c r="AK61" i="42"/>
  <c r="AE61" i="42"/>
  <c r="AC61" i="42"/>
  <c r="AM61" i="42"/>
  <c r="AK258" i="42"/>
  <c r="AC258" i="42"/>
  <c r="AE258" i="42"/>
  <c r="AM258" i="42"/>
  <c r="AK260" i="42"/>
  <c r="AC260" i="42"/>
  <c r="AE260" i="42"/>
  <c r="AM260" i="42"/>
  <c r="AK305" i="42"/>
  <c r="AC305" i="42"/>
  <c r="AM305" i="42"/>
  <c r="AE305" i="42"/>
  <c r="AK289" i="42"/>
  <c r="AC289" i="42"/>
  <c r="AM289" i="42"/>
  <c r="AE289" i="42"/>
  <c r="AK95" i="42"/>
  <c r="AC95" i="42"/>
  <c r="AE95" i="42"/>
  <c r="AM95" i="42"/>
  <c r="AK302" i="42"/>
  <c r="AC302" i="42"/>
  <c r="AM302" i="42"/>
  <c r="AE302" i="42"/>
  <c r="AK303" i="42"/>
  <c r="AC303" i="42"/>
  <c r="AE303" i="42"/>
  <c r="AM303" i="42"/>
  <c r="AK286" i="42"/>
  <c r="AE286" i="42"/>
  <c r="AC286" i="42"/>
  <c r="AM286" i="42"/>
  <c r="AK7" i="42"/>
  <c r="AC7" i="42"/>
  <c r="AE7" i="42"/>
  <c r="AM7" i="42"/>
  <c r="AK210" i="42"/>
  <c r="AC210" i="42"/>
  <c r="AM210" i="42"/>
  <c r="AE210" i="42"/>
  <c r="AK276" i="42"/>
  <c r="AC276" i="42"/>
  <c r="AE276" i="42"/>
  <c r="AM276" i="42"/>
  <c r="AK301" i="42"/>
  <c r="AC301" i="42"/>
  <c r="AE301" i="42"/>
  <c r="AM301" i="42"/>
  <c r="AM285" i="42"/>
  <c r="AK285" i="42"/>
  <c r="AC285" i="42"/>
  <c r="AE285" i="42"/>
  <c r="AK103" i="42"/>
  <c r="AC103" i="42"/>
  <c r="AE103" i="42"/>
  <c r="AM103" i="42"/>
  <c r="AM252" i="42"/>
  <c r="AK252" i="42"/>
  <c r="AC252" i="42"/>
  <c r="AE252" i="42"/>
  <c r="AK255" i="42"/>
  <c r="AC255" i="42"/>
  <c r="AE255" i="42"/>
  <c r="AM255" i="42"/>
  <c r="AK277" i="42"/>
  <c r="AC277" i="42"/>
  <c r="AM277" i="42"/>
  <c r="AE277" i="42"/>
  <c r="AK83" i="42"/>
  <c r="AC83" i="42"/>
  <c r="AE83" i="42"/>
  <c r="AM83" i="42"/>
  <c r="AK269" i="42"/>
  <c r="AC269" i="42"/>
  <c r="AM269" i="42"/>
  <c r="AE269" i="42"/>
  <c r="AK202" i="42"/>
  <c r="AC202" i="42"/>
  <c r="AE202" i="42"/>
  <c r="AM202" i="42"/>
  <c r="AK79" i="42"/>
  <c r="AC79" i="42"/>
  <c r="AE79" i="42"/>
  <c r="AM79" i="42"/>
  <c r="AK248" i="42"/>
  <c r="AC248" i="42"/>
  <c r="AM248" i="42"/>
  <c r="AE248" i="42"/>
  <c r="AK75" i="42"/>
  <c r="AM75" i="42"/>
  <c r="AC75" i="42"/>
  <c r="AE75" i="42"/>
  <c r="AK293" i="42"/>
  <c r="AC293" i="42"/>
  <c r="AE293" i="42"/>
  <c r="AM293" i="42"/>
  <c r="AK295" i="42"/>
  <c r="AC295" i="42"/>
  <c r="AE295" i="42"/>
  <c r="AM295" i="42"/>
  <c r="AK298" i="42"/>
  <c r="AC298" i="42"/>
  <c r="AE298" i="42"/>
  <c r="AM298" i="42"/>
  <c r="AK45" i="42"/>
  <c r="AC45" i="42"/>
  <c r="AE45" i="42"/>
  <c r="AM45" i="42"/>
  <c r="AM292" i="42"/>
  <c r="AK292" i="42"/>
  <c r="AC292" i="42"/>
  <c r="AE292" i="42"/>
  <c r="AK246" i="42"/>
  <c r="AC246" i="42"/>
  <c r="AE246" i="42"/>
  <c r="AM246" i="42"/>
  <c r="AK297" i="42"/>
  <c r="AC297" i="42"/>
  <c r="AE297" i="42"/>
  <c r="AM297" i="42"/>
  <c r="AK267" i="42"/>
  <c r="AC267" i="42"/>
  <c r="AM267" i="42"/>
  <c r="AE267" i="42"/>
  <c r="AK274" i="42"/>
  <c r="AC274" i="42"/>
  <c r="AE274" i="42"/>
  <c r="AM274" i="42"/>
  <c r="AM229" i="42"/>
  <c r="AK229" i="42"/>
  <c r="AC229" i="42"/>
  <c r="AE229" i="42"/>
  <c r="AK239" i="42"/>
  <c r="AC239" i="42"/>
  <c r="AM239" i="42"/>
  <c r="AE239" i="42"/>
  <c r="AK195" i="42"/>
  <c r="AM195" i="42"/>
  <c r="AC195" i="42"/>
  <c r="AE195" i="42"/>
  <c r="AK217" i="42"/>
  <c r="AC217" i="42"/>
  <c r="AE217" i="42"/>
  <c r="AM217" i="42"/>
  <c r="AK199" i="42"/>
  <c r="AC199" i="42"/>
  <c r="AE199" i="42"/>
  <c r="AM199" i="42"/>
  <c r="AK108" i="42"/>
  <c r="AC108" i="42"/>
  <c r="AM108" i="42"/>
  <c r="AE108" i="42"/>
  <c r="AK89" i="42"/>
  <c r="AC89" i="42"/>
  <c r="AM89" i="42"/>
  <c r="AE89" i="42"/>
  <c r="AK104" i="42"/>
  <c r="AC104" i="42"/>
  <c r="AE104" i="42"/>
  <c r="AM104" i="42"/>
  <c r="AK90" i="42"/>
  <c r="AC90" i="42"/>
  <c r="AE90" i="42"/>
  <c r="AM90" i="42"/>
  <c r="AK16" i="42"/>
  <c r="AC16" i="42"/>
  <c r="AE16" i="42"/>
  <c r="AM16" i="42"/>
  <c r="AM213" i="42"/>
  <c r="AK213" i="42"/>
  <c r="AC213" i="42"/>
  <c r="AE213" i="42"/>
  <c r="AK187" i="42"/>
  <c r="AM187" i="42"/>
  <c r="AC187" i="42"/>
  <c r="AE187" i="42"/>
  <c r="AK209" i="42"/>
  <c r="AC209" i="42"/>
  <c r="AE209" i="42"/>
  <c r="AM209" i="42"/>
  <c r="AK191" i="42"/>
  <c r="AC191" i="42"/>
  <c r="AE191" i="42"/>
  <c r="AM191" i="42"/>
  <c r="AK144" i="42"/>
  <c r="AC144" i="42"/>
  <c r="AE144" i="42"/>
  <c r="AM144" i="42"/>
  <c r="AK117" i="42"/>
  <c r="AC117" i="42"/>
  <c r="AM117" i="42"/>
  <c r="AE117" i="42"/>
  <c r="AK140" i="42"/>
  <c r="AC140" i="42"/>
  <c r="AE140" i="42"/>
  <c r="AM140" i="42"/>
  <c r="AC68" i="42"/>
  <c r="AK68" i="42"/>
  <c r="AK52" i="42"/>
  <c r="AC52" i="42"/>
  <c r="AE52" i="42"/>
  <c r="AM52" i="42"/>
  <c r="AK62" i="42"/>
  <c r="AC62" i="42"/>
  <c r="AM62" i="42"/>
  <c r="AE62" i="42"/>
  <c r="AK227" i="42"/>
  <c r="AC227" i="42"/>
  <c r="AM227" i="42"/>
  <c r="AE227" i="42"/>
  <c r="AC235" i="42"/>
  <c r="AK235" i="42"/>
  <c r="AK231" i="42"/>
  <c r="AC231" i="42"/>
  <c r="AE231" i="42"/>
  <c r="AM231" i="42"/>
  <c r="AK111" i="42"/>
  <c r="AC111" i="42"/>
  <c r="AE111" i="42"/>
  <c r="AM111" i="42"/>
  <c r="AK142" i="42"/>
  <c r="AC142" i="42"/>
  <c r="AM142" i="42"/>
  <c r="AE142" i="42"/>
  <c r="AK73" i="42"/>
  <c r="AC73" i="42"/>
  <c r="AE73" i="42"/>
  <c r="AM73" i="42"/>
  <c r="AK88" i="42"/>
  <c r="AC88" i="42"/>
  <c r="AE88" i="42"/>
  <c r="AM88" i="42"/>
  <c r="AK74" i="42"/>
  <c r="AC74" i="42"/>
  <c r="AM74" i="42"/>
  <c r="AE74" i="42"/>
  <c r="AK40" i="42"/>
  <c r="AC40" i="42"/>
  <c r="AE40" i="42"/>
  <c r="AM40" i="42"/>
  <c r="AK157" i="42"/>
  <c r="AC157" i="42"/>
  <c r="AE157" i="42"/>
  <c r="AM157" i="42"/>
  <c r="AK233" i="42"/>
  <c r="AC233" i="42"/>
  <c r="AE233" i="42"/>
  <c r="AM233" i="42"/>
  <c r="AM221" i="42"/>
  <c r="AK221" i="42"/>
  <c r="AC221" i="42"/>
  <c r="AE221" i="42"/>
  <c r="AK107" i="42"/>
  <c r="AM107" i="42"/>
  <c r="AC107" i="42"/>
  <c r="AE107" i="42"/>
  <c r="AK134" i="42"/>
  <c r="AM134" i="42"/>
  <c r="AC134" i="42"/>
  <c r="AE134" i="42"/>
  <c r="AK69" i="42"/>
  <c r="AC69" i="42"/>
  <c r="AE69" i="42"/>
  <c r="AM69" i="42"/>
  <c r="AK84" i="42"/>
  <c r="AM84" i="42"/>
  <c r="AC84" i="42"/>
  <c r="AE84" i="42"/>
  <c r="AK70" i="42"/>
  <c r="AC70" i="42"/>
  <c r="AE70" i="42"/>
  <c r="AM70" i="42"/>
  <c r="AK38" i="42"/>
  <c r="AC38" i="42"/>
  <c r="AM38" i="42"/>
  <c r="AE38" i="42"/>
  <c r="AK154" i="42"/>
  <c r="AC154" i="42"/>
  <c r="AM154" i="42"/>
  <c r="AE154" i="42"/>
  <c r="AK146" i="42"/>
  <c r="AC146" i="42"/>
  <c r="AE146" i="42"/>
  <c r="AM146" i="42"/>
  <c r="AK169" i="42"/>
  <c r="AC169" i="42"/>
  <c r="AE169" i="42"/>
  <c r="AM169" i="42"/>
  <c r="AK139" i="42"/>
  <c r="AC139" i="42"/>
  <c r="AE139" i="42"/>
  <c r="AM139" i="42"/>
  <c r="AK126" i="42"/>
  <c r="AM126" i="42"/>
  <c r="AC126" i="42"/>
  <c r="AE126" i="42"/>
  <c r="AK65" i="42"/>
  <c r="AC65" i="42"/>
  <c r="AM65" i="42"/>
  <c r="AE65" i="42"/>
  <c r="AK80" i="42"/>
  <c r="AE80" i="42"/>
  <c r="AC80" i="42"/>
  <c r="AM80" i="42"/>
  <c r="AK66" i="42"/>
  <c r="AC66" i="42"/>
  <c r="AE66" i="42"/>
  <c r="AM66" i="42"/>
  <c r="AK30" i="42"/>
  <c r="AM30" i="42"/>
  <c r="AC30" i="42"/>
  <c r="AE30" i="42"/>
  <c r="AK203" i="42"/>
  <c r="AM203" i="42"/>
  <c r="AC203" i="42"/>
  <c r="AE203" i="42"/>
  <c r="AK223" i="42"/>
  <c r="AC223" i="42"/>
  <c r="AE223" i="42"/>
  <c r="AM223" i="42"/>
  <c r="AK207" i="42"/>
  <c r="AC207" i="42"/>
  <c r="AM207" i="42"/>
  <c r="AE207" i="42"/>
  <c r="AK112" i="42"/>
  <c r="AC112" i="42"/>
  <c r="AM112" i="42"/>
  <c r="AE112" i="42"/>
  <c r="AK93" i="42"/>
  <c r="AC93" i="42"/>
  <c r="AM93" i="42"/>
  <c r="AE93" i="42"/>
  <c r="AK49" i="42"/>
  <c r="AC49" i="42"/>
  <c r="AE49" i="42"/>
  <c r="AM49" i="42"/>
  <c r="AK94" i="42"/>
  <c r="AC94" i="42"/>
  <c r="AM94" i="42"/>
  <c r="AE94" i="42"/>
  <c r="AK24" i="42"/>
  <c r="AC24" i="42"/>
  <c r="AE24" i="42"/>
  <c r="AM24" i="42"/>
  <c r="AK12" i="42"/>
  <c r="AC12" i="42"/>
  <c r="AE12" i="42"/>
  <c r="AM12" i="42"/>
  <c r="AE235" i="42"/>
  <c r="AK47" i="42"/>
  <c r="AC47" i="42"/>
  <c r="AE47" i="42"/>
  <c r="AM47" i="42"/>
  <c r="AM68" i="42"/>
  <c r="AK67" i="42"/>
  <c r="AM67" i="42"/>
  <c r="AC67" i="42"/>
  <c r="AE67" i="42"/>
  <c r="AK299" i="42"/>
  <c r="AC299" i="42"/>
  <c r="AE299" i="42"/>
  <c r="AM299" i="42"/>
  <c r="AK257" i="42"/>
  <c r="AC257" i="42"/>
  <c r="AM257" i="42"/>
  <c r="AE257" i="42"/>
  <c r="AK251" i="42"/>
  <c r="AC251" i="42"/>
  <c r="AM251" i="42"/>
  <c r="AE251" i="42"/>
  <c r="AK281" i="42"/>
  <c r="AC281" i="42"/>
  <c r="AE281" i="42"/>
  <c r="AM281" i="42"/>
  <c r="AK212" i="42"/>
  <c r="AC212" i="42"/>
  <c r="AE212" i="42"/>
  <c r="AM212" i="42"/>
  <c r="AK13" i="42"/>
  <c r="AM13" i="42"/>
  <c r="AC13" i="42"/>
  <c r="AE13" i="42"/>
  <c r="AK273" i="42"/>
  <c r="AC273" i="42"/>
  <c r="AE273" i="42"/>
  <c r="AM273" i="42"/>
  <c r="AK181" i="42"/>
  <c r="AC181" i="42"/>
  <c r="AE181" i="42"/>
  <c r="AM181" i="42"/>
  <c r="AK197" i="42"/>
  <c r="AC197" i="42"/>
  <c r="AM197" i="42"/>
  <c r="AE197" i="42"/>
  <c r="AK127" i="42"/>
  <c r="AC127" i="42"/>
  <c r="AE127" i="42"/>
  <c r="AM127" i="42"/>
  <c r="AM253" i="42"/>
  <c r="AK253" i="42"/>
  <c r="AC253" i="42"/>
  <c r="AE253" i="42"/>
  <c r="AM261" i="42"/>
  <c r="AK261" i="42"/>
  <c r="AC261" i="42"/>
  <c r="AE261" i="42"/>
  <c r="AK218" i="42"/>
  <c r="AC218" i="42"/>
  <c r="AE218" i="42"/>
  <c r="AM218" i="42"/>
  <c r="AK283" i="42"/>
  <c r="AC283" i="42"/>
  <c r="AE283" i="42"/>
  <c r="AM283" i="42"/>
  <c r="AK162" i="42"/>
  <c r="AC162" i="42"/>
  <c r="AE162" i="42"/>
  <c r="AM162" i="42"/>
  <c r="AM205" i="42"/>
  <c r="AK205" i="42"/>
  <c r="AC205" i="42"/>
  <c r="AE205" i="42"/>
  <c r="AK179" i="42"/>
  <c r="AM179" i="42"/>
  <c r="AC179" i="42"/>
  <c r="AE179" i="42"/>
  <c r="AK201" i="42"/>
  <c r="AC201" i="42"/>
  <c r="AE201" i="42"/>
  <c r="AM201" i="42"/>
  <c r="AK183" i="42"/>
  <c r="AC183" i="42"/>
  <c r="AE183" i="42"/>
  <c r="AM183" i="42"/>
  <c r="AK136" i="42"/>
  <c r="AC136" i="42"/>
  <c r="AE136" i="42"/>
  <c r="AM136" i="42"/>
  <c r="AK132" i="42"/>
  <c r="AC132" i="42"/>
  <c r="AE132" i="42"/>
  <c r="AM132" i="42"/>
  <c r="AK41" i="42"/>
  <c r="AC41" i="42"/>
  <c r="AM41" i="42"/>
  <c r="AE41" i="42"/>
  <c r="AK26" i="42"/>
  <c r="AC26" i="42"/>
  <c r="AE26" i="42"/>
  <c r="AM26" i="42"/>
  <c r="AK54" i="42"/>
  <c r="AC54" i="42"/>
  <c r="AE54" i="42"/>
  <c r="AM54" i="42"/>
  <c r="AM237" i="42"/>
  <c r="AK237" i="42"/>
  <c r="AC237" i="42"/>
  <c r="AE237" i="42"/>
  <c r="AK243" i="42"/>
  <c r="AC243" i="42"/>
  <c r="AE243" i="42"/>
  <c r="AM243" i="42"/>
  <c r="AK241" i="42"/>
  <c r="AC241" i="42"/>
  <c r="AE241" i="42"/>
  <c r="AM241" i="42"/>
  <c r="AK115" i="42"/>
  <c r="AM115" i="42"/>
  <c r="AC115" i="42"/>
  <c r="AE115" i="42"/>
  <c r="AK150" i="42"/>
  <c r="AC150" i="42"/>
  <c r="AM150" i="42"/>
  <c r="AE150" i="42"/>
  <c r="AK77" i="42"/>
  <c r="AE77" i="42"/>
  <c r="AC77" i="42"/>
  <c r="AM77" i="42"/>
  <c r="AK92" i="42"/>
  <c r="AC92" i="42"/>
  <c r="AM92" i="42"/>
  <c r="AE92" i="42"/>
  <c r="AK78" i="42"/>
  <c r="AM78" i="42"/>
  <c r="AC78" i="42"/>
  <c r="AE78" i="42"/>
  <c r="AK48" i="42"/>
  <c r="AE48" i="42"/>
  <c r="AC48" i="42"/>
  <c r="AM48" i="42"/>
  <c r="AK151" i="42"/>
  <c r="AC151" i="42"/>
  <c r="AE151" i="42"/>
  <c r="AM151" i="42"/>
  <c r="AK53" i="42"/>
  <c r="AE53" i="42"/>
  <c r="AC53" i="42"/>
  <c r="AM53" i="42"/>
  <c r="AK279" i="42"/>
  <c r="AC279" i="42"/>
  <c r="AM279" i="42"/>
  <c r="AE279" i="42"/>
  <c r="AK250" i="42"/>
  <c r="AC250" i="42"/>
  <c r="AE250" i="42"/>
  <c r="AM250" i="42"/>
  <c r="AK71" i="42"/>
  <c r="AC71" i="42"/>
  <c r="AM71" i="42"/>
  <c r="AE71" i="42"/>
  <c r="AM268" i="42"/>
  <c r="AK268" i="42"/>
  <c r="AC268" i="42"/>
  <c r="AE268" i="42"/>
  <c r="AK263" i="42"/>
  <c r="AC263" i="42"/>
  <c r="AE263" i="42"/>
  <c r="AM263" i="42"/>
  <c r="AK291" i="42"/>
  <c r="AC291" i="42"/>
  <c r="AM291" i="42"/>
  <c r="AE291" i="42"/>
  <c r="AK91" i="42"/>
  <c r="AC91" i="42"/>
  <c r="AM91" i="42"/>
  <c r="AE91" i="42"/>
  <c r="AK87" i="42"/>
  <c r="AC87" i="42"/>
  <c r="AE87" i="42"/>
  <c r="AM87" i="42"/>
  <c r="AK131" i="42"/>
  <c r="AC131" i="42"/>
  <c r="AM131" i="42"/>
  <c r="AE131" i="42"/>
  <c r="AK34" i="42"/>
  <c r="AC34" i="42"/>
  <c r="AE34" i="42"/>
  <c r="AM34" i="42"/>
  <c r="AK147" i="42"/>
  <c r="AM147" i="42"/>
  <c r="AC147" i="42"/>
  <c r="AE147" i="42"/>
  <c r="AK152" i="42"/>
  <c r="AC152" i="42"/>
  <c r="AE152" i="42"/>
  <c r="AM152" i="42"/>
  <c r="AK121" i="42"/>
  <c r="AC121" i="42"/>
  <c r="AE121" i="42"/>
  <c r="AM121" i="42"/>
  <c r="AK148" i="42"/>
  <c r="AM148" i="42"/>
  <c r="AC148" i="42"/>
  <c r="AE148" i="42"/>
  <c r="AK72" i="42"/>
  <c r="AC72" i="42"/>
  <c r="AE72" i="42"/>
  <c r="AM72" i="42"/>
  <c r="AK57" i="42"/>
  <c r="AC57" i="42"/>
  <c r="AE57" i="42"/>
  <c r="AM57" i="42"/>
  <c r="AK14" i="42"/>
  <c r="AE14" i="42"/>
  <c r="AC14" i="42"/>
  <c r="AM14" i="42"/>
  <c r="AK249" i="42"/>
  <c r="AC249" i="42"/>
  <c r="AM249" i="42"/>
  <c r="AE249" i="42"/>
  <c r="AK189" i="42"/>
  <c r="AC189" i="42"/>
  <c r="AE189" i="42"/>
  <c r="AM189" i="42"/>
  <c r="AK138" i="42"/>
  <c r="AC138" i="42"/>
  <c r="AE138" i="42"/>
  <c r="AM138" i="42"/>
  <c r="AK123" i="42"/>
  <c r="AC123" i="42"/>
  <c r="AE123" i="42"/>
  <c r="AM123" i="42"/>
  <c r="AK60" i="42"/>
  <c r="AC60" i="42"/>
  <c r="AE60" i="42"/>
  <c r="AM60" i="42"/>
  <c r="AK85" i="42"/>
  <c r="AC85" i="42"/>
  <c r="AE85" i="42"/>
  <c r="AM85" i="42"/>
  <c r="AK100" i="42"/>
  <c r="AM100" i="42"/>
  <c r="AC100" i="42"/>
  <c r="AE100" i="42"/>
  <c r="AK86" i="42"/>
  <c r="AC86" i="42"/>
  <c r="AE86" i="42"/>
  <c r="AM86" i="42"/>
  <c r="AK8" i="42"/>
  <c r="AC8" i="42"/>
  <c r="AE8" i="42"/>
  <c r="AM8" i="42"/>
  <c r="AK165" i="42"/>
  <c r="AC165" i="42"/>
  <c r="AM165" i="42"/>
  <c r="AE165" i="42"/>
  <c r="AK163" i="42"/>
  <c r="AM163" i="42"/>
  <c r="AC163" i="42"/>
  <c r="AE163" i="42"/>
  <c r="AK185" i="42"/>
  <c r="AC185" i="42"/>
  <c r="AE185" i="42"/>
  <c r="AM185" i="42"/>
  <c r="AK167" i="42"/>
  <c r="AC167" i="42"/>
  <c r="AE167" i="42"/>
  <c r="AM167" i="42"/>
  <c r="AK124" i="42"/>
  <c r="AC124" i="42"/>
  <c r="AM124" i="42"/>
  <c r="AE124" i="42"/>
  <c r="AK105" i="42"/>
  <c r="AC105" i="42"/>
  <c r="AE105" i="42"/>
  <c r="AM105" i="42"/>
  <c r="AK118" i="42"/>
  <c r="AC118" i="42"/>
  <c r="AE118" i="42"/>
  <c r="AM118" i="42"/>
  <c r="AK106" i="42"/>
  <c r="AC106" i="42"/>
  <c r="AM106" i="42"/>
  <c r="AE106" i="42"/>
  <c r="AK50" i="42"/>
  <c r="AC50" i="42"/>
  <c r="AE50" i="42"/>
  <c r="AM50" i="42"/>
  <c r="AK36" i="42"/>
  <c r="AE36" i="42"/>
  <c r="AC36" i="42"/>
  <c r="AM36" i="42"/>
  <c r="AK219" i="42"/>
  <c r="AC219" i="42"/>
  <c r="AE219" i="42"/>
  <c r="AM219" i="42"/>
  <c r="AK177" i="42"/>
  <c r="AC177" i="42"/>
  <c r="AE177" i="42"/>
  <c r="AM177" i="42"/>
  <c r="AK159" i="42"/>
  <c r="AC159" i="42"/>
  <c r="AE159" i="42"/>
  <c r="AM159" i="42"/>
  <c r="AK101" i="42"/>
  <c r="AC101" i="42"/>
  <c r="AE101" i="42"/>
  <c r="AM101" i="42"/>
  <c r="AK114" i="42"/>
  <c r="AC114" i="42"/>
  <c r="AE114" i="42"/>
  <c r="AM114" i="42"/>
  <c r="AK102" i="42"/>
  <c r="AC102" i="42"/>
  <c r="AE102" i="42"/>
  <c r="AM102" i="42"/>
  <c r="AK42" i="42"/>
  <c r="AC42" i="42"/>
  <c r="AM42" i="42"/>
  <c r="AE42" i="42"/>
  <c r="AK28" i="42"/>
  <c r="AE28" i="42"/>
  <c r="AC28" i="42"/>
  <c r="AM28" i="42"/>
  <c r="AK211" i="42"/>
  <c r="AC211" i="42"/>
  <c r="AM211" i="42"/>
  <c r="AE211" i="42"/>
  <c r="AK225" i="42"/>
  <c r="AC225" i="42"/>
  <c r="AE225" i="42"/>
  <c r="AM225" i="42"/>
  <c r="AK215" i="42"/>
  <c r="AC215" i="42"/>
  <c r="AE215" i="42"/>
  <c r="AM215" i="42"/>
  <c r="AK116" i="42"/>
  <c r="AC116" i="42"/>
  <c r="AE116" i="42"/>
  <c r="AM116" i="42"/>
  <c r="AK97" i="42"/>
  <c r="AC97" i="42"/>
  <c r="AE97" i="42"/>
  <c r="AM97" i="42"/>
  <c r="AK110" i="42"/>
  <c r="AC110" i="42"/>
  <c r="AE110" i="42"/>
  <c r="AM110" i="42"/>
  <c r="AK98" i="42"/>
  <c r="AC98" i="42"/>
  <c r="AE98" i="42"/>
  <c r="AM98" i="42"/>
  <c r="AK32" i="42"/>
  <c r="AC32" i="42"/>
  <c r="AE32" i="42"/>
  <c r="AM32" i="42"/>
  <c r="AK20" i="42"/>
  <c r="AM20" i="42"/>
  <c r="AC20" i="42"/>
  <c r="AE20" i="42"/>
  <c r="AK161" i="42"/>
  <c r="AC161" i="42"/>
  <c r="AM161" i="42"/>
  <c r="AE161" i="42"/>
  <c r="AK130" i="42"/>
  <c r="AC130" i="42"/>
  <c r="AE130" i="42"/>
  <c r="AM130" i="42"/>
  <c r="AK125" i="42"/>
  <c r="AM125" i="42"/>
  <c r="AC125" i="42"/>
  <c r="AE125" i="42"/>
  <c r="AK44" i="42"/>
  <c r="AE44" i="42"/>
  <c r="AC44" i="42"/>
  <c r="AM44" i="42"/>
  <c r="AK76" i="42"/>
  <c r="AC76" i="42"/>
  <c r="AE76" i="42"/>
  <c r="AM76" i="42"/>
  <c r="AK22" i="42"/>
  <c r="AC22" i="42"/>
  <c r="AM22" i="42"/>
  <c r="AE22" i="42"/>
  <c r="AK200" i="42"/>
  <c r="AC200" i="42"/>
  <c r="AE200" i="42"/>
  <c r="AM200" i="42"/>
  <c r="AK170" i="42"/>
  <c r="AC170" i="42"/>
  <c r="AM170" i="42"/>
  <c r="AE170" i="42"/>
  <c r="AK238" i="42"/>
  <c r="AC238" i="42"/>
  <c r="AE238" i="42"/>
  <c r="AM238" i="42"/>
  <c r="AK244" i="42"/>
  <c r="AC244" i="42"/>
  <c r="AM244" i="42"/>
  <c r="AE244" i="42"/>
  <c r="AK186" i="42"/>
  <c r="AC186" i="42"/>
  <c r="AE186" i="42"/>
  <c r="AM186" i="42"/>
  <c r="AK236" i="42"/>
  <c r="AC236" i="42"/>
  <c r="AE236" i="42"/>
  <c r="AM236" i="42"/>
  <c r="AK259" i="42"/>
  <c r="AC259" i="42"/>
  <c r="AE259" i="42"/>
  <c r="AM259" i="42"/>
  <c r="AK178" i="42"/>
  <c r="AC178" i="42"/>
  <c r="AE178" i="42"/>
  <c r="AM178" i="42"/>
  <c r="AK265" i="42"/>
  <c r="AC265" i="42"/>
  <c r="AM265" i="42"/>
  <c r="AE265" i="42"/>
  <c r="AK99" i="42"/>
  <c r="AC99" i="42"/>
  <c r="AM99" i="42"/>
  <c r="AE99" i="42"/>
  <c r="AK287" i="42"/>
  <c r="AC287" i="42"/>
  <c r="AE287" i="42"/>
  <c r="AM287" i="42"/>
  <c r="AM245" i="42"/>
  <c r="AK245" i="42"/>
  <c r="AC245" i="42"/>
  <c r="AE245" i="42"/>
  <c r="AK247" i="42"/>
  <c r="AC247" i="42"/>
  <c r="AE247" i="42"/>
  <c r="AM247" i="42"/>
  <c r="AK135" i="42"/>
  <c r="AC135" i="42"/>
  <c r="AE135" i="42"/>
  <c r="AM135" i="42"/>
  <c r="AK119" i="42"/>
  <c r="AC119" i="42"/>
  <c r="AE119" i="42"/>
  <c r="AM119" i="42"/>
  <c r="AK18" i="42"/>
  <c r="AC18" i="42"/>
  <c r="AE18" i="42"/>
  <c r="AM18" i="42"/>
  <c r="AK81" i="42"/>
  <c r="AC81" i="42"/>
  <c r="AM81" i="42"/>
  <c r="AE81" i="42"/>
  <c r="AK96" i="42"/>
  <c r="AC96" i="42"/>
  <c r="AM96" i="42"/>
  <c r="AE96" i="42"/>
  <c r="AK82" i="42"/>
  <c r="AC82" i="42"/>
  <c r="AM82" i="42"/>
  <c r="AE82" i="42"/>
  <c r="AK56" i="42"/>
  <c r="AE56" i="42"/>
  <c r="AC56" i="42"/>
  <c r="AM56" i="42"/>
  <c r="AK173" i="42"/>
  <c r="AC173" i="42"/>
  <c r="AE173" i="42"/>
  <c r="AM173" i="42"/>
  <c r="AK171" i="42"/>
  <c r="AM171" i="42"/>
  <c r="AC171" i="42"/>
  <c r="AE171" i="42"/>
  <c r="AK193" i="42"/>
  <c r="AC193" i="42"/>
  <c r="AE193" i="42"/>
  <c r="AM193" i="42"/>
  <c r="AK128" i="42"/>
  <c r="AC128" i="42"/>
  <c r="AE128" i="42"/>
  <c r="AM128" i="42"/>
  <c r="AK109" i="42"/>
  <c r="AC109" i="42"/>
  <c r="AM109" i="42"/>
  <c r="AE109" i="42"/>
  <c r="AK122" i="42"/>
  <c r="AC122" i="42"/>
  <c r="AE122" i="42"/>
  <c r="AM122" i="42"/>
  <c r="AK10" i="42"/>
  <c r="AC10" i="42"/>
  <c r="AE10" i="42"/>
  <c r="AM10" i="42"/>
  <c r="AK58" i="42"/>
  <c r="AC58" i="42"/>
  <c r="AE58" i="42"/>
  <c r="AM58" i="42"/>
  <c r="AK46" i="42"/>
  <c r="AC46" i="42"/>
  <c r="AM46" i="42"/>
  <c r="AE46" i="42"/>
  <c r="AM235" i="42"/>
  <c r="AE68" i="42"/>
  <c r="AK120" i="42"/>
  <c r="AE120" i="42"/>
  <c r="AC120" i="42"/>
  <c r="AM120" i="42"/>
  <c r="AC271" i="42"/>
  <c r="AK271" i="42"/>
  <c r="AM271" i="42"/>
  <c r="AE271" i="42"/>
  <c r="AC175" i="42"/>
  <c r="AK175" i="42"/>
  <c r="AE175" i="42"/>
  <c r="AM175" i="42"/>
  <c r="AK143" i="42"/>
  <c r="AC143" i="42"/>
  <c r="AE143" i="42"/>
  <c r="AM143" i="42"/>
  <c r="AK113" i="42"/>
  <c r="AC113" i="42"/>
  <c r="AM113" i="42"/>
  <c r="AE113" i="42"/>
  <c r="AF29" i="42"/>
  <c r="AD6" i="42"/>
  <c r="M7" i="42"/>
  <c r="T7" i="42" s="1"/>
  <c r="M8" i="42"/>
  <c r="T8" i="42" s="1"/>
  <c r="M9" i="42"/>
  <c r="T9" i="42" s="1"/>
  <c r="M10" i="42"/>
  <c r="T10" i="42" s="1"/>
  <c r="M11" i="42"/>
  <c r="T11" i="42" s="1"/>
  <c r="M12" i="42"/>
  <c r="T12" i="42" s="1"/>
  <c r="M13" i="42"/>
  <c r="T13" i="42" s="1"/>
  <c r="M14" i="42"/>
  <c r="T14" i="42" s="1"/>
  <c r="M15" i="42"/>
  <c r="T15" i="42" s="1"/>
  <c r="M16" i="42"/>
  <c r="T16" i="42" s="1"/>
  <c r="M17" i="42"/>
  <c r="T17" i="42" s="1"/>
  <c r="M18" i="42"/>
  <c r="T18" i="42" s="1"/>
  <c r="M19" i="42"/>
  <c r="T19" i="42" s="1"/>
  <c r="M20" i="42"/>
  <c r="T20" i="42" s="1"/>
  <c r="M21" i="42"/>
  <c r="T21" i="42" s="1"/>
  <c r="M22" i="42"/>
  <c r="T22" i="42" s="1"/>
  <c r="M23" i="42"/>
  <c r="T23" i="42" s="1"/>
  <c r="M24" i="42"/>
  <c r="T24" i="42" s="1"/>
  <c r="M25" i="42"/>
  <c r="T25" i="42" s="1"/>
  <c r="M26" i="42"/>
  <c r="T26" i="42" s="1"/>
  <c r="M27" i="42"/>
  <c r="T27" i="42" s="1"/>
  <c r="M28" i="42"/>
  <c r="T28" i="42" s="1"/>
  <c r="M29" i="42"/>
  <c r="T29" i="42" s="1"/>
  <c r="M30" i="42"/>
  <c r="T30" i="42" s="1"/>
  <c r="M31" i="42"/>
  <c r="T31" i="42" s="1"/>
  <c r="M32" i="42"/>
  <c r="T32" i="42" s="1"/>
  <c r="M33" i="42"/>
  <c r="T33" i="42" s="1"/>
  <c r="M34" i="42"/>
  <c r="T34" i="42" s="1"/>
  <c r="M35" i="42"/>
  <c r="T35" i="42" s="1"/>
  <c r="M36" i="42"/>
  <c r="T36" i="42" s="1"/>
  <c r="M37" i="42"/>
  <c r="T37" i="42" s="1"/>
  <c r="M38" i="42"/>
  <c r="T38" i="42" s="1"/>
  <c r="M39" i="42"/>
  <c r="T39" i="42" s="1"/>
  <c r="M40" i="42"/>
  <c r="T40" i="42" s="1"/>
  <c r="M41" i="42"/>
  <c r="T41" i="42" s="1"/>
  <c r="M42" i="42"/>
  <c r="T42" i="42" s="1"/>
  <c r="M43" i="42"/>
  <c r="T43" i="42" s="1"/>
  <c r="M44" i="42"/>
  <c r="T44" i="42" s="1"/>
  <c r="M45" i="42"/>
  <c r="T45" i="42" s="1"/>
  <c r="M46" i="42"/>
  <c r="T46" i="42" s="1"/>
  <c r="M47" i="42"/>
  <c r="T47" i="42" s="1"/>
  <c r="M48" i="42"/>
  <c r="T48" i="42" s="1"/>
  <c r="M49" i="42"/>
  <c r="T49" i="42" s="1"/>
  <c r="M50" i="42"/>
  <c r="T50" i="42" s="1"/>
  <c r="M51" i="42"/>
  <c r="T51" i="42" s="1"/>
  <c r="M52" i="42"/>
  <c r="T52" i="42" s="1"/>
  <c r="M53" i="42"/>
  <c r="T53" i="42" s="1"/>
  <c r="M54" i="42"/>
  <c r="T54" i="42" s="1"/>
  <c r="M55" i="42"/>
  <c r="T55" i="42" s="1"/>
  <c r="M56" i="42"/>
  <c r="T56" i="42" s="1"/>
  <c r="M57" i="42"/>
  <c r="T57" i="42" s="1"/>
  <c r="M58" i="42"/>
  <c r="T58" i="42" s="1"/>
  <c r="M59" i="42"/>
  <c r="T59" i="42" s="1"/>
  <c r="M60" i="42"/>
  <c r="T60" i="42" s="1"/>
  <c r="M61" i="42"/>
  <c r="T61" i="42" s="1"/>
  <c r="M62" i="42"/>
  <c r="T62" i="42" s="1"/>
  <c r="M63" i="42"/>
  <c r="T63" i="42" s="1"/>
  <c r="M64" i="42"/>
  <c r="T64" i="42" s="1"/>
  <c r="M65" i="42"/>
  <c r="T65" i="42" s="1"/>
  <c r="M66" i="42"/>
  <c r="T66" i="42" s="1"/>
  <c r="M67" i="42"/>
  <c r="T67" i="42" s="1"/>
  <c r="M69" i="42"/>
  <c r="T69" i="42" s="1"/>
  <c r="M70" i="42"/>
  <c r="T70" i="42" s="1"/>
  <c r="M71" i="42"/>
  <c r="T71" i="42" s="1"/>
  <c r="M72" i="42"/>
  <c r="T72" i="42" s="1"/>
  <c r="M73" i="42"/>
  <c r="T73" i="42" s="1"/>
  <c r="M74" i="42"/>
  <c r="T74" i="42" s="1"/>
  <c r="M75" i="42"/>
  <c r="T75" i="42" s="1"/>
  <c r="M76" i="42"/>
  <c r="T76" i="42" s="1"/>
  <c r="M77" i="42"/>
  <c r="T77" i="42" s="1"/>
  <c r="M78" i="42"/>
  <c r="T78" i="42" s="1"/>
  <c r="M79" i="42"/>
  <c r="T79" i="42" s="1"/>
  <c r="M80" i="42"/>
  <c r="T80" i="42" s="1"/>
  <c r="M81" i="42"/>
  <c r="T81" i="42" s="1"/>
  <c r="M82" i="42"/>
  <c r="T82" i="42" s="1"/>
  <c r="M83" i="42"/>
  <c r="T83" i="42" s="1"/>
  <c r="M84" i="42"/>
  <c r="T84" i="42" s="1"/>
  <c r="M85" i="42"/>
  <c r="T85" i="42" s="1"/>
  <c r="M86" i="42"/>
  <c r="T86" i="42" s="1"/>
  <c r="M87" i="42"/>
  <c r="T87" i="42" s="1"/>
  <c r="M88" i="42"/>
  <c r="T88" i="42" s="1"/>
  <c r="M89" i="42"/>
  <c r="T89" i="42" s="1"/>
  <c r="M90" i="42"/>
  <c r="T90" i="42" s="1"/>
  <c r="M91" i="42"/>
  <c r="T91" i="42" s="1"/>
  <c r="M92" i="42"/>
  <c r="T92" i="42" s="1"/>
  <c r="M93" i="42"/>
  <c r="T93" i="42" s="1"/>
  <c r="M94" i="42"/>
  <c r="T94" i="42" s="1"/>
  <c r="M95" i="42"/>
  <c r="T95" i="42" s="1"/>
  <c r="M96" i="42"/>
  <c r="T96" i="42" s="1"/>
  <c r="M97" i="42"/>
  <c r="T97" i="42" s="1"/>
  <c r="M98" i="42"/>
  <c r="T98" i="42" s="1"/>
  <c r="M99" i="42"/>
  <c r="T99" i="42" s="1"/>
  <c r="M100" i="42"/>
  <c r="T100" i="42" s="1"/>
  <c r="M101" i="42"/>
  <c r="T101" i="42" s="1"/>
  <c r="M102" i="42"/>
  <c r="T102" i="42" s="1"/>
  <c r="M103" i="42"/>
  <c r="T103" i="42" s="1"/>
  <c r="M104" i="42"/>
  <c r="T104" i="42" s="1"/>
  <c r="M105" i="42"/>
  <c r="T105" i="42" s="1"/>
  <c r="M106" i="42"/>
  <c r="T106" i="42" s="1"/>
  <c r="M107" i="42"/>
  <c r="T107" i="42" s="1"/>
  <c r="M108" i="42"/>
  <c r="T108" i="42" s="1"/>
  <c r="M109" i="42"/>
  <c r="T109" i="42" s="1"/>
  <c r="M110" i="42"/>
  <c r="T110" i="42" s="1"/>
  <c r="M111" i="42"/>
  <c r="T111" i="42" s="1"/>
  <c r="M112" i="42"/>
  <c r="T112" i="42" s="1"/>
  <c r="M113" i="42"/>
  <c r="T113" i="42" s="1"/>
  <c r="M114" i="42"/>
  <c r="T114" i="42" s="1"/>
  <c r="M115" i="42"/>
  <c r="T115" i="42" s="1"/>
  <c r="M116" i="42"/>
  <c r="T116" i="42" s="1"/>
  <c r="M117" i="42"/>
  <c r="T117" i="42" s="1"/>
  <c r="M118" i="42"/>
  <c r="T118" i="42" s="1"/>
  <c r="M119" i="42"/>
  <c r="T119" i="42" s="1"/>
  <c r="M120" i="42"/>
  <c r="T120" i="42" s="1"/>
  <c r="M121" i="42"/>
  <c r="T121" i="42" s="1"/>
  <c r="M122" i="42"/>
  <c r="T122" i="42" s="1"/>
  <c r="M123" i="42"/>
  <c r="T123" i="42" s="1"/>
  <c r="M124" i="42"/>
  <c r="T124" i="42" s="1"/>
  <c r="M125" i="42"/>
  <c r="T125" i="42" s="1"/>
  <c r="M126" i="42"/>
  <c r="T126" i="42" s="1"/>
  <c r="M127" i="42"/>
  <c r="T127" i="42" s="1"/>
  <c r="M128" i="42"/>
  <c r="T128" i="42" s="1"/>
  <c r="M129" i="42"/>
  <c r="T129" i="42" s="1"/>
  <c r="M130" i="42"/>
  <c r="T130" i="42" s="1"/>
  <c r="M131" i="42"/>
  <c r="T131" i="42" s="1"/>
  <c r="M132" i="42"/>
  <c r="T132" i="42" s="1"/>
  <c r="M133" i="42"/>
  <c r="T133" i="42" s="1"/>
  <c r="M134" i="42"/>
  <c r="T134" i="42" s="1"/>
  <c r="M135" i="42"/>
  <c r="T135" i="42" s="1"/>
  <c r="M136" i="42"/>
  <c r="T136" i="42" s="1"/>
  <c r="M137" i="42"/>
  <c r="T137" i="42" s="1"/>
  <c r="M138" i="42"/>
  <c r="T138" i="42" s="1"/>
  <c r="M139" i="42"/>
  <c r="T139" i="42" s="1"/>
  <c r="M140" i="42"/>
  <c r="T140" i="42" s="1"/>
  <c r="M141" i="42"/>
  <c r="T141" i="42" s="1"/>
  <c r="M142" i="42"/>
  <c r="T142" i="42" s="1"/>
  <c r="M143" i="42"/>
  <c r="T143" i="42" s="1"/>
  <c r="M144" i="42"/>
  <c r="T144" i="42" s="1"/>
  <c r="M145" i="42"/>
  <c r="T145" i="42" s="1"/>
  <c r="M146" i="42"/>
  <c r="T146" i="42" s="1"/>
  <c r="M147" i="42"/>
  <c r="T147" i="42" s="1"/>
  <c r="M148" i="42"/>
  <c r="T148" i="42" s="1"/>
  <c r="M149" i="42"/>
  <c r="T149" i="42" s="1"/>
  <c r="M150" i="42"/>
  <c r="T150" i="42" s="1"/>
  <c r="M151" i="42"/>
  <c r="T151" i="42" s="1"/>
  <c r="M152" i="42"/>
  <c r="T152" i="42" s="1"/>
  <c r="M153" i="42"/>
  <c r="T153" i="42" s="1"/>
  <c r="M154" i="42"/>
  <c r="T154" i="42" s="1"/>
  <c r="M156" i="42"/>
  <c r="T156" i="42" s="1"/>
  <c r="M157" i="42"/>
  <c r="T157" i="42" s="1"/>
  <c r="M158" i="42"/>
  <c r="T158" i="42" s="1"/>
  <c r="M159" i="42"/>
  <c r="T159" i="42" s="1"/>
  <c r="M160" i="42"/>
  <c r="T160" i="42" s="1"/>
  <c r="M161" i="42"/>
  <c r="T161" i="42" s="1"/>
  <c r="M162" i="42"/>
  <c r="T162" i="42" s="1"/>
  <c r="M163" i="42"/>
  <c r="T163" i="42" s="1"/>
  <c r="M164" i="42"/>
  <c r="T164" i="42" s="1"/>
  <c r="M165" i="42"/>
  <c r="T165" i="42" s="1"/>
  <c r="M166" i="42"/>
  <c r="T166" i="42" s="1"/>
  <c r="M167" i="42"/>
  <c r="T167" i="42" s="1"/>
  <c r="M168" i="42"/>
  <c r="T168" i="42" s="1"/>
  <c r="M169" i="42"/>
  <c r="T169" i="42" s="1"/>
  <c r="M170" i="42"/>
  <c r="T170" i="42" s="1"/>
  <c r="M171" i="42"/>
  <c r="T171" i="42" s="1"/>
  <c r="M172" i="42"/>
  <c r="T172" i="42" s="1"/>
  <c r="M173" i="42"/>
  <c r="T173" i="42" s="1"/>
  <c r="M174" i="42"/>
  <c r="T174" i="42" s="1"/>
  <c r="M175" i="42"/>
  <c r="T175" i="42" s="1"/>
  <c r="M176" i="42"/>
  <c r="T176" i="42" s="1"/>
  <c r="M177" i="42"/>
  <c r="T177" i="42" s="1"/>
  <c r="M178" i="42"/>
  <c r="T178" i="42" s="1"/>
  <c r="M179" i="42"/>
  <c r="T179" i="42" s="1"/>
  <c r="M180" i="42"/>
  <c r="T180" i="42" s="1"/>
  <c r="M181" i="42"/>
  <c r="T181" i="42" s="1"/>
  <c r="M182" i="42"/>
  <c r="T182" i="42" s="1"/>
  <c r="M183" i="42"/>
  <c r="T183" i="42" s="1"/>
  <c r="M184" i="42"/>
  <c r="T184" i="42" s="1"/>
  <c r="M185" i="42"/>
  <c r="T185" i="42" s="1"/>
  <c r="M186" i="42"/>
  <c r="T186" i="42" s="1"/>
  <c r="M187" i="42"/>
  <c r="T187" i="42" s="1"/>
  <c r="M188" i="42"/>
  <c r="T188" i="42" s="1"/>
  <c r="M189" i="42"/>
  <c r="T189" i="42" s="1"/>
  <c r="M190" i="42"/>
  <c r="T190" i="42" s="1"/>
  <c r="M191" i="42"/>
  <c r="T191" i="42" s="1"/>
  <c r="M192" i="42"/>
  <c r="T192" i="42" s="1"/>
  <c r="M193" i="42"/>
  <c r="T193" i="42" s="1"/>
  <c r="M194" i="42"/>
  <c r="T194" i="42" s="1"/>
  <c r="M195" i="42"/>
  <c r="T195" i="42" s="1"/>
  <c r="M196" i="42"/>
  <c r="T196" i="42" s="1"/>
  <c r="M197" i="42"/>
  <c r="T197" i="42" s="1"/>
  <c r="M198" i="42"/>
  <c r="T198" i="42" s="1"/>
  <c r="M199" i="42"/>
  <c r="T199" i="42" s="1"/>
  <c r="M200" i="42"/>
  <c r="T200" i="42" s="1"/>
  <c r="M201" i="42"/>
  <c r="T201" i="42" s="1"/>
  <c r="M202" i="42"/>
  <c r="T202" i="42" s="1"/>
  <c r="M203" i="42"/>
  <c r="T203" i="42" s="1"/>
  <c r="M204" i="42"/>
  <c r="T204" i="42" s="1"/>
  <c r="M205" i="42"/>
  <c r="T205" i="42" s="1"/>
  <c r="M206" i="42"/>
  <c r="T206" i="42" s="1"/>
  <c r="M207" i="42"/>
  <c r="T207" i="42" s="1"/>
  <c r="M208" i="42"/>
  <c r="T208" i="42" s="1"/>
  <c r="M209" i="42"/>
  <c r="T209" i="42" s="1"/>
  <c r="M210" i="42"/>
  <c r="T210" i="42" s="1"/>
  <c r="M211" i="42"/>
  <c r="T211" i="42" s="1"/>
  <c r="M212" i="42"/>
  <c r="T212" i="42" s="1"/>
  <c r="M213" i="42"/>
  <c r="T213" i="42" s="1"/>
  <c r="M214" i="42"/>
  <c r="T214" i="42" s="1"/>
  <c r="M215" i="42"/>
  <c r="T215" i="42" s="1"/>
  <c r="M216" i="42"/>
  <c r="T216" i="42" s="1"/>
  <c r="M217" i="42"/>
  <c r="T217" i="42" s="1"/>
  <c r="M218" i="42"/>
  <c r="T218" i="42" s="1"/>
  <c r="M219" i="42"/>
  <c r="T219" i="42" s="1"/>
  <c r="M220" i="42"/>
  <c r="T220" i="42" s="1"/>
  <c r="M221" i="42"/>
  <c r="T221" i="42" s="1"/>
  <c r="M222" i="42"/>
  <c r="T222" i="42" s="1"/>
  <c r="M223" i="42"/>
  <c r="T223" i="42" s="1"/>
  <c r="M224" i="42"/>
  <c r="T224" i="42" s="1"/>
  <c r="M225" i="42"/>
  <c r="T225" i="42" s="1"/>
  <c r="M226" i="42"/>
  <c r="T226" i="42" s="1"/>
  <c r="M227" i="42"/>
  <c r="T227" i="42" s="1"/>
  <c r="M229" i="42"/>
  <c r="T229" i="42" s="1"/>
  <c r="M230" i="42"/>
  <c r="T230" i="42" s="1"/>
  <c r="M231" i="42"/>
  <c r="T231" i="42" s="1"/>
  <c r="M232" i="42"/>
  <c r="T232" i="42" s="1"/>
  <c r="M233" i="42"/>
  <c r="T233" i="42" s="1"/>
  <c r="M234" i="42"/>
  <c r="T234" i="42" s="1"/>
  <c r="M236" i="42"/>
  <c r="T236" i="42" s="1"/>
  <c r="M237" i="42"/>
  <c r="T237" i="42" s="1"/>
  <c r="M238" i="42"/>
  <c r="T238" i="42" s="1"/>
  <c r="M239" i="42"/>
  <c r="T239" i="42" s="1"/>
  <c r="M240" i="42"/>
  <c r="T240" i="42" s="1"/>
  <c r="M241" i="42"/>
  <c r="T241" i="42" s="1"/>
  <c r="M242" i="42"/>
  <c r="T242" i="42" s="1"/>
  <c r="M243" i="42"/>
  <c r="T243" i="42" s="1"/>
  <c r="M244" i="42"/>
  <c r="T244" i="42" s="1"/>
  <c r="M245" i="42"/>
  <c r="T245" i="42" s="1"/>
  <c r="M246" i="42"/>
  <c r="T246" i="42" s="1"/>
  <c r="M247" i="42"/>
  <c r="T247" i="42" s="1"/>
  <c r="M248" i="42"/>
  <c r="T248" i="42" s="1"/>
  <c r="M249" i="42"/>
  <c r="T249" i="42" s="1"/>
  <c r="M250" i="42"/>
  <c r="T250" i="42" s="1"/>
  <c r="M251" i="42"/>
  <c r="T251" i="42" s="1"/>
  <c r="M252" i="42"/>
  <c r="T252" i="42" s="1"/>
  <c r="M253" i="42"/>
  <c r="T253" i="42" s="1"/>
  <c r="M254" i="42"/>
  <c r="T254" i="42" s="1"/>
  <c r="M255" i="42"/>
  <c r="T255" i="42" s="1"/>
  <c r="M256" i="42"/>
  <c r="T256" i="42" s="1"/>
  <c r="M257" i="42"/>
  <c r="T257" i="42" s="1"/>
  <c r="M258" i="42"/>
  <c r="T258" i="42" s="1"/>
  <c r="M259" i="42"/>
  <c r="T259" i="42" s="1"/>
  <c r="M260" i="42"/>
  <c r="T260" i="42" s="1"/>
  <c r="M261" i="42"/>
  <c r="T261" i="42" s="1"/>
  <c r="M262" i="42"/>
  <c r="T262" i="42" s="1"/>
  <c r="M263" i="42"/>
  <c r="T263" i="42" s="1"/>
  <c r="M264" i="42"/>
  <c r="T264" i="42" s="1"/>
  <c r="M265" i="42"/>
  <c r="T265" i="42" s="1"/>
  <c r="M266" i="42"/>
  <c r="T266" i="42" s="1"/>
  <c r="M267" i="42"/>
  <c r="T267" i="42" s="1"/>
  <c r="M268" i="42"/>
  <c r="T268" i="42" s="1"/>
  <c r="M269" i="42"/>
  <c r="T269" i="42" s="1"/>
  <c r="M270" i="42"/>
  <c r="T270" i="42" s="1"/>
  <c r="M271" i="42"/>
  <c r="T271" i="42" s="1"/>
  <c r="M272" i="42"/>
  <c r="T272" i="42" s="1"/>
  <c r="M273" i="42"/>
  <c r="T273" i="42" s="1"/>
  <c r="M274" i="42"/>
  <c r="T274" i="42" s="1"/>
  <c r="M276" i="42"/>
  <c r="T276" i="42" s="1"/>
  <c r="M277" i="42"/>
  <c r="T277" i="42" s="1"/>
  <c r="M278" i="42"/>
  <c r="T278" i="42" s="1"/>
  <c r="M279" i="42"/>
  <c r="T279" i="42" s="1"/>
  <c r="M280" i="42"/>
  <c r="T280" i="42" s="1"/>
  <c r="M281" i="42"/>
  <c r="T281" i="42" s="1"/>
  <c r="M282" i="42"/>
  <c r="T282" i="42" s="1"/>
  <c r="M283" i="42"/>
  <c r="T283" i="42" s="1"/>
  <c r="M284" i="42"/>
  <c r="T284" i="42" s="1"/>
  <c r="M285" i="42"/>
  <c r="T285" i="42" s="1"/>
  <c r="M286" i="42"/>
  <c r="T286" i="42" s="1"/>
  <c r="M287" i="42"/>
  <c r="T287" i="42" s="1"/>
  <c r="M288" i="42"/>
  <c r="T288" i="42" s="1"/>
  <c r="M289" i="42"/>
  <c r="T289" i="42" s="1"/>
  <c r="M290" i="42"/>
  <c r="T290" i="42" s="1"/>
  <c r="M291" i="42"/>
  <c r="T291" i="42" s="1"/>
  <c r="M292" i="42"/>
  <c r="T292" i="42" s="1"/>
  <c r="M293" i="42"/>
  <c r="T293" i="42" s="1"/>
  <c r="M294" i="42"/>
  <c r="T294" i="42" s="1"/>
  <c r="M295" i="42"/>
  <c r="T295" i="42" s="1"/>
  <c r="M296" i="42"/>
  <c r="T296" i="42" s="1"/>
  <c r="M297" i="42"/>
  <c r="T297" i="42" s="1"/>
  <c r="M298" i="42"/>
  <c r="T298" i="42" s="1"/>
  <c r="M299" i="42"/>
  <c r="T299" i="42" s="1"/>
  <c r="M300" i="42"/>
  <c r="T300" i="42" s="1"/>
  <c r="M301" i="42"/>
  <c r="T301" i="42" s="1"/>
  <c r="M302" i="42"/>
  <c r="T302" i="42" s="1"/>
  <c r="M303" i="42"/>
  <c r="T303" i="42" s="1"/>
  <c r="M304" i="42"/>
  <c r="T304" i="42" s="1"/>
  <c r="M305" i="42"/>
  <c r="T305" i="42" s="1"/>
  <c r="C228" i="42"/>
  <c r="B33" i="40"/>
  <c r="B56" i="40"/>
  <c r="AC275" i="42" l="1"/>
  <c r="AK275" i="42"/>
  <c r="AD29" i="42"/>
  <c r="AE29" i="42" s="1"/>
  <c r="AM275" i="42"/>
  <c r="AE275" i="42"/>
  <c r="M228" i="42"/>
  <c r="T228" i="42" s="1"/>
  <c r="A1" i="42"/>
  <c r="E12" i="9"/>
  <c r="E11" i="9"/>
  <c r="D11" i="9"/>
  <c r="D12" i="9"/>
  <c r="F27" i="9" l="1"/>
  <c r="F19" i="9"/>
  <c r="F39" i="9"/>
  <c r="F55" i="9"/>
  <c r="F71" i="9"/>
  <c r="F87" i="9"/>
  <c r="F103" i="9"/>
  <c r="F119" i="9"/>
  <c r="F132" i="9"/>
  <c r="F148" i="9"/>
  <c r="F174" i="9"/>
  <c r="F189" i="9"/>
  <c r="F205" i="9"/>
  <c r="F221" i="9"/>
  <c r="F236" i="9"/>
  <c r="F244" i="9"/>
  <c r="F249" i="9"/>
  <c r="F252" i="9"/>
  <c r="F255" i="9"/>
  <c r="F268" i="9"/>
  <c r="F271" i="9"/>
  <c r="F274" i="9"/>
  <c r="F290" i="9"/>
  <c r="F306" i="9"/>
  <c r="F23" i="9"/>
  <c r="F43" i="9"/>
  <c r="F59" i="9"/>
  <c r="F75" i="9"/>
  <c r="F91" i="9"/>
  <c r="F107" i="9"/>
  <c r="F123" i="9"/>
  <c r="F136" i="9"/>
  <c r="F152" i="9"/>
  <c r="F168" i="9"/>
  <c r="F177" i="9"/>
  <c r="F193" i="9"/>
  <c r="F209" i="9"/>
  <c r="F225" i="9"/>
  <c r="F278" i="9"/>
  <c r="F294" i="9"/>
  <c r="F310" i="9"/>
  <c r="F31" i="9"/>
  <c r="F47" i="9"/>
  <c r="F63" i="9"/>
  <c r="F79" i="9"/>
  <c r="F95" i="9"/>
  <c r="F166" i="9"/>
  <c r="F232" i="9"/>
  <c r="F237" i="9"/>
  <c r="F260" i="9"/>
  <c r="F15" i="9"/>
  <c r="F35" i="9"/>
  <c r="F51" i="9"/>
  <c r="F67" i="9"/>
  <c r="F83" i="9"/>
  <c r="F99" i="9"/>
  <c r="F115" i="9"/>
  <c r="F128" i="9"/>
  <c r="F144" i="9"/>
  <c r="F160" i="9"/>
  <c r="F176" i="9"/>
  <c r="F185" i="9"/>
  <c r="F201" i="9"/>
  <c r="F217" i="9"/>
  <c r="F286" i="9"/>
  <c r="F302" i="9"/>
  <c r="F233" i="9"/>
  <c r="F241" i="9"/>
  <c r="F261" i="9"/>
  <c r="F111" i="9"/>
  <c r="F140" i="9"/>
  <c r="F156" i="9"/>
  <c r="F181" i="9"/>
  <c r="F197" i="9"/>
  <c r="F213" i="9"/>
  <c r="F229" i="9"/>
  <c r="F240" i="9"/>
  <c r="F245" i="9"/>
  <c r="F248" i="9"/>
  <c r="F282" i="9"/>
  <c r="F298" i="9"/>
  <c r="F305" i="9"/>
  <c r="F204" i="9"/>
  <c r="F164" i="9"/>
  <c r="F108" i="9"/>
  <c r="F291" i="9"/>
  <c r="F266" i="9"/>
  <c r="F162" i="9"/>
  <c r="F303" i="9"/>
  <c r="F284" i="9"/>
  <c r="F259" i="9"/>
  <c r="F224" i="9"/>
  <c r="F202" i="9"/>
  <c r="F183" i="9"/>
  <c r="F155" i="9"/>
  <c r="F112" i="9"/>
  <c r="F81" i="9"/>
  <c r="F64" i="9"/>
  <c r="F46" i="9"/>
  <c r="F26" i="9"/>
  <c r="F283" i="9"/>
  <c r="F227" i="9"/>
  <c r="F173" i="9"/>
  <c r="F138" i="9"/>
  <c r="F92" i="9"/>
  <c r="F74" i="9"/>
  <c r="F45" i="9"/>
  <c r="F28" i="9"/>
  <c r="F295" i="9"/>
  <c r="F276" i="9"/>
  <c r="F256" i="9"/>
  <c r="F226" i="9"/>
  <c r="F207" i="9"/>
  <c r="F184" i="9"/>
  <c r="F149" i="9"/>
  <c r="F131" i="9"/>
  <c r="F104" i="9"/>
  <c r="F86" i="9"/>
  <c r="F57" i="9"/>
  <c r="F40" i="9"/>
  <c r="F18" i="9"/>
  <c r="F228" i="9"/>
  <c r="F187" i="9"/>
  <c r="F165" i="9"/>
  <c r="F145" i="9"/>
  <c r="F116" i="9"/>
  <c r="F85" i="9"/>
  <c r="F68" i="9"/>
  <c r="F37" i="9"/>
  <c r="F24" i="9"/>
  <c r="F17" i="9"/>
  <c r="F273" i="9"/>
  <c r="F188" i="9"/>
  <c r="F153" i="9"/>
  <c r="F93" i="9"/>
  <c r="F288" i="9"/>
  <c r="F253" i="9"/>
  <c r="F50" i="9"/>
  <c r="F300" i="9"/>
  <c r="F277" i="9"/>
  <c r="F247" i="9"/>
  <c r="F218" i="9"/>
  <c r="F199" i="9"/>
  <c r="F171" i="9"/>
  <c r="F142" i="9"/>
  <c r="F110" i="9"/>
  <c r="F80" i="9"/>
  <c r="F62" i="9"/>
  <c r="F33" i="9"/>
  <c r="F13" i="9"/>
  <c r="F299" i="9"/>
  <c r="F280" i="9"/>
  <c r="F211" i="9"/>
  <c r="F169" i="9"/>
  <c r="F137" i="9"/>
  <c r="F90" i="9"/>
  <c r="F61" i="9"/>
  <c r="F44" i="9"/>
  <c r="F311" i="9"/>
  <c r="F292" i="9"/>
  <c r="F272" i="9"/>
  <c r="F251" i="9"/>
  <c r="F223" i="9"/>
  <c r="F200" i="9"/>
  <c r="F178" i="9"/>
  <c r="F147" i="9"/>
  <c r="F127" i="9"/>
  <c r="F102" i="9"/>
  <c r="F73" i="9"/>
  <c r="F56" i="9"/>
  <c r="F38" i="9"/>
  <c r="F212" i="9"/>
  <c r="F180" i="9"/>
  <c r="F161" i="9"/>
  <c r="F143" i="9"/>
  <c r="F114" i="9"/>
  <c r="F84" i="9"/>
  <c r="F66" i="9"/>
  <c r="F36" i="9"/>
  <c r="F22" i="9"/>
  <c r="F16" i="9"/>
  <c r="F258" i="9"/>
  <c r="F170" i="9"/>
  <c r="F135" i="9"/>
  <c r="F307" i="9"/>
  <c r="F275" i="9"/>
  <c r="F250" i="9"/>
  <c r="F293" i="9"/>
  <c r="F265" i="9"/>
  <c r="F239" i="9"/>
  <c r="F215" i="9"/>
  <c r="F192" i="9"/>
  <c r="F158" i="9"/>
  <c r="F141" i="9"/>
  <c r="F96" i="9"/>
  <c r="F78" i="9"/>
  <c r="F49" i="9"/>
  <c r="F32" i="9"/>
  <c r="F296" i="9"/>
  <c r="F257" i="9"/>
  <c r="F195" i="9"/>
  <c r="F154" i="9"/>
  <c r="F122" i="9"/>
  <c r="F77" i="9"/>
  <c r="F60" i="9"/>
  <c r="F42" i="9"/>
  <c r="F308" i="9"/>
  <c r="F285" i="9"/>
  <c r="F267" i="9"/>
  <c r="F243" i="9"/>
  <c r="F216" i="9"/>
  <c r="F194" i="9"/>
  <c r="F163" i="9"/>
  <c r="F134" i="9"/>
  <c r="F120" i="9"/>
  <c r="F89" i="9"/>
  <c r="F72" i="9"/>
  <c r="F54" i="9"/>
  <c r="F21" i="9"/>
  <c r="F297" i="9"/>
  <c r="F203" i="9"/>
  <c r="F175" i="9"/>
  <c r="F159" i="9"/>
  <c r="F130" i="9"/>
  <c r="F100" i="9"/>
  <c r="F82" i="9"/>
  <c r="F53" i="9"/>
  <c r="F34" i="9"/>
  <c r="F14" i="9"/>
  <c r="F220" i="9"/>
  <c r="F167" i="9"/>
  <c r="F124" i="9"/>
  <c r="F304" i="9"/>
  <c r="F269" i="9"/>
  <c r="F219" i="9"/>
  <c r="F309" i="9"/>
  <c r="F287" i="9"/>
  <c r="F264" i="9"/>
  <c r="F231" i="9"/>
  <c r="F208" i="9"/>
  <c r="F186" i="9"/>
  <c r="F157" i="9"/>
  <c r="F139" i="9"/>
  <c r="F94" i="9"/>
  <c r="F65" i="9"/>
  <c r="F48" i="9"/>
  <c r="F30" i="9"/>
  <c r="F289" i="9"/>
  <c r="F246" i="9"/>
  <c r="F179" i="9"/>
  <c r="F151" i="9"/>
  <c r="F106" i="9"/>
  <c r="F76" i="9"/>
  <c r="F58" i="9"/>
  <c r="F29" i="9"/>
  <c r="F301" i="9"/>
  <c r="F279" i="9"/>
  <c r="F263" i="9"/>
  <c r="F235" i="9"/>
  <c r="F210" i="9"/>
  <c r="F191" i="9"/>
  <c r="F150" i="9"/>
  <c r="F133" i="9"/>
  <c r="F118" i="9"/>
  <c r="F88" i="9"/>
  <c r="F70" i="9"/>
  <c r="F41" i="9"/>
  <c r="F20" i="9"/>
  <c r="F281" i="9"/>
  <c r="F196" i="9"/>
  <c r="F172" i="9"/>
  <c r="F146" i="9"/>
  <c r="F129" i="9"/>
  <c r="F98" i="9"/>
  <c r="F69" i="9"/>
  <c r="F52" i="9"/>
  <c r="F25" i="9"/>
  <c r="F238" i="9"/>
  <c r="F198" i="9"/>
  <c r="F222" i="9"/>
  <c r="F113" i="9"/>
  <c r="F125" i="9"/>
  <c r="F234" i="9"/>
  <c r="F182" i="9"/>
  <c r="F206" i="9"/>
  <c r="F105" i="9"/>
  <c r="F117" i="9"/>
  <c r="F262" i="9"/>
  <c r="F230" i="9"/>
  <c r="F270" i="9"/>
  <c r="F190" i="9"/>
  <c r="F97" i="9"/>
  <c r="F109" i="9"/>
  <c r="F242" i="9"/>
  <c r="F214" i="9"/>
  <c r="F254" i="9"/>
  <c r="F121" i="9"/>
  <c r="F126" i="9"/>
  <c r="F101" i="9"/>
  <c r="AK155" i="42"/>
  <c r="AE155" i="42"/>
  <c r="AC155" i="42"/>
  <c r="AM155" i="42"/>
  <c r="D312" i="9"/>
  <c r="F12" i="9"/>
  <c r="E312" i="9"/>
  <c r="AK228" i="42" l="1"/>
  <c r="AC228" i="42"/>
  <c r="AM228" i="42"/>
  <c r="AE228" i="42"/>
  <c r="F312" i="9"/>
  <c r="C6" i="9" s="1"/>
  <c r="D6" i="13"/>
  <c r="AJ306" i="42" l="1"/>
  <c r="B6" i="54" l="1"/>
  <c r="A6" i="54"/>
  <c r="D60" i="48" l="1"/>
  <c r="E60" i="48"/>
  <c r="B6" i="11"/>
  <c r="B6" i="48" l="1"/>
  <c r="C7" i="34"/>
  <c r="C6" i="34"/>
  <c r="H5" i="39" l="1"/>
  <c r="D5" i="25" l="1"/>
  <c r="B5" i="25"/>
  <c r="A5" i="25"/>
  <c r="A2" i="25" l="1"/>
  <c r="A2" i="49"/>
  <c r="A2" i="13"/>
  <c r="A2" i="39"/>
  <c r="A2" i="12"/>
  <c r="A2" i="34"/>
  <c r="A2" i="11"/>
  <c r="A2" i="37"/>
  <c r="A2" i="36"/>
  <c r="A2" i="9"/>
  <c r="A2" i="33"/>
  <c r="A2" i="19"/>
  <c r="A2" i="42"/>
  <c r="E46" i="40"/>
  <c r="A32" i="40" l="1"/>
  <c r="I45" i="40"/>
  <c r="A56" i="40"/>
  <c r="D5" i="49" l="1"/>
  <c r="Q5" i="19"/>
  <c r="X5" i="42"/>
  <c r="E6" i="49" l="1"/>
  <c r="D6" i="49"/>
  <c r="C6" i="49"/>
  <c r="I6" i="49" s="1"/>
  <c r="AR306" i="42"/>
  <c r="J6" i="11" l="1"/>
  <c r="E6" i="11"/>
  <c r="AN306" i="42"/>
  <c r="AL6" i="42"/>
  <c r="AH306" i="42"/>
  <c r="AG306" i="42"/>
  <c r="AB306" i="42"/>
  <c r="AF306" i="42"/>
  <c r="D6" i="33"/>
  <c r="AL306" i="42" l="1"/>
  <c r="D306" i="33"/>
  <c r="R5" i="19"/>
  <c r="O6" i="19"/>
  <c r="AD306" i="42" l="1"/>
  <c r="S306" i="42" l="1"/>
  <c r="H306" i="42"/>
  <c r="I306" i="42"/>
  <c r="J306" i="42"/>
  <c r="N306" i="42" l="1"/>
  <c r="J5" i="12" l="1"/>
  <c r="G306" i="42" l="1"/>
  <c r="K306" i="42"/>
  <c r="L306" i="42"/>
  <c r="D306" i="42"/>
  <c r="E306" i="42"/>
  <c r="C306" i="42"/>
  <c r="D6" i="19" l="1"/>
  <c r="H5" i="33"/>
  <c r="I5" i="33"/>
  <c r="J5" i="33"/>
  <c r="K5" i="33"/>
  <c r="H4" i="33"/>
  <c r="I4" i="33"/>
  <c r="J4" i="33"/>
  <c r="K4" i="33"/>
  <c r="F6" i="37" l="1"/>
  <c r="Q6" i="19"/>
  <c r="C5" i="25" s="1"/>
  <c r="Z5" i="42" l="1"/>
  <c r="U306" i="42" l="1"/>
  <c r="V306" i="42"/>
  <c r="W306" i="42"/>
  <c r="A6" i="11" l="1"/>
  <c r="K6" i="19" l="1"/>
  <c r="N6" i="19"/>
  <c r="G6" i="19"/>
  <c r="F6" i="19"/>
  <c r="M6" i="19"/>
  <c r="E6" i="19"/>
  <c r="L5" i="11" l="1"/>
  <c r="G5" i="11"/>
  <c r="F57" i="11" l="1"/>
  <c r="G57" i="11" s="1"/>
  <c r="F133" i="11"/>
  <c r="G133" i="11" s="1"/>
  <c r="F29" i="11"/>
  <c r="G29" i="11" s="1"/>
  <c r="F145" i="11"/>
  <c r="G145" i="11" s="1"/>
  <c r="F129" i="11"/>
  <c r="G129" i="11" s="1"/>
  <c r="F55" i="11"/>
  <c r="G55" i="11" s="1"/>
  <c r="F45" i="11"/>
  <c r="G45" i="11" s="1"/>
  <c r="F157" i="11"/>
  <c r="G157" i="11" s="1"/>
  <c r="F13" i="11"/>
  <c r="G13" i="11" s="1"/>
  <c r="F137" i="11"/>
  <c r="G137" i="11" s="1"/>
  <c r="F165" i="11"/>
  <c r="G165" i="11" s="1"/>
  <c r="F61" i="11"/>
  <c r="G61" i="11" s="1"/>
  <c r="F173" i="11"/>
  <c r="G173" i="11" s="1"/>
  <c r="F161" i="11"/>
  <c r="G161" i="11" s="1"/>
  <c r="F33" i="11"/>
  <c r="G33" i="11" s="1"/>
  <c r="F169" i="11"/>
  <c r="G169" i="11" s="1"/>
  <c r="F17" i="11"/>
  <c r="G17" i="11" s="1"/>
  <c r="F159" i="11"/>
  <c r="G159" i="11" s="1"/>
  <c r="F43" i="11"/>
  <c r="G43" i="11" s="1"/>
  <c r="F171" i="11"/>
  <c r="G171" i="11" s="1"/>
  <c r="F27" i="11"/>
  <c r="G27" i="11" s="1"/>
  <c r="F49" i="11"/>
  <c r="G49" i="11" s="1"/>
  <c r="F175" i="11"/>
  <c r="G175" i="11" s="1"/>
  <c r="F35" i="11"/>
  <c r="G35" i="11" s="1"/>
  <c r="F177" i="11"/>
  <c r="G177" i="11" s="1"/>
  <c r="F39" i="11"/>
  <c r="G39" i="11" s="1"/>
  <c r="F125" i="11"/>
  <c r="G125" i="11" s="1"/>
  <c r="F131" i="11"/>
  <c r="G131" i="11" s="1"/>
  <c r="F163" i="11"/>
  <c r="G163" i="11" s="1"/>
  <c r="F135" i="11"/>
  <c r="G135" i="11" s="1"/>
  <c r="F141" i="11"/>
  <c r="G141" i="11" s="1"/>
  <c r="F21" i="11"/>
  <c r="G21" i="11" s="1"/>
  <c r="F11" i="11"/>
  <c r="G11" i="11" s="1"/>
  <c r="F63" i="11"/>
  <c r="G63" i="11" s="1"/>
  <c r="F15" i="11"/>
  <c r="G15" i="11" s="1"/>
  <c r="F9" i="11"/>
  <c r="G9" i="11" s="1"/>
  <c r="F31" i="11"/>
  <c r="G31" i="11" s="1"/>
  <c r="F139" i="11"/>
  <c r="G139" i="11" s="1"/>
  <c r="F23" i="11"/>
  <c r="G23" i="11" s="1"/>
  <c r="F127" i="11"/>
  <c r="G127" i="11" s="1"/>
  <c r="F167" i="11"/>
  <c r="G167" i="11" s="1"/>
  <c r="F41" i="11"/>
  <c r="G41" i="11" s="1"/>
  <c r="F143" i="11"/>
  <c r="G143" i="11" s="1"/>
  <c r="F19" i="11"/>
  <c r="G19" i="11" s="1"/>
  <c r="F51" i="11"/>
  <c r="G51" i="11" s="1"/>
  <c r="F59" i="11"/>
  <c r="G59" i="11" s="1"/>
  <c r="F25" i="11"/>
  <c r="G25" i="11" s="1"/>
  <c r="F37" i="11"/>
  <c r="G37" i="11" s="1"/>
  <c r="F53" i="11"/>
  <c r="G53" i="11" s="1"/>
  <c r="F47" i="11"/>
  <c r="G47" i="11" s="1"/>
  <c r="F294" i="11"/>
  <c r="G294" i="11" s="1"/>
  <c r="F120" i="11"/>
  <c r="G120" i="11" s="1"/>
  <c r="F259" i="11"/>
  <c r="G259" i="11" s="1"/>
  <c r="F250" i="11"/>
  <c r="G250" i="11" s="1"/>
  <c r="F144" i="11"/>
  <c r="G144" i="11" s="1"/>
  <c r="F200" i="11"/>
  <c r="G200" i="11" s="1"/>
  <c r="F191" i="11"/>
  <c r="G191" i="11" s="1"/>
  <c r="F199" i="11"/>
  <c r="G199" i="11" s="1"/>
  <c r="F192" i="11"/>
  <c r="G192" i="11" s="1"/>
  <c r="F203" i="11"/>
  <c r="G203" i="11" s="1"/>
  <c r="F234" i="11"/>
  <c r="G234" i="11" s="1"/>
  <c r="F185" i="11"/>
  <c r="G185" i="11" s="1"/>
  <c r="F246" i="11"/>
  <c r="G246" i="11" s="1"/>
  <c r="F151" i="11"/>
  <c r="G151" i="11" s="1"/>
  <c r="F189" i="11"/>
  <c r="G189" i="11" s="1"/>
  <c r="F195" i="11"/>
  <c r="G195" i="11" s="1"/>
  <c r="F153" i="11"/>
  <c r="G153" i="11" s="1"/>
  <c r="F115" i="11"/>
  <c r="G115" i="11" s="1"/>
  <c r="F110" i="11"/>
  <c r="G110" i="11" s="1"/>
  <c r="F201" i="11"/>
  <c r="G201" i="11" s="1"/>
  <c r="F303" i="11"/>
  <c r="G303" i="11" s="1"/>
  <c r="F149" i="11"/>
  <c r="G149" i="11" s="1"/>
  <c r="F112" i="11"/>
  <c r="G112" i="11" s="1"/>
  <c r="F7" i="11"/>
  <c r="G7" i="11" s="1"/>
  <c r="F152" i="11"/>
  <c r="G152" i="11" s="1"/>
  <c r="F64" i="11"/>
  <c r="G64" i="11" s="1"/>
  <c r="F128" i="11"/>
  <c r="G128" i="11" s="1"/>
  <c r="F183" i="11"/>
  <c r="G183" i="11" s="1"/>
  <c r="F168" i="11"/>
  <c r="G168" i="11" s="1"/>
  <c r="F205" i="11"/>
  <c r="G205" i="11" s="1"/>
  <c r="F121" i="11"/>
  <c r="G121" i="11" s="1"/>
  <c r="F238" i="11"/>
  <c r="G238" i="11" s="1"/>
  <c r="F298" i="11"/>
  <c r="G298" i="11" s="1"/>
  <c r="F267" i="11"/>
  <c r="G267" i="11" s="1"/>
  <c r="F136" i="11"/>
  <c r="G136" i="11" s="1"/>
  <c r="F117" i="11"/>
  <c r="G117" i="11" s="1"/>
  <c r="F271" i="11"/>
  <c r="G271" i="11" s="1"/>
  <c r="F302" i="11"/>
  <c r="G302" i="11" s="1"/>
  <c r="F207" i="11"/>
  <c r="G207" i="11" s="1"/>
  <c r="F300" i="11"/>
  <c r="G300" i="11" s="1"/>
  <c r="F176" i="11"/>
  <c r="G176" i="11" s="1"/>
  <c r="F218" i="11"/>
  <c r="G218" i="11" s="1"/>
  <c r="F119" i="11"/>
  <c r="G119" i="11" s="1"/>
  <c r="F113" i="11"/>
  <c r="G113" i="11" s="1"/>
  <c r="F230" i="11"/>
  <c r="G230" i="11" s="1"/>
  <c r="F102" i="11"/>
  <c r="G102" i="11" s="1"/>
  <c r="F226" i="11"/>
  <c r="G226" i="11" s="1"/>
  <c r="F184" i="11"/>
  <c r="G184" i="11" s="1"/>
  <c r="F304" i="11"/>
  <c r="G304" i="11" s="1"/>
  <c r="F179" i="11"/>
  <c r="G179" i="11" s="1"/>
  <c r="F296" i="11"/>
  <c r="G296" i="11" s="1"/>
  <c r="F193" i="11"/>
  <c r="G193" i="11" s="1"/>
  <c r="F181" i="11"/>
  <c r="G181" i="11" s="1"/>
  <c r="F211" i="11"/>
  <c r="G211" i="11" s="1"/>
  <c r="F160" i="11"/>
  <c r="G160" i="11" s="1"/>
  <c r="F197" i="11"/>
  <c r="G197" i="11" s="1"/>
  <c r="F36" i="11"/>
  <c r="G36" i="11" s="1"/>
  <c r="F245" i="11"/>
  <c r="G245" i="11" s="1"/>
  <c r="F268" i="11"/>
  <c r="G268" i="11" s="1"/>
  <c r="F148" i="11"/>
  <c r="G148" i="11" s="1"/>
  <c r="F284" i="11"/>
  <c r="G284" i="11" s="1"/>
  <c r="F217" i="11"/>
  <c r="G217" i="11" s="1"/>
  <c r="F219" i="11"/>
  <c r="G219" i="11" s="1"/>
  <c r="F126" i="11"/>
  <c r="G126" i="11" s="1"/>
  <c r="F116" i="11"/>
  <c r="G116" i="11" s="1"/>
  <c r="F32" i="11"/>
  <c r="G32" i="11" s="1"/>
  <c r="F86" i="11"/>
  <c r="G86" i="11" s="1"/>
  <c r="F62" i="11"/>
  <c r="G62" i="11" s="1"/>
  <c r="F274" i="11"/>
  <c r="G274" i="11" s="1"/>
  <c r="F290" i="11"/>
  <c r="G290" i="11" s="1"/>
  <c r="F277" i="11"/>
  <c r="G277" i="11" s="1"/>
  <c r="F28" i="11"/>
  <c r="G28" i="11" s="1"/>
  <c r="F88" i="11"/>
  <c r="G88" i="11" s="1"/>
  <c r="F279" i="11"/>
  <c r="G279" i="11" s="1"/>
  <c r="F178" i="11"/>
  <c r="G178" i="11" s="1"/>
  <c r="F78" i="11"/>
  <c r="G78" i="11" s="1"/>
  <c r="F270" i="11"/>
  <c r="G270" i="11" s="1"/>
  <c r="F172" i="11"/>
  <c r="G172" i="11" s="1"/>
  <c r="F40" i="11"/>
  <c r="G40" i="11" s="1"/>
  <c r="F164" i="11"/>
  <c r="G164" i="11" s="1"/>
  <c r="F299" i="11"/>
  <c r="G299" i="11" s="1"/>
  <c r="F186" i="11"/>
  <c r="G186" i="11" s="1"/>
  <c r="F96" i="11"/>
  <c r="G96" i="11" s="1"/>
  <c r="F81" i="11"/>
  <c r="G81" i="11" s="1"/>
  <c r="F206" i="11"/>
  <c r="G206" i="11" s="1"/>
  <c r="F93" i="11"/>
  <c r="G93" i="11" s="1"/>
  <c r="F123" i="11"/>
  <c r="G123" i="11" s="1"/>
  <c r="F30" i="11"/>
  <c r="G30" i="11" s="1"/>
  <c r="F286" i="11"/>
  <c r="G286" i="11" s="1"/>
  <c r="F44" i="11"/>
  <c r="G44" i="11" s="1"/>
  <c r="F188" i="11"/>
  <c r="G188" i="11" s="1"/>
  <c r="F223" i="11"/>
  <c r="G223" i="11" s="1"/>
  <c r="F280" i="11"/>
  <c r="G280" i="11" s="1"/>
  <c r="F155" i="11"/>
  <c r="G155" i="11" s="1"/>
  <c r="F204" i="11"/>
  <c r="G204" i="11" s="1"/>
  <c r="F132" i="11"/>
  <c r="G132" i="11" s="1"/>
  <c r="F265" i="11"/>
  <c r="G265" i="11" s="1"/>
  <c r="F166" i="11"/>
  <c r="G166" i="11" s="1"/>
  <c r="F220" i="11"/>
  <c r="G220" i="11" s="1"/>
  <c r="F257" i="11"/>
  <c r="G257" i="11" s="1"/>
  <c r="F251" i="11"/>
  <c r="G251" i="11" s="1"/>
  <c r="F75" i="11"/>
  <c r="G75" i="11" s="1"/>
  <c r="F22" i="11"/>
  <c r="G22" i="11" s="1"/>
  <c r="F82" i="11"/>
  <c r="G82" i="11" s="1"/>
  <c r="F34" i="11"/>
  <c r="G34" i="11" s="1"/>
  <c r="F229" i="11"/>
  <c r="G229" i="11" s="1"/>
  <c r="F65" i="11"/>
  <c r="G65" i="11" s="1"/>
  <c r="F56" i="11"/>
  <c r="G56" i="11" s="1"/>
  <c r="F283" i="11"/>
  <c r="G283" i="11" s="1"/>
  <c r="F76" i="11"/>
  <c r="G76" i="11" s="1"/>
  <c r="F194" i="11"/>
  <c r="G194" i="11" s="1"/>
  <c r="F26" i="11"/>
  <c r="G26" i="11" s="1"/>
  <c r="F14" i="11"/>
  <c r="G14" i="11" s="1"/>
  <c r="F170" i="11"/>
  <c r="G170" i="11" s="1"/>
  <c r="F278" i="11"/>
  <c r="G278" i="11" s="1"/>
  <c r="F134" i="11"/>
  <c r="G134" i="11" s="1"/>
  <c r="F52" i="11"/>
  <c r="G52" i="11" s="1"/>
  <c r="F242" i="11"/>
  <c r="G242" i="11" s="1"/>
  <c r="F79" i="11"/>
  <c r="G79" i="11" s="1"/>
  <c r="F154" i="11"/>
  <c r="G154" i="11" s="1"/>
  <c r="F16" i="11"/>
  <c r="G16" i="11" s="1"/>
  <c r="F261" i="11"/>
  <c r="G261" i="11" s="1"/>
  <c r="F156" i="11"/>
  <c r="G156" i="11" s="1"/>
  <c r="F162" i="11"/>
  <c r="G162" i="11" s="1"/>
  <c r="F54" i="11"/>
  <c r="G54" i="11" s="1"/>
  <c r="F253" i="11"/>
  <c r="G253" i="11" s="1"/>
  <c r="F244" i="11"/>
  <c r="G244" i="11" s="1"/>
  <c r="F8" i="11"/>
  <c r="G8" i="11" s="1"/>
  <c r="F182" i="11"/>
  <c r="G182" i="11" s="1"/>
  <c r="F222" i="11"/>
  <c r="G222" i="11" s="1"/>
  <c r="F275" i="11"/>
  <c r="G275" i="11" s="1"/>
  <c r="F140" i="11"/>
  <c r="G140" i="11" s="1"/>
  <c r="F138" i="11"/>
  <c r="G138" i="11" s="1"/>
  <c r="F100" i="11"/>
  <c r="G100" i="11" s="1"/>
  <c r="F150" i="11"/>
  <c r="G150" i="11" s="1"/>
  <c r="F216" i="11"/>
  <c r="G216" i="11" s="1"/>
  <c r="F208" i="11"/>
  <c r="G208" i="11" s="1"/>
  <c r="F240" i="11"/>
  <c r="G240" i="11" s="1"/>
  <c r="F60" i="11"/>
  <c r="G60" i="11" s="1"/>
  <c r="F233" i="11"/>
  <c r="G233" i="11" s="1"/>
  <c r="F252" i="11"/>
  <c r="G252" i="11" s="1"/>
  <c r="F235" i="11"/>
  <c r="G235" i="11" s="1"/>
  <c r="F84" i="11"/>
  <c r="G84" i="11" s="1"/>
  <c r="F215" i="11"/>
  <c r="G215" i="11" s="1"/>
  <c r="F104" i="11"/>
  <c r="G104" i="11" s="1"/>
  <c r="F243" i="11"/>
  <c r="G243" i="11" s="1"/>
  <c r="F92" i="11"/>
  <c r="G92" i="11" s="1"/>
  <c r="F48" i="11"/>
  <c r="G48" i="11" s="1"/>
  <c r="F158" i="11"/>
  <c r="G158" i="11" s="1"/>
  <c r="F122" i="11"/>
  <c r="G122" i="11" s="1"/>
  <c r="F91" i="11"/>
  <c r="G91" i="11" s="1"/>
  <c r="F187" i="11"/>
  <c r="G187" i="11" s="1"/>
  <c r="F108" i="11"/>
  <c r="G108" i="11" s="1"/>
  <c r="F130" i="11"/>
  <c r="G130" i="11" s="1"/>
  <c r="F266" i="11"/>
  <c r="G266" i="11" s="1"/>
  <c r="F103" i="11"/>
  <c r="G103" i="11" s="1"/>
  <c r="F70" i="11"/>
  <c r="G70" i="11" s="1"/>
  <c r="F214" i="11"/>
  <c r="G214" i="11" s="1"/>
  <c r="F198" i="11"/>
  <c r="G198" i="11" s="1"/>
  <c r="F58" i="11"/>
  <c r="G58" i="11" s="1"/>
  <c r="F12" i="11"/>
  <c r="G12" i="11" s="1"/>
  <c r="F225" i="11"/>
  <c r="G225" i="11" s="1"/>
  <c r="F97" i="11"/>
  <c r="G97" i="11" s="1"/>
  <c r="F105" i="11"/>
  <c r="G105" i="11" s="1"/>
  <c r="F249" i="11"/>
  <c r="G249" i="11" s="1"/>
  <c r="F224" i="11"/>
  <c r="G224" i="11" s="1"/>
  <c r="F95" i="11"/>
  <c r="G95" i="11" s="1"/>
  <c r="F74" i="11"/>
  <c r="G74" i="11" s="1"/>
  <c r="F212" i="11"/>
  <c r="G212" i="11" s="1"/>
  <c r="F98" i="11"/>
  <c r="G98" i="11" s="1"/>
  <c r="F228" i="11"/>
  <c r="G228" i="11" s="1"/>
  <c r="F20" i="11"/>
  <c r="G20" i="11" s="1"/>
  <c r="F83" i="11"/>
  <c r="G83" i="11" s="1"/>
  <c r="F256" i="11"/>
  <c r="G256" i="11" s="1"/>
  <c r="F124" i="11"/>
  <c r="G124" i="11" s="1"/>
  <c r="F269" i="11"/>
  <c r="G269" i="11" s="1"/>
  <c r="F258" i="11"/>
  <c r="G258" i="11" s="1"/>
  <c r="F146" i="11"/>
  <c r="G146" i="11" s="1"/>
  <c r="F227" i="11"/>
  <c r="G227" i="11" s="1"/>
  <c r="F213" i="11"/>
  <c r="G213" i="11" s="1"/>
  <c r="F297" i="11"/>
  <c r="G297" i="11" s="1"/>
  <c r="F85" i="11"/>
  <c r="G85" i="11" s="1"/>
  <c r="F72" i="11"/>
  <c r="G72" i="11" s="1"/>
  <c r="F232" i="11"/>
  <c r="G232" i="11" s="1"/>
  <c r="F101" i="11"/>
  <c r="G101" i="11" s="1"/>
  <c r="F273" i="11"/>
  <c r="G273" i="11" s="1"/>
  <c r="F264" i="11"/>
  <c r="G264" i="11" s="1"/>
  <c r="F210" i="11"/>
  <c r="G210" i="11" s="1"/>
  <c r="F272" i="11"/>
  <c r="G272" i="11" s="1"/>
  <c r="F281" i="11"/>
  <c r="G281" i="11" s="1"/>
  <c r="F289" i="11"/>
  <c r="G289" i="11" s="1"/>
  <c r="F10" i="11"/>
  <c r="G10" i="11" s="1"/>
  <c r="F247" i="11"/>
  <c r="G247" i="11" s="1"/>
  <c r="F42" i="11"/>
  <c r="G42" i="11" s="1"/>
  <c r="F305" i="11"/>
  <c r="G305" i="11" s="1"/>
  <c r="F254" i="11"/>
  <c r="G254" i="11" s="1"/>
  <c r="F87" i="11"/>
  <c r="G87" i="11" s="1"/>
  <c r="F69" i="11"/>
  <c r="G69" i="11" s="1"/>
  <c r="F67" i="11"/>
  <c r="G67" i="11" s="1"/>
  <c r="F196" i="11"/>
  <c r="G196" i="11" s="1"/>
  <c r="F18" i="11"/>
  <c r="G18" i="11" s="1"/>
  <c r="F260" i="11"/>
  <c r="G260" i="11" s="1"/>
  <c r="F241" i="11"/>
  <c r="G241" i="11" s="1"/>
  <c r="F80" i="11"/>
  <c r="G80" i="11" s="1"/>
  <c r="F68" i="11"/>
  <c r="G68" i="11" s="1"/>
  <c r="F24" i="11"/>
  <c r="G24" i="11" s="1"/>
  <c r="F291" i="11"/>
  <c r="G291" i="11" s="1"/>
  <c r="F111" i="11"/>
  <c r="G111" i="11" s="1"/>
  <c r="F288" i="11"/>
  <c r="G288" i="11" s="1"/>
  <c r="F147" i="11"/>
  <c r="G147" i="11" s="1"/>
  <c r="F262" i="11"/>
  <c r="G262" i="11" s="1"/>
  <c r="F46" i="11"/>
  <c r="G46" i="11" s="1"/>
  <c r="F209" i="11"/>
  <c r="G209" i="11" s="1"/>
  <c r="F190" i="11"/>
  <c r="G190" i="11" s="1"/>
  <c r="F99" i="11"/>
  <c r="G99" i="11" s="1"/>
  <c r="F239" i="11"/>
  <c r="G239" i="11" s="1"/>
  <c r="F263" i="11"/>
  <c r="G263" i="11" s="1"/>
  <c r="F292" i="11"/>
  <c r="G292" i="11" s="1"/>
  <c r="F89" i="11"/>
  <c r="G89" i="11" s="1"/>
  <c r="F237" i="11"/>
  <c r="G237" i="11" s="1"/>
  <c r="F202" i="11"/>
  <c r="G202" i="11" s="1"/>
  <c r="F109" i="11"/>
  <c r="G109" i="11" s="1"/>
  <c r="F71" i="11"/>
  <c r="G71" i="11" s="1"/>
  <c r="F77" i="11"/>
  <c r="G77" i="11" s="1"/>
  <c r="F114" i="11"/>
  <c r="G114" i="11" s="1"/>
  <c r="F248" i="11"/>
  <c r="G248" i="11" s="1"/>
  <c r="F142" i="11"/>
  <c r="G142" i="11" s="1"/>
  <c r="F301" i="11"/>
  <c r="G301" i="11" s="1"/>
  <c r="F276" i="11"/>
  <c r="G276" i="11" s="1"/>
  <c r="F221" i="11"/>
  <c r="G221" i="11" s="1"/>
  <c r="F236" i="11"/>
  <c r="G236" i="11" s="1"/>
  <c r="F106" i="11"/>
  <c r="G106" i="11" s="1"/>
  <c r="F73" i="11"/>
  <c r="G73" i="11" s="1"/>
  <c r="F231" i="11"/>
  <c r="G231" i="11" s="1"/>
  <c r="F107" i="11"/>
  <c r="G107" i="11" s="1"/>
  <c r="F282" i="11"/>
  <c r="G282" i="11" s="1"/>
  <c r="F38" i="11"/>
  <c r="G38" i="11" s="1"/>
  <c r="F66" i="11"/>
  <c r="G66" i="11" s="1"/>
  <c r="F180" i="11"/>
  <c r="G180" i="11" s="1"/>
  <c r="F174" i="11"/>
  <c r="G174" i="11" s="1"/>
  <c r="F90" i="11"/>
  <c r="G90" i="11" s="1"/>
  <c r="F255" i="11"/>
  <c r="G255" i="11" s="1"/>
  <c r="F293" i="11"/>
  <c r="G293" i="11" s="1"/>
  <c r="F295" i="11"/>
  <c r="G295" i="11" s="1"/>
  <c r="F287" i="11"/>
  <c r="G287" i="11" s="1"/>
  <c r="F285" i="11"/>
  <c r="G285" i="11" s="1"/>
  <c r="F118" i="11"/>
  <c r="G118" i="11" s="1"/>
  <c r="F94" i="11"/>
  <c r="G94" i="11" s="1"/>
  <c r="F50" i="11"/>
  <c r="G50" i="11" s="1"/>
  <c r="K17" i="11"/>
  <c r="L17" i="11" s="1"/>
  <c r="K159" i="11"/>
  <c r="L159" i="11" s="1"/>
  <c r="K43" i="11"/>
  <c r="L43" i="11" s="1"/>
  <c r="K171" i="11"/>
  <c r="L171" i="11" s="1"/>
  <c r="K27" i="11"/>
  <c r="L27" i="11" s="1"/>
  <c r="K49" i="11"/>
  <c r="L49" i="11" s="1"/>
  <c r="K137" i="11"/>
  <c r="L137" i="11" s="1"/>
  <c r="K157" i="11"/>
  <c r="L157" i="11" s="1"/>
  <c r="K57" i="11"/>
  <c r="L57" i="11" s="1"/>
  <c r="K133" i="11"/>
  <c r="L133" i="11" s="1"/>
  <c r="K173" i="11"/>
  <c r="L173" i="11" s="1"/>
  <c r="K145" i="11"/>
  <c r="L145" i="11" s="1"/>
  <c r="K165" i="11"/>
  <c r="L165" i="11" s="1"/>
  <c r="K55" i="11"/>
  <c r="L55" i="11" s="1"/>
  <c r="K161" i="11"/>
  <c r="L161" i="11" s="1"/>
  <c r="K33" i="11"/>
  <c r="L33" i="11" s="1"/>
  <c r="K13" i="11"/>
  <c r="L13" i="11" s="1"/>
  <c r="K169" i="11"/>
  <c r="L169" i="11" s="1"/>
  <c r="K45" i="11"/>
  <c r="L45" i="11" s="1"/>
  <c r="K61" i="11"/>
  <c r="L61" i="11" s="1"/>
  <c r="K29" i="11"/>
  <c r="L29" i="11" s="1"/>
  <c r="K129" i="11"/>
  <c r="L129" i="11" s="1"/>
  <c r="K19" i="11"/>
  <c r="L19" i="11" s="1"/>
  <c r="K177" i="11"/>
  <c r="L177" i="11" s="1"/>
  <c r="K39" i="11"/>
  <c r="L39" i="11" s="1"/>
  <c r="K125" i="11"/>
  <c r="L125" i="11" s="1"/>
  <c r="K131" i="11"/>
  <c r="L131" i="11" s="1"/>
  <c r="K25" i="11"/>
  <c r="L25" i="11" s="1"/>
  <c r="K37" i="11"/>
  <c r="L37" i="11" s="1"/>
  <c r="K135" i="11"/>
  <c r="L135" i="11" s="1"/>
  <c r="K53" i="11"/>
  <c r="L53" i="11" s="1"/>
  <c r="K47" i="11"/>
  <c r="L47" i="11" s="1"/>
  <c r="K175" i="11"/>
  <c r="L175" i="11" s="1"/>
  <c r="K63" i="11"/>
  <c r="L63" i="11" s="1"/>
  <c r="K35" i="11"/>
  <c r="L35" i="11" s="1"/>
  <c r="K31" i="11"/>
  <c r="L31" i="11" s="1"/>
  <c r="K41" i="11"/>
  <c r="L41" i="11" s="1"/>
  <c r="K51" i="11"/>
  <c r="L51" i="11" s="1"/>
  <c r="K59" i="11"/>
  <c r="L59" i="11" s="1"/>
  <c r="K163" i="11"/>
  <c r="L163" i="11" s="1"/>
  <c r="K141" i="11"/>
  <c r="L141" i="11" s="1"/>
  <c r="K21" i="11"/>
  <c r="L21" i="11" s="1"/>
  <c r="K11" i="11"/>
  <c r="L11" i="11" s="1"/>
  <c r="K15" i="11"/>
  <c r="L15" i="11" s="1"/>
  <c r="K9" i="11"/>
  <c r="L9" i="11" s="1"/>
  <c r="K139" i="11"/>
  <c r="L139" i="11" s="1"/>
  <c r="K23" i="11"/>
  <c r="L23" i="11" s="1"/>
  <c r="K127" i="11"/>
  <c r="L127" i="11" s="1"/>
  <c r="K167" i="11"/>
  <c r="L167" i="11" s="1"/>
  <c r="K143" i="11"/>
  <c r="L143" i="11" s="1"/>
  <c r="K303" i="11"/>
  <c r="L303" i="11" s="1"/>
  <c r="K298" i="11"/>
  <c r="L298" i="11" s="1"/>
  <c r="K153" i="11"/>
  <c r="L153" i="11" s="1"/>
  <c r="K267" i="11"/>
  <c r="L267" i="11" s="1"/>
  <c r="K115" i="11"/>
  <c r="L115" i="11" s="1"/>
  <c r="K112" i="11"/>
  <c r="L112" i="11" s="1"/>
  <c r="K152" i="11"/>
  <c r="L152" i="11" s="1"/>
  <c r="K64" i="11"/>
  <c r="L64" i="11" s="1"/>
  <c r="K128" i="11"/>
  <c r="L128" i="11" s="1"/>
  <c r="K302" i="11"/>
  <c r="L302" i="11" s="1"/>
  <c r="K201" i="11"/>
  <c r="L201" i="11" s="1"/>
  <c r="K121" i="11"/>
  <c r="L121" i="11" s="1"/>
  <c r="K144" i="11"/>
  <c r="L144" i="11" s="1"/>
  <c r="K191" i="11"/>
  <c r="L191" i="11" s="1"/>
  <c r="K199" i="11"/>
  <c r="L199" i="11" s="1"/>
  <c r="K192" i="11"/>
  <c r="L192" i="11" s="1"/>
  <c r="K185" i="11"/>
  <c r="L185" i="11" s="1"/>
  <c r="K294" i="11"/>
  <c r="L294" i="11" s="1"/>
  <c r="K259" i="11"/>
  <c r="L259" i="11" s="1"/>
  <c r="K176" i="11"/>
  <c r="L176" i="11" s="1"/>
  <c r="K250" i="11"/>
  <c r="L250" i="11" s="1"/>
  <c r="K119" i="11"/>
  <c r="L119" i="11" s="1"/>
  <c r="K113" i="11"/>
  <c r="L113" i="11" s="1"/>
  <c r="K230" i="11"/>
  <c r="L230" i="11" s="1"/>
  <c r="K102" i="11"/>
  <c r="L102" i="11" s="1"/>
  <c r="K184" i="11"/>
  <c r="L184" i="11" s="1"/>
  <c r="K304" i="11"/>
  <c r="L304" i="11" s="1"/>
  <c r="K234" i="11"/>
  <c r="L234" i="11" s="1"/>
  <c r="K296" i="11"/>
  <c r="L296" i="11" s="1"/>
  <c r="K193" i="11"/>
  <c r="L193" i="11" s="1"/>
  <c r="K151" i="11"/>
  <c r="L151" i="11" s="1"/>
  <c r="K181" i="11"/>
  <c r="L181" i="11" s="1"/>
  <c r="K195" i="11"/>
  <c r="L195" i="11" s="1"/>
  <c r="K211" i="11"/>
  <c r="L211" i="11" s="1"/>
  <c r="K300" i="11"/>
  <c r="L300" i="11" s="1"/>
  <c r="K120" i="11"/>
  <c r="L120" i="11" s="1"/>
  <c r="K218" i="11"/>
  <c r="L218" i="11" s="1"/>
  <c r="K200" i="11"/>
  <c r="L200" i="11" s="1"/>
  <c r="K226" i="11"/>
  <c r="L226" i="11" s="1"/>
  <c r="K203" i="11"/>
  <c r="L203" i="11" s="1"/>
  <c r="K179" i="11"/>
  <c r="L179" i="11" s="1"/>
  <c r="K238" i="11"/>
  <c r="L238" i="11" s="1"/>
  <c r="K149" i="11"/>
  <c r="L149" i="11" s="1"/>
  <c r="K136" i="11"/>
  <c r="L136" i="11" s="1"/>
  <c r="K117" i="11"/>
  <c r="L117" i="11" s="1"/>
  <c r="K160" i="11"/>
  <c r="L160" i="11" s="1"/>
  <c r="K7" i="11"/>
  <c r="L7" i="11" s="1"/>
  <c r="K271" i="11"/>
  <c r="L271" i="11" s="1"/>
  <c r="K197" i="11"/>
  <c r="L197" i="11" s="1"/>
  <c r="K183" i="11"/>
  <c r="L183" i="11" s="1"/>
  <c r="K207" i="11"/>
  <c r="L207" i="11" s="1"/>
  <c r="K110" i="11"/>
  <c r="L110" i="11" s="1"/>
  <c r="K168" i="11"/>
  <c r="L168" i="11" s="1"/>
  <c r="K205" i="11"/>
  <c r="L205" i="11" s="1"/>
  <c r="K246" i="11"/>
  <c r="L246" i="11" s="1"/>
  <c r="K189" i="11"/>
  <c r="L189" i="11" s="1"/>
  <c r="K65" i="11"/>
  <c r="L65" i="11" s="1"/>
  <c r="K100" i="11"/>
  <c r="L100" i="11" s="1"/>
  <c r="K10" i="11"/>
  <c r="L10" i="11" s="1"/>
  <c r="K283" i="11"/>
  <c r="L283" i="11" s="1"/>
  <c r="K216" i="11"/>
  <c r="L216" i="11" s="1"/>
  <c r="K208" i="11"/>
  <c r="L208" i="11" s="1"/>
  <c r="K240" i="11"/>
  <c r="L240" i="11" s="1"/>
  <c r="K60" i="11"/>
  <c r="L60" i="11" s="1"/>
  <c r="K42" i="11"/>
  <c r="L42" i="11" s="1"/>
  <c r="K174" i="11"/>
  <c r="L174" i="11" s="1"/>
  <c r="K26" i="11"/>
  <c r="L26" i="11" s="1"/>
  <c r="K215" i="11"/>
  <c r="L215" i="11" s="1"/>
  <c r="K104" i="11"/>
  <c r="L104" i="11" s="1"/>
  <c r="K14" i="11"/>
  <c r="L14" i="11" s="1"/>
  <c r="K293" i="11"/>
  <c r="L293" i="11" s="1"/>
  <c r="K170" i="11"/>
  <c r="L170" i="11" s="1"/>
  <c r="K48" i="11"/>
  <c r="L48" i="11" s="1"/>
  <c r="K278" i="11"/>
  <c r="L278" i="11" s="1"/>
  <c r="K91" i="11"/>
  <c r="L91" i="11" s="1"/>
  <c r="K108" i="11"/>
  <c r="L108" i="11" s="1"/>
  <c r="K130" i="11"/>
  <c r="L130" i="11" s="1"/>
  <c r="K134" i="11"/>
  <c r="L134" i="11" s="1"/>
  <c r="K103" i="11"/>
  <c r="L103" i="11" s="1"/>
  <c r="K70" i="11"/>
  <c r="L70" i="11" s="1"/>
  <c r="K214" i="11"/>
  <c r="L214" i="11" s="1"/>
  <c r="K242" i="11"/>
  <c r="L242" i="11" s="1"/>
  <c r="K198" i="11"/>
  <c r="L198" i="11" s="1"/>
  <c r="K18" i="11"/>
  <c r="L18" i="11" s="1"/>
  <c r="K154" i="11"/>
  <c r="L154" i="11" s="1"/>
  <c r="K260" i="11"/>
  <c r="L260" i="11" s="1"/>
  <c r="K16" i="11"/>
  <c r="L16" i="11" s="1"/>
  <c r="K224" i="11"/>
  <c r="L224" i="11" s="1"/>
  <c r="K261" i="11"/>
  <c r="L261" i="11" s="1"/>
  <c r="K241" i="11"/>
  <c r="L241" i="11" s="1"/>
  <c r="K285" i="11"/>
  <c r="L285" i="11" s="1"/>
  <c r="K74" i="11"/>
  <c r="L74" i="11" s="1"/>
  <c r="K212" i="11"/>
  <c r="L212" i="11" s="1"/>
  <c r="K156" i="11"/>
  <c r="L156" i="11" s="1"/>
  <c r="K98" i="11"/>
  <c r="L98" i="11" s="1"/>
  <c r="K83" i="11"/>
  <c r="L83" i="11" s="1"/>
  <c r="K256" i="11"/>
  <c r="L256" i="11" s="1"/>
  <c r="K124" i="11"/>
  <c r="L124" i="11" s="1"/>
  <c r="K54" i="11"/>
  <c r="L54" i="11" s="1"/>
  <c r="K253" i="11"/>
  <c r="L253" i="11" s="1"/>
  <c r="K24" i="11"/>
  <c r="L24" i="11" s="1"/>
  <c r="K291" i="11"/>
  <c r="L291" i="11" s="1"/>
  <c r="K297" i="11"/>
  <c r="L297" i="11" s="1"/>
  <c r="K111" i="11"/>
  <c r="L111" i="11" s="1"/>
  <c r="K244" i="11"/>
  <c r="L244" i="11" s="1"/>
  <c r="K72" i="11"/>
  <c r="L72" i="11" s="1"/>
  <c r="K8" i="11"/>
  <c r="L8" i="11" s="1"/>
  <c r="K50" i="11"/>
  <c r="L50" i="11" s="1"/>
  <c r="K232" i="11"/>
  <c r="L232" i="11" s="1"/>
  <c r="K275" i="11"/>
  <c r="L275" i="11" s="1"/>
  <c r="K118" i="11"/>
  <c r="L118" i="11" s="1"/>
  <c r="K94" i="11"/>
  <c r="L94" i="11" s="1"/>
  <c r="K68" i="11"/>
  <c r="L68" i="11" s="1"/>
  <c r="K146" i="11"/>
  <c r="L146" i="11" s="1"/>
  <c r="K213" i="11"/>
  <c r="L213" i="11" s="1"/>
  <c r="K85" i="11"/>
  <c r="L85" i="11" s="1"/>
  <c r="K182" i="11"/>
  <c r="L182" i="11" s="1"/>
  <c r="K222" i="11"/>
  <c r="L222" i="11" s="1"/>
  <c r="K147" i="11"/>
  <c r="L147" i="11" s="1"/>
  <c r="K209" i="11"/>
  <c r="L209" i="11" s="1"/>
  <c r="K126" i="11"/>
  <c r="L126" i="11" s="1"/>
  <c r="K32" i="11"/>
  <c r="L32" i="11" s="1"/>
  <c r="K86" i="11"/>
  <c r="L86" i="11" s="1"/>
  <c r="K89" i="11"/>
  <c r="L89" i="11" s="1"/>
  <c r="K237" i="11"/>
  <c r="L237" i="11" s="1"/>
  <c r="K109" i="11"/>
  <c r="L109" i="11" s="1"/>
  <c r="K71" i="11"/>
  <c r="L71" i="11" s="1"/>
  <c r="K279" i="11"/>
  <c r="L279" i="11" s="1"/>
  <c r="K178" i="11"/>
  <c r="L178" i="11" s="1"/>
  <c r="K78" i="11"/>
  <c r="L78" i="11" s="1"/>
  <c r="K142" i="11"/>
  <c r="L142" i="11" s="1"/>
  <c r="K164" i="11"/>
  <c r="L164" i="11" s="1"/>
  <c r="K282" i="11"/>
  <c r="L282" i="11" s="1"/>
  <c r="K206" i="11"/>
  <c r="L206" i="11" s="1"/>
  <c r="K123" i="11"/>
  <c r="L123" i="11" s="1"/>
  <c r="K251" i="11"/>
  <c r="L251" i="11" s="1"/>
  <c r="K280" i="11"/>
  <c r="L280" i="11" s="1"/>
  <c r="K22" i="11"/>
  <c r="L22" i="11" s="1"/>
  <c r="K180" i="11"/>
  <c r="L180" i="11" s="1"/>
  <c r="K265" i="11"/>
  <c r="L265" i="11" s="1"/>
  <c r="K36" i="11"/>
  <c r="L36" i="11" s="1"/>
  <c r="K245" i="11"/>
  <c r="L245" i="11" s="1"/>
  <c r="K268" i="11"/>
  <c r="L268" i="11" s="1"/>
  <c r="K148" i="11"/>
  <c r="L148" i="11" s="1"/>
  <c r="K284" i="11"/>
  <c r="L284" i="11" s="1"/>
  <c r="K217" i="11"/>
  <c r="L217" i="11" s="1"/>
  <c r="K190" i="11"/>
  <c r="L190" i="11" s="1"/>
  <c r="K99" i="11"/>
  <c r="L99" i="11" s="1"/>
  <c r="K239" i="11"/>
  <c r="L239" i="11" s="1"/>
  <c r="K263" i="11"/>
  <c r="L263" i="11" s="1"/>
  <c r="K219" i="11"/>
  <c r="L219" i="11" s="1"/>
  <c r="K116" i="11"/>
  <c r="L116" i="11" s="1"/>
  <c r="K62" i="11"/>
  <c r="L62" i="11" s="1"/>
  <c r="K274" i="11"/>
  <c r="L274" i="11" s="1"/>
  <c r="K290" i="11"/>
  <c r="L290" i="11" s="1"/>
  <c r="K277" i="11"/>
  <c r="L277" i="11" s="1"/>
  <c r="K202" i="11"/>
  <c r="L202" i="11" s="1"/>
  <c r="K28" i="11"/>
  <c r="L28" i="11" s="1"/>
  <c r="K77" i="11"/>
  <c r="L77" i="11" s="1"/>
  <c r="K114" i="11"/>
  <c r="L114" i="11" s="1"/>
  <c r="K248" i="11"/>
  <c r="L248" i="11" s="1"/>
  <c r="K270" i="11"/>
  <c r="L270" i="11" s="1"/>
  <c r="K172" i="11"/>
  <c r="L172" i="11" s="1"/>
  <c r="K106" i="11"/>
  <c r="L106" i="11" s="1"/>
  <c r="K299" i="11"/>
  <c r="L299" i="11" s="1"/>
  <c r="K96" i="11"/>
  <c r="L96" i="11" s="1"/>
  <c r="K231" i="11"/>
  <c r="L231" i="11" s="1"/>
  <c r="K81" i="11"/>
  <c r="L81" i="11" s="1"/>
  <c r="K93" i="11"/>
  <c r="L93" i="11" s="1"/>
  <c r="K30" i="11"/>
  <c r="L30" i="11" s="1"/>
  <c r="K75" i="11"/>
  <c r="L75" i="11" s="1"/>
  <c r="K286" i="11"/>
  <c r="L286" i="11" s="1"/>
  <c r="K44" i="11"/>
  <c r="L44" i="11" s="1"/>
  <c r="K155" i="11"/>
  <c r="L155" i="11" s="1"/>
  <c r="K273" i="11"/>
  <c r="L273" i="11" s="1"/>
  <c r="K82" i="11"/>
  <c r="L82" i="11" s="1"/>
  <c r="K34" i="11"/>
  <c r="L34" i="11" s="1"/>
  <c r="K264" i="11"/>
  <c r="L264" i="11" s="1"/>
  <c r="K210" i="11"/>
  <c r="L210" i="11" s="1"/>
  <c r="K272" i="11"/>
  <c r="L272" i="11" s="1"/>
  <c r="K132" i="11"/>
  <c r="L132" i="11" s="1"/>
  <c r="K281" i="11"/>
  <c r="L281" i="11" s="1"/>
  <c r="K289" i="11"/>
  <c r="L289" i="11" s="1"/>
  <c r="K220" i="11"/>
  <c r="L220" i="11" s="1"/>
  <c r="K162" i="11"/>
  <c r="L162" i="11" s="1"/>
  <c r="K258" i="11"/>
  <c r="L258" i="11" s="1"/>
  <c r="K227" i="11"/>
  <c r="L227" i="11" s="1"/>
  <c r="K262" i="11"/>
  <c r="L262" i="11" s="1"/>
  <c r="K276" i="11"/>
  <c r="L276" i="11" s="1"/>
  <c r="K221" i="11"/>
  <c r="L221" i="11" s="1"/>
  <c r="K236" i="11"/>
  <c r="L236" i="11" s="1"/>
  <c r="K186" i="11"/>
  <c r="L186" i="11" s="1"/>
  <c r="K73" i="11"/>
  <c r="L73" i="11" s="1"/>
  <c r="K107" i="11"/>
  <c r="L107" i="11" s="1"/>
  <c r="K38" i="11"/>
  <c r="L38" i="11" s="1"/>
  <c r="K257" i="11"/>
  <c r="L257" i="11" s="1"/>
  <c r="K66" i="11"/>
  <c r="L66" i="11" s="1"/>
  <c r="K223" i="11"/>
  <c r="L223" i="11" s="1"/>
  <c r="K204" i="11"/>
  <c r="L204" i="11" s="1"/>
  <c r="K166" i="11"/>
  <c r="L166" i="11" s="1"/>
  <c r="K229" i="11"/>
  <c r="L229" i="11" s="1"/>
  <c r="K140" i="11"/>
  <c r="L140" i="11" s="1"/>
  <c r="K56" i="11"/>
  <c r="L56" i="11" s="1"/>
  <c r="K138" i="11"/>
  <c r="L138" i="11" s="1"/>
  <c r="K150" i="11"/>
  <c r="L150" i="11" s="1"/>
  <c r="K76" i="11"/>
  <c r="L76" i="11" s="1"/>
  <c r="K247" i="11"/>
  <c r="L247" i="11" s="1"/>
  <c r="K194" i="11"/>
  <c r="L194" i="11" s="1"/>
  <c r="K233" i="11"/>
  <c r="L233" i="11" s="1"/>
  <c r="K252" i="11"/>
  <c r="L252" i="11" s="1"/>
  <c r="K305" i="11"/>
  <c r="L305" i="11" s="1"/>
  <c r="K235" i="11"/>
  <c r="L235" i="11" s="1"/>
  <c r="K84" i="11"/>
  <c r="L84" i="11" s="1"/>
  <c r="K90" i="11"/>
  <c r="L90" i="11" s="1"/>
  <c r="K255" i="11"/>
  <c r="L255" i="11" s="1"/>
  <c r="K243" i="11"/>
  <c r="L243" i="11" s="1"/>
  <c r="K254" i="11"/>
  <c r="L254" i="11" s="1"/>
  <c r="K92" i="11"/>
  <c r="L92" i="11" s="1"/>
  <c r="K87" i="11"/>
  <c r="L87" i="11" s="1"/>
  <c r="K158" i="11"/>
  <c r="L158" i="11" s="1"/>
  <c r="K122" i="11"/>
  <c r="L122" i="11" s="1"/>
  <c r="K69" i="11"/>
  <c r="L69" i="11" s="1"/>
  <c r="K187" i="11"/>
  <c r="L187" i="11" s="1"/>
  <c r="K295" i="11"/>
  <c r="L295" i="11" s="1"/>
  <c r="K67" i="11"/>
  <c r="L67" i="11" s="1"/>
  <c r="K287" i="11"/>
  <c r="L287" i="11" s="1"/>
  <c r="K196" i="11"/>
  <c r="L196" i="11" s="1"/>
  <c r="K266" i="11"/>
  <c r="L266" i="11" s="1"/>
  <c r="K52" i="11"/>
  <c r="L52" i="11" s="1"/>
  <c r="K79" i="11"/>
  <c r="L79" i="11" s="1"/>
  <c r="K58" i="11"/>
  <c r="L58" i="11" s="1"/>
  <c r="K12" i="11"/>
  <c r="L12" i="11" s="1"/>
  <c r="K225" i="11"/>
  <c r="L225" i="11" s="1"/>
  <c r="K97" i="11"/>
  <c r="L97" i="11" s="1"/>
  <c r="K105" i="11"/>
  <c r="L105" i="11" s="1"/>
  <c r="K249" i="11"/>
  <c r="L249" i="11" s="1"/>
  <c r="K95" i="11"/>
  <c r="L95" i="11" s="1"/>
  <c r="K80" i="11"/>
  <c r="L80" i="11" s="1"/>
  <c r="K228" i="11"/>
  <c r="L228" i="11" s="1"/>
  <c r="K20" i="11"/>
  <c r="L20" i="11" s="1"/>
  <c r="K269" i="11"/>
  <c r="L269" i="11" s="1"/>
  <c r="K288" i="11"/>
  <c r="L288" i="11" s="1"/>
  <c r="K46" i="11"/>
  <c r="L46" i="11" s="1"/>
  <c r="K292" i="11"/>
  <c r="L292" i="11" s="1"/>
  <c r="K88" i="11"/>
  <c r="L88" i="11" s="1"/>
  <c r="K301" i="11"/>
  <c r="L301" i="11" s="1"/>
  <c r="K40" i="11"/>
  <c r="L40" i="11" s="1"/>
  <c r="K188" i="11"/>
  <c r="L188" i="11" s="1"/>
  <c r="K101" i="11"/>
  <c r="L101" i="11" s="1"/>
  <c r="M6" i="42"/>
  <c r="T6" i="42" s="1"/>
  <c r="C306" i="49" l="1"/>
  <c r="B6" i="49"/>
  <c r="A6" i="49"/>
  <c r="B306" i="49" l="1"/>
  <c r="B7" i="48"/>
  <c r="F61" i="48" l="1"/>
  <c r="E61" i="48"/>
  <c r="D61" i="48"/>
  <c r="F8" i="48"/>
  <c r="B8" i="48"/>
  <c r="B9" i="48"/>
  <c r="C33" i="40"/>
  <c r="B6" i="13"/>
  <c r="A6" i="13"/>
  <c r="B6" i="39"/>
  <c r="A6" i="39"/>
  <c r="B6" i="12"/>
  <c r="A6" i="12"/>
  <c r="J306" i="11"/>
  <c r="D12" i="34"/>
  <c r="B12" i="34"/>
  <c r="A12" i="34"/>
  <c r="C6" i="37"/>
  <c r="B6" i="37"/>
  <c r="A6" i="37"/>
  <c r="C9" i="36"/>
  <c r="B9" i="36"/>
  <c r="A9" i="36"/>
  <c r="B12" i="9"/>
  <c r="A12" i="9"/>
  <c r="E15" i="48" l="1"/>
  <c r="E14" i="48"/>
  <c r="C61" i="48"/>
  <c r="D312" i="34"/>
  <c r="B306" i="37"/>
  <c r="C306" i="37"/>
  <c r="C309" i="36"/>
  <c r="B309" i="36"/>
  <c r="B306" i="12"/>
  <c r="B306" i="39"/>
  <c r="B306" i="13"/>
  <c r="B312" i="34"/>
  <c r="B312" i="9"/>
  <c r="F15" i="48" l="1"/>
  <c r="G4" i="33"/>
  <c r="G5" i="33"/>
  <c r="B6" i="33" l="1"/>
  <c r="A6" i="33"/>
  <c r="B6" i="19"/>
  <c r="A6" i="19"/>
  <c r="R306" i="42"/>
  <c r="Q306" i="42"/>
  <c r="P306" i="42"/>
  <c r="O306" i="42"/>
  <c r="B306" i="42"/>
  <c r="B306" i="19" l="1"/>
  <c r="B306" i="33"/>
  <c r="F9" i="48" s="1"/>
  <c r="E5" i="37" l="1"/>
  <c r="E8" i="36"/>
  <c r="D33" i="40"/>
  <c r="F8" i="36" s="1"/>
  <c r="E33" i="40"/>
  <c r="G8" i="36" s="1"/>
  <c r="F33" i="40"/>
  <c r="H8" i="36" s="1"/>
  <c r="G33" i="40"/>
  <c r="I8" i="36" s="1"/>
  <c r="H33" i="40"/>
  <c r="J8" i="36" s="1"/>
  <c r="D8" i="36"/>
  <c r="K306" i="19" l="1"/>
  <c r="C6" i="19"/>
  <c r="H6" i="19"/>
  <c r="I6" i="19"/>
  <c r="J6" i="19"/>
  <c r="E5" i="36"/>
  <c r="G5" i="36"/>
  <c r="I5" i="36"/>
  <c r="H5" i="36"/>
  <c r="G6" i="36"/>
  <c r="D5" i="36"/>
  <c r="D6" i="36"/>
  <c r="E6" i="36"/>
  <c r="F5" i="36"/>
  <c r="F6" i="36"/>
  <c r="H6" i="36"/>
  <c r="J5" i="36"/>
  <c r="I6" i="36"/>
  <c r="I23" i="36" l="1"/>
  <c r="I27" i="36"/>
  <c r="I31" i="36"/>
  <c r="I44" i="36"/>
  <c r="I47" i="36"/>
  <c r="I49" i="36"/>
  <c r="I52" i="36"/>
  <c r="I53" i="36"/>
  <c r="I56" i="36"/>
  <c r="I65" i="36"/>
  <c r="I66" i="36"/>
  <c r="I81" i="36"/>
  <c r="I82" i="36"/>
  <c r="I92" i="36"/>
  <c r="I19" i="36"/>
  <c r="I24" i="36"/>
  <c r="I28" i="36"/>
  <c r="I32" i="36"/>
  <c r="I48" i="36"/>
  <c r="I69" i="36"/>
  <c r="I70" i="36"/>
  <c r="I85" i="36"/>
  <c r="I86" i="36"/>
  <c r="I15" i="36"/>
  <c r="I40" i="36"/>
  <c r="I78" i="36"/>
  <c r="I103" i="36"/>
  <c r="I116" i="36"/>
  <c r="I120" i="36"/>
  <c r="I124" i="36"/>
  <c r="I128" i="36"/>
  <c r="I132" i="36"/>
  <c r="I136" i="36"/>
  <c r="I140" i="36"/>
  <c r="I20" i="36"/>
  <c r="I61" i="36"/>
  <c r="I73" i="36"/>
  <c r="I89" i="36"/>
  <c r="I98" i="36"/>
  <c r="I106" i="36"/>
  <c r="I108" i="36"/>
  <c r="I119" i="36"/>
  <c r="I173" i="36"/>
  <c r="I177" i="36"/>
  <c r="I187" i="36"/>
  <c r="I192" i="36"/>
  <c r="I207" i="36"/>
  <c r="I210" i="36"/>
  <c r="I230" i="36"/>
  <c r="I241" i="36"/>
  <c r="I246" i="36"/>
  <c r="I254" i="36"/>
  <c r="I255" i="36"/>
  <c r="I11" i="36"/>
  <c r="I57" i="36"/>
  <c r="I62" i="36"/>
  <c r="I94" i="36"/>
  <c r="I99" i="36"/>
  <c r="I107" i="36"/>
  <c r="I111" i="36"/>
  <c r="I112" i="36"/>
  <c r="I114" i="36"/>
  <c r="I12" i="36"/>
  <c r="I16" i="36"/>
  <c r="I36" i="36"/>
  <c r="I45" i="36"/>
  <c r="I74" i="36"/>
  <c r="I77" i="36"/>
  <c r="I95" i="36"/>
  <c r="I102" i="36"/>
  <c r="I104" i="36"/>
  <c r="I115" i="36"/>
  <c r="I121" i="36"/>
  <c r="I125" i="36"/>
  <c r="I129" i="36"/>
  <c r="I133" i="36"/>
  <c r="I137" i="36"/>
  <c r="I141" i="36"/>
  <c r="I145" i="36"/>
  <c r="I149" i="36"/>
  <c r="I153" i="36"/>
  <c r="I157" i="36"/>
  <c r="I161" i="36"/>
  <c r="I164" i="36"/>
  <c r="I168" i="36"/>
  <c r="I179" i="36"/>
  <c r="I184" i="36"/>
  <c r="I195" i="36"/>
  <c r="I215" i="36"/>
  <c r="I219" i="36"/>
  <c r="I222" i="36"/>
  <c r="I233" i="36"/>
  <c r="I238" i="36"/>
  <c r="I249" i="36"/>
  <c r="I260" i="36"/>
  <c r="I264" i="36"/>
  <c r="I268" i="36"/>
  <c r="I272" i="36"/>
  <c r="I276" i="36"/>
  <c r="I280" i="36"/>
  <c r="I284" i="36"/>
  <c r="I288" i="36"/>
  <c r="I292" i="36"/>
  <c r="I296" i="36"/>
  <c r="I300" i="36"/>
  <c r="I304" i="36"/>
  <c r="I308" i="36"/>
  <c r="I172" i="36"/>
  <c r="I188" i="36"/>
  <c r="I214" i="36"/>
  <c r="I234" i="36"/>
  <c r="I253" i="36"/>
  <c r="I148" i="36"/>
  <c r="I156" i="36"/>
  <c r="I169" i="36"/>
  <c r="I180" i="36"/>
  <c r="I200" i="36"/>
  <c r="I206" i="36"/>
  <c r="I211" i="36"/>
  <c r="I226" i="36"/>
  <c r="I245" i="36"/>
  <c r="I261" i="36"/>
  <c r="I269" i="36"/>
  <c r="I277" i="36"/>
  <c r="I285" i="36"/>
  <c r="I293" i="36"/>
  <c r="I301" i="36"/>
  <c r="I176" i="36"/>
  <c r="I191" i="36"/>
  <c r="I201" i="36"/>
  <c r="I203" i="36"/>
  <c r="I218" i="36"/>
  <c r="I223" i="36"/>
  <c r="I237" i="36"/>
  <c r="I250" i="36"/>
  <c r="I251" i="36"/>
  <c r="I144" i="36"/>
  <c r="I152" i="36"/>
  <c r="I160" i="36"/>
  <c r="I165" i="36"/>
  <c r="I183" i="36"/>
  <c r="I196" i="36"/>
  <c r="I229" i="36"/>
  <c r="I242" i="36"/>
  <c r="I258" i="36"/>
  <c r="I265" i="36"/>
  <c r="I273" i="36"/>
  <c r="I281" i="36"/>
  <c r="I289" i="36"/>
  <c r="I297" i="36"/>
  <c r="I305" i="36"/>
  <c r="I193" i="36"/>
  <c r="I306" i="36"/>
  <c r="I302" i="36"/>
  <c r="I298" i="36"/>
  <c r="I294" i="36"/>
  <c r="I290" i="36"/>
  <c r="I286" i="36"/>
  <c r="I282" i="36"/>
  <c r="I278" i="36"/>
  <c r="I274" i="36"/>
  <c r="I270" i="36"/>
  <c r="I266" i="36"/>
  <c r="I262" i="36"/>
  <c r="I240" i="36"/>
  <c r="I224" i="36"/>
  <c r="I216" i="36"/>
  <c r="I208" i="36"/>
  <c r="I194" i="36"/>
  <c r="I178" i="36"/>
  <c r="I162" i="36"/>
  <c r="I154" i="36"/>
  <c r="I138" i="36"/>
  <c r="I122" i="36"/>
  <c r="I117" i="36"/>
  <c r="I83" i="36"/>
  <c r="I79" i="36"/>
  <c r="I75" i="36"/>
  <c r="I71" i="36"/>
  <c r="I67" i="36"/>
  <c r="I63" i="36"/>
  <c r="I37" i="36"/>
  <c r="I51" i="36"/>
  <c r="I41" i="36"/>
  <c r="I13" i="36"/>
  <c r="I50" i="36"/>
  <c r="I25" i="36"/>
  <c r="I46" i="36"/>
  <c r="I21" i="36"/>
  <c r="I205" i="36"/>
  <c r="I197" i="36"/>
  <c r="I181" i="36"/>
  <c r="I247" i="36"/>
  <c r="I239" i="36"/>
  <c r="I231" i="36"/>
  <c r="I213" i="36"/>
  <c r="I202" i="36"/>
  <c r="I159" i="36"/>
  <c r="I236" i="36"/>
  <c r="I163" i="36"/>
  <c r="I88" i="36"/>
  <c r="I190" i="36"/>
  <c r="I166" i="36"/>
  <c r="I150" i="36"/>
  <c r="I134" i="36"/>
  <c r="I151" i="36"/>
  <c r="I143" i="36"/>
  <c r="I135" i="36"/>
  <c r="I127" i="36"/>
  <c r="I87" i="36"/>
  <c r="I100" i="36"/>
  <c r="I91" i="36"/>
  <c r="I90" i="36"/>
  <c r="I84" i="36"/>
  <c r="I76" i="36"/>
  <c r="I68" i="36"/>
  <c r="I60" i="36"/>
  <c r="I17" i="36"/>
  <c r="I29" i="36"/>
  <c r="I43" i="36"/>
  <c r="I42" i="36"/>
  <c r="I30" i="36"/>
  <c r="I22" i="36"/>
  <c r="I14" i="36"/>
  <c r="I221" i="36"/>
  <c r="I185" i="36"/>
  <c r="I171" i="36"/>
  <c r="I256" i="36"/>
  <c r="I217" i="36"/>
  <c r="I307" i="36"/>
  <c r="I303" i="36"/>
  <c r="I299" i="36"/>
  <c r="I295" i="36"/>
  <c r="I291" i="36"/>
  <c r="I287" i="36"/>
  <c r="I283" i="36"/>
  <c r="I279" i="36"/>
  <c r="I275" i="36"/>
  <c r="I271" i="36"/>
  <c r="I267" i="36"/>
  <c r="I263" i="36"/>
  <c r="I259" i="36"/>
  <c r="I252" i="36"/>
  <c r="I175" i="36"/>
  <c r="I248" i="36"/>
  <c r="I232" i="36"/>
  <c r="I220" i="36"/>
  <c r="I212" i="36"/>
  <c r="I204" i="36"/>
  <c r="I113" i="36"/>
  <c r="I186" i="36"/>
  <c r="I170" i="36"/>
  <c r="I146" i="36"/>
  <c r="I130" i="36"/>
  <c r="I105" i="36"/>
  <c r="I96" i="36"/>
  <c r="I54" i="36"/>
  <c r="I58" i="36"/>
  <c r="I55" i="36"/>
  <c r="I59" i="36"/>
  <c r="I39" i="36"/>
  <c r="I38" i="36"/>
  <c r="I10" i="36"/>
  <c r="I199" i="36"/>
  <c r="I189" i="36"/>
  <c r="I243" i="36"/>
  <c r="I235" i="36"/>
  <c r="I227" i="36"/>
  <c r="I257" i="36"/>
  <c r="I225" i="36"/>
  <c r="I209" i="36"/>
  <c r="I244" i="36"/>
  <c r="I228" i="36"/>
  <c r="I167" i="36"/>
  <c r="I101" i="36"/>
  <c r="I97" i="36"/>
  <c r="I93" i="36"/>
  <c r="I198" i="36"/>
  <c r="I182" i="36"/>
  <c r="I174" i="36"/>
  <c r="I158" i="36"/>
  <c r="I142" i="36"/>
  <c r="I126" i="36"/>
  <c r="I118" i="36"/>
  <c r="I109" i="36"/>
  <c r="I155" i="36"/>
  <c r="I147" i="36"/>
  <c r="I139" i="36"/>
  <c r="I131" i="36"/>
  <c r="I123" i="36"/>
  <c r="I110" i="36"/>
  <c r="I80" i="36"/>
  <c r="I72" i="36"/>
  <c r="I64" i="36"/>
  <c r="I33" i="36"/>
  <c r="I35" i="36"/>
  <c r="I34" i="36"/>
  <c r="I26" i="36"/>
  <c r="I18" i="36"/>
  <c r="F11" i="36"/>
  <c r="F16" i="36"/>
  <c r="F40" i="36"/>
  <c r="F42" i="36"/>
  <c r="F61" i="36"/>
  <c r="F63" i="36"/>
  <c r="F74" i="36"/>
  <c r="F77" i="36"/>
  <c r="F79" i="36"/>
  <c r="F12" i="36"/>
  <c r="F44" i="36"/>
  <c r="F50" i="36"/>
  <c r="F52" i="36"/>
  <c r="F56" i="36"/>
  <c r="F62" i="36"/>
  <c r="F65" i="36"/>
  <c r="F67" i="36"/>
  <c r="F78" i="36"/>
  <c r="F81" i="36"/>
  <c r="F83" i="36"/>
  <c r="F20" i="36"/>
  <c r="F32" i="36"/>
  <c r="F38" i="36"/>
  <c r="F66" i="36"/>
  <c r="F73" i="36"/>
  <c r="F75" i="36"/>
  <c r="F85" i="36"/>
  <c r="F89" i="36"/>
  <c r="F95" i="36"/>
  <c r="F96" i="36"/>
  <c r="F105" i="36"/>
  <c r="F112" i="36"/>
  <c r="F115" i="36"/>
  <c r="F122" i="36"/>
  <c r="F126" i="36"/>
  <c r="F130" i="36"/>
  <c r="F134" i="36"/>
  <c r="F138" i="36"/>
  <c r="F34" i="36"/>
  <c r="F48" i="36"/>
  <c r="F70" i="36"/>
  <c r="F103" i="36"/>
  <c r="F124" i="36"/>
  <c r="F128" i="36"/>
  <c r="F132" i="36"/>
  <c r="F136" i="36"/>
  <c r="F140" i="36"/>
  <c r="F144" i="36"/>
  <c r="F148" i="36"/>
  <c r="F152" i="36"/>
  <c r="F156" i="36"/>
  <c r="F160" i="36"/>
  <c r="F180" i="36"/>
  <c r="F182" i="36"/>
  <c r="F196" i="36"/>
  <c r="F198" i="36"/>
  <c r="F200" i="36"/>
  <c r="F212" i="36"/>
  <c r="F214" i="36"/>
  <c r="F218" i="36"/>
  <c r="F234" i="36"/>
  <c r="F236" i="36"/>
  <c r="F250" i="36"/>
  <c r="F261" i="36"/>
  <c r="F262" i="36"/>
  <c r="F265" i="36"/>
  <c r="F266" i="36"/>
  <c r="F269" i="36"/>
  <c r="F270" i="36"/>
  <c r="F273" i="36"/>
  <c r="F274" i="36"/>
  <c r="F277" i="36"/>
  <c r="F278" i="36"/>
  <c r="F281" i="36"/>
  <c r="F282" i="36"/>
  <c r="F285" i="36"/>
  <c r="F286" i="36"/>
  <c r="F289" i="36"/>
  <c r="F290" i="36"/>
  <c r="F293" i="36"/>
  <c r="F294" i="36"/>
  <c r="F297" i="36"/>
  <c r="F298" i="36"/>
  <c r="F301" i="36"/>
  <c r="F302" i="36"/>
  <c r="F305" i="36"/>
  <c r="F306" i="36"/>
  <c r="F30" i="36"/>
  <c r="F36" i="36"/>
  <c r="F53" i="36"/>
  <c r="F69" i="36"/>
  <c r="F71" i="36"/>
  <c r="F82" i="36"/>
  <c r="F109" i="36"/>
  <c r="F119" i="36"/>
  <c r="F24" i="36"/>
  <c r="F28" i="36"/>
  <c r="F46" i="36"/>
  <c r="F49" i="36"/>
  <c r="F86" i="36"/>
  <c r="F99" i="36"/>
  <c r="F100" i="36"/>
  <c r="F107" i="36"/>
  <c r="F108" i="36"/>
  <c r="F111" i="36"/>
  <c r="F166" i="36"/>
  <c r="F170" i="36"/>
  <c r="F172" i="36"/>
  <c r="F176" i="36"/>
  <c r="F188" i="36"/>
  <c r="F190" i="36"/>
  <c r="F204" i="36"/>
  <c r="F206" i="36"/>
  <c r="F224" i="36"/>
  <c r="F226" i="36"/>
  <c r="F228" i="36"/>
  <c r="F242" i="36"/>
  <c r="F244" i="36"/>
  <c r="F255" i="36"/>
  <c r="F256" i="36"/>
  <c r="F258" i="36"/>
  <c r="F164" i="36"/>
  <c r="F174" i="36"/>
  <c r="F184" i="36"/>
  <c r="F194" i="36"/>
  <c r="F216" i="36"/>
  <c r="F230" i="36"/>
  <c r="F240" i="36"/>
  <c r="F142" i="36"/>
  <c r="F150" i="36"/>
  <c r="F158" i="36"/>
  <c r="F186" i="36"/>
  <c r="F201" i="36"/>
  <c r="F208" i="36"/>
  <c r="F232" i="36"/>
  <c r="F254" i="36"/>
  <c r="F168" i="36"/>
  <c r="F178" i="36"/>
  <c r="F210" i="36"/>
  <c r="F220" i="36"/>
  <c r="F246" i="36"/>
  <c r="F252" i="36"/>
  <c r="F146" i="36"/>
  <c r="F154" i="36"/>
  <c r="F162" i="36"/>
  <c r="F192" i="36"/>
  <c r="F222" i="36"/>
  <c r="F238" i="36"/>
  <c r="F248" i="36"/>
  <c r="F288" i="36"/>
  <c r="F161" i="36"/>
  <c r="F145" i="36"/>
  <c r="F284" i="36"/>
  <c r="F133" i="36"/>
  <c r="F104" i="36"/>
  <c r="F31" i="36"/>
  <c r="F15" i="36"/>
  <c r="F280" i="36"/>
  <c r="F173" i="36"/>
  <c r="F308" i="36"/>
  <c r="F276" i="36"/>
  <c r="F149" i="36"/>
  <c r="F169" i="36"/>
  <c r="F120" i="36"/>
  <c r="F27" i="36"/>
  <c r="F129" i="36"/>
  <c r="F98" i="36"/>
  <c r="F59" i="36"/>
  <c r="F304" i="36"/>
  <c r="F272" i="36"/>
  <c r="F153" i="36"/>
  <c r="F300" i="36"/>
  <c r="F268" i="36"/>
  <c r="F177" i="36"/>
  <c r="F165" i="36"/>
  <c r="F102" i="36"/>
  <c r="F94" i="36"/>
  <c r="F23" i="36"/>
  <c r="F141" i="36"/>
  <c r="F125" i="36"/>
  <c r="F296" i="36"/>
  <c r="F264" i="36"/>
  <c r="F292" i="36"/>
  <c r="F260" i="36"/>
  <c r="F157" i="36"/>
  <c r="F117" i="36"/>
  <c r="F92" i="36"/>
  <c r="F137" i="36"/>
  <c r="F121" i="36"/>
  <c r="F19" i="36"/>
  <c r="F197" i="36"/>
  <c r="F181" i="36"/>
  <c r="F225" i="36"/>
  <c r="F209" i="36"/>
  <c r="F223" i="36"/>
  <c r="F215" i="36"/>
  <c r="F207" i="36"/>
  <c r="F183" i="36"/>
  <c r="F167" i="36"/>
  <c r="F101" i="36"/>
  <c r="F97" i="36"/>
  <c r="F93" i="36"/>
  <c r="F151" i="36"/>
  <c r="F135" i="36"/>
  <c r="F113" i="36"/>
  <c r="F91" i="36"/>
  <c r="F57" i="36"/>
  <c r="F80" i="36"/>
  <c r="F72" i="36"/>
  <c r="F64" i="36"/>
  <c r="F37" i="36"/>
  <c r="F41" i="36"/>
  <c r="F43" i="36"/>
  <c r="F10" i="36"/>
  <c r="F257" i="36"/>
  <c r="F185" i="36"/>
  <c r="F251" i="36"/>
  <c r="F241" i="36"/>
  <c r="F233" i="36"/>
  <c r="F202" i="36"/>
  <c r="F195" i="36"/>
  <c r="F179" i="36"/>
  <c r="F147" i="36"/>
  <c r="F131" i="36"/>
  <c r="F106" i="36"/>
  <c r="F90" i="36"/>
  <c r="F118" i="36"/>
  <c r="F45" i="36"/>
  <c r="F58" i="36"/>
  <c r="F39" i="36"/>
  <c r="F13" i="36"/>
  <c r="F25" i="36"/>
  <c r="F21" i="36"/>
  <c r="F22" i="36"/>
  <c r="F14" i="36"/>
  <c r="F247" i="36"/>
  <c r="F243" i="36"/>
  <c r="F239" i="36"/>
  <c r="F205" i="36"/>
  <c r="F199" i="36"/>
  <c r="F189" i="36"/>
  <c r="F249" i="36"/>
  <c r="F213" i="36"/>
  <c r="F219" i="36"/>
  <c r="F211" i="36"/>
  <c r="F203" i="36"/>
  <c r="F159" i="36"/>
  <c r="F191" i="36"/>
  <c r="F163" i="36"/>
  <c r="F88" i="36"/>
  <c r="F143" i="36"/>
  <c r="F127" i="36"/>
  <c r="F87" i="36"/>
  <c r="F84" i="36"/>
  <c r="F76" i="36"/>
  <c r="F68" i="36"/>
  <c r="F60" i="36"/>
  <c r="F51" i="36"/>
  <c r="F17" i="36"/>
  <c r="F35" i="36"/>
  <c r="F29" i="36"/>
  <c r="F47" i="36"/>
  <c r="F235" i="36"/>
  <c r="F231" i="36"/>
  <c r="F227" i="36"/>
  <c r="F221" i="36"/>
  <c r="F193" i="36"/>
  <c r="F171" i="36"/>
  <c r="F307" i="36"/>
  <c r="F303" i="36"/>
  <c r="F299" i="36"/>
  <c r="F295" i="36"/>
  <c r="F291" i="36"/>
  <c r="F287" i="36"/>
  <c r="F283" i="36"/>
  <c r="F279" i="36"/>
  <c r="F275" i="36"/>
  <c r="F271" i="36"/>
  <c r="F267" i="36"/>
  <c r="F263" i="36"/>
  <c r="F259" i="36"/>
  <c r="F253" i="36"/>
  <c r="F245" i="36"/>
  <c r="F237" i="36"/>
  <c r="F229" i="36"/>
  <c r="F217" i="36"/>
  <c r="F175" i="36"/>
  <c r="F187" i="36"/>
  <c r="F110" i="36"/>
  <c r="F155" i="36"/>
  <c r="F139" i="36"/>
  <c r="F123" i="36"/>
  <c r="F116" i="36"/>
  <c r="F114" i="36"/>
  <c r="F54" i="36"/>
  <c r="F55" i="36"/>
  <c r="F33" i="36"/>
  <c r="F26" i="36"/>
  <c r="F18" i="36"/>
  <c r="E12" i="36"/>
  <c r="E44" i="36"/>
  <c r="E52" i="36"/>
  <c r="E56" i="36"/>
  <c r="E62" i="36"/>
  <c r="E65" i="36"/>
  <c r="E78" i="36"/>
  <c r="E81" i="36"/>
  <c r="E23" i="36"/>
  <c r="E24" i="36"/>
  <c r="E27" i="36"/>
  <c r="E28" i="36"/>
  <c r="E32" i="36"/>
  <c r="E35" i="36"/>
  <c r="E47" i="36"/>
  <c r="E48" i="36"/>
  <c r="E53" i="36"/>
  <c r="E57" i="36"/>
  <c r="E59" i="36"/>
  <c r="E66" i="36"/>
  <c r="E69" i="36"/>
  <c r="E82" i="36"/>
  <c r="E85" i="36"/>
  <c r="E92" i="36"/>
  <c r="E11" i="36"/>
  <c r="E70" i="36"/>
  <c r="E102" i="36"/>
  <c r="E103" i="36"/>
  <c r="E124" i="36"/>
  <c r="E128" i="36"/>
  <c r="E132" i="36"/>
  <c r="E136" i="36"/>
  <c r="E140" i="36"/>
  <c r="E16" i="36"/>
  <c r="E36" i="36"/>
  <c r="E39" i="36"/>
  <c r="E43" i="36"/>
  <c r="E77" i="36"/>
  <c r="E104" i="36"/>
  <c r="E119" i="36"/>
  <c r="E121" i="36"/>
  <c r="E125" i="36"/>
  <c r="E129" i="36"/>
  <c r="E133" i="36"/>
  <c r="E137" i="36"/>
  <c r="E141" i="36"/>
  <c r="E145" i="36"/>
  <c r="E149" i="36"/>
  <c r="E153" i="36"/>
  <c r="E157" i="36"/>
  <c r="E161" i="36"/>
  <c r="E179" i="36"/>
  <c r="E192" i="36"/>
  <c r="E195" i="36"/>
  <c r="E201" i="36"/>
  <c r="E210" i="36"/>
  <c r="E215" i="36"/>
  <c r="E219" i="36"/>
  <c r="E230" i="36"/>
  <c r="E233" i="36"/>
  <c r="E246" i="36"/>
  <c r="E249" i="36"/>
  <c r="E254" i="36"/>
  <c r="E19" i="36"/>
  <c r="E40" i="36"/>
  <c r="E74" i="36"/>
  <c r="E86" i="36"/>
  <c r="E90" i="36"/>
  <c r="E98" i="36"/>
  <c r="E99" i="36"/>
  <c r="E106" i="36"/>
  <c r="E107" i="36"/>
  <c r="E111" i="36"/>
  <c r="E120" i="36"/>
  <c r="E15" i="36"/>
  <c r="E20" i="36"/>
  <c r="E31" i="36"/>
  <c r="E61" i="36"/>
  <c r="E73" i="36"/>
  <c r="E89" i="36"/>
  <c r="E94" i="36"/>
  <c r="E95" i="36"/>
  <c r="E112" i="36"/>
  <c r="E115" i="36"/>
  <c r="E118" i="36"/>
  <c r="E164" i="36"/>
  <c r="E168" i="36"/>
  <c r="E173" i="36"/>
  <c r="E177" i="36"/>
  <c r="E184" i="36"/>
  <c r="E187" i="36"/>
  <c r="E207" i="36"/>
  <c r="E222" i="36"/>
  <c r="E238" i="36"/>
  <c r="E241" i="36"/>
  <c r="E169" i="36"/>
  <c r="E176" i="36"/>
  <c r="E211" i="36"/>
  <c r="E218" i="36"/>
  <c r="E245" i="36"/>
  <c r="E250" i="36"/>
  <c r="E264" i="36"/>
  <c r="E272" i="36"/>
  <c r="E280" i="36"/>
  <c r="E288" i="36"/>
  <c r="E296" i="36"/>
  <c r="E304" i="36"/>
  <c r="E144" i="36"/>
  <c r="E152" i="36"/>
  <c r="E160" i="36"/>
  <c r="E191" i="36"/>
  <c r="E196" i="36"/>
  <c r="E203" i="36"/>
  <c r="E223" i="36"/>
  <c r="E237" i="36"/>
  <c r="E242" i="36"/>
  <c r="E258" i="36"/>
  <c r="E265" i="36"/>
  <c r="E273" i="36"/>
  <c r="E281" i="36"/>
  <c r="E289" i="36"/>
  <c r="E297" i="36"/>
  <c r="E305" i="36"/>
  <c r="E165" i="36"/>
  <c r="E172" i="36"/>
  <c r="E183" i="36"/>
  <c r="E188" i="36"/>
  <c r="E214" i="36"/>
  <c r="E229" i="36"/>
  <c r="E234" i="36"/>
  <c r="E260" i="36"/>
  <c r="E268" i="36"/>
  <c r="E276" i="36"/>
  <c r="E284" i="36"/>
  <c r="E292" i="36"/>
  <c r="E300" i="36"/>
  <c r="E308" i="36"/>
  <c r="E148" i="36"/>
  <c r="E156" i="36"/>
  <c r="E180" i="36"/>
  <c r="E200" i="36"/>
  <c r="E206" i="36"/>
  <c r="E226" i="36"/>
  <c r="E253" i="36"/>
  <c r="E255" i="36"/>
  <c r="E261" i="36"/>
  <c r="E269" i="36"/>
  <c r="E277" i="36"/>
  <c r="E285" i="36"/>
  <c r="E293" i="36"/>
  <c r="E301" i="36"/>
  <c r="E240" i="36"/>
  <c r="E174" i="36"/>
  <c r="E251" i="36"/>
  <c r="E150" i="36"/>
  <c r="E182" i="36"/>
  <c r="E134" i="36"/>
  <c r="E126" i="36"/>
  <c r="E114" i="36"/>
  <c r="E244" i="36"/>
  <c r="E166" i="36"/>
  <c r="E18" i="36"/>
  <c r="E216" i="36"/>
  <c r="E154" i="36"/>
  <c r="E220" i="36"/>
  <c r="E178" i="36"/>
  <c r="E186" i="36"/>
  <c r="E212" i="36"/>
  <c r="E108" i="36"/>
  <c r="E42" i="36"/>
  <c r="E228" i="36"/>
  <c r="E204" i="36"/>
  <c r="E14" i="36"/>
  <c r="E49" i="36"/>
  <c r="E30" i="36"/>
  <c r="E248" i="36"/>
  <c r="E232" i="36"/>
  <c r="E158" i="36"/>
  <c r="E142" i="36"/>
  <c r="E236" i="36"/>
  <c r="E138" i="36"/>
  <c r="E130" i="36"/>
  <c r="E122" i="36"/>
  <c r="E10" i="36"/>
  <c r="E190" i="36"/>
  <c r="E26" i="36"/>
  <c r="E34" i="36"/>
  <c r="E194" i="36"/>
  <c r="E162" i="36"/>
  <c r="E146" i="36"/>
  <c r="E208" i="36"/>
  <c r="E198" i="36"/>
  <c r="E224" i="36"/>
  <c r="E170" i="36"/>
  <c r="E38" i="36"/>
  <c r="E22" i="36"/>
  <c r="E205" i="36"/>
  <c r="E199" i="36"/>
  <c r="E189" i="36"/>
  <c r="E257" i="36"/>
  <c r="E213" i="36"/>
  <c r="E202" i="36"/>
  <c r="E247" i="36"/>
  <c r="E231" i="36"/>
  <c r="E159" i="36"/>
  <c r="E163" i="36"/>
  <c r="E155" i="36"/>
  <c r="E147" i="36"/>
  <c r="E139" i="36"/>
  <c r="E131" i="36"/>
  <c r="E123" i="36"/>
  <c r="E87" i="36"/>
  <c r="E100" i="36"/>
  <c r="E91" i="36"/>
  <c r="E84" i="36"/>
  <c r="E76" i="36"/>
  <c r="E68" i="36"/>
  <c r="E60" i="36"/>
  <c r="E51" i="36"/>
  <c r="E17" i="36"/>
  <c r="E29" i="36"/>
  <c r="E221" i="36"/>
  <c r="E193" i="36"/>
  <c r="E171" i="36"/>
  <c r="E306" i="36"/>
  <c r="E302" i="36"/>
  <c r="E298" i="36"/>
  <c r="E294" i="36"/>
  <c r="E290" i="36"/>
  <c r="E286" i="36"/>
  <c r="E282" i="36"/>
  <c r="E278" i="36"/>
  <c r="E274" i="36"/>
  <c r="E270" i="36"/>
  <c r="E266" i="36"/>
  <c r="E262" i="36"/>
  <c r="E256" i="36"/>
  <c r="E217" i="36"/>
  <c r="E252" i="36"/>
  <c r="E243" i="36"/>
  <c r="E227" i="36"/>
  <c r="E175" i="36"/>
  <c r="E113" i="36"/>
  <c r="E105" i="36"/>
  <c r="E96" i="36"/>
  <c r="E54" i="36"/>
  <c r="E58" i="36"/>
  <c r="E33" i="36"/>
  <c r="E197" i="36"/>
  <c r="E181" i="36"/>
  <c r="E239" i="36"/>
  <c r="E225" i="36"/>
  <c r="E209" i="36"/>
  <c r="E167" i="36"/>
  <c r="E101" i="36"/>
  <c r="E97" i="36"/>
  <c r="E93" i="36"/>
  <c r="E88" i="36"/>
  <c r="E109" i="36"/>
  <c r="E151" i="36"/>
  <c r="E143" i="36"/>
  <c r="E135" i="36"/>
  <c r="E127" i="36"/>
  <c r="E110" i="36"/>
  <c r="E116" i="36"/>
  <c r="E80" i="36"/>
  <c r="E72" i="36"/>
  <c r="E64" i="36"/>
  <c r="E37" i="36"/>
  <c r="E41" i="36"/>
  <c r="E185" i="36"/>
  <c r="E307" i="36"/>
  <c r="E303" i="36"/>
  <c r="E299" i="36"/>
  <c r="E295" i="36"/>
  <c r="E291" i="36"/>
  <c r="E287" i="36"/>
  <c r="E283" i="36"/>
  <c r="E279" i="36"/>
  <c r="E275" i="36"/>
  <c r="E271" i="36"/>
  <c r="E267" i="36"/>
  <c r="E263" i="36"/>
  <c r="E259" i="36"/>
  <c r="E235" i="36"/>
  <c r="E117" i="36"/>
  <c r="E83" i="36"/>
  <c r="E79" i="36"/>
  <c r="E75" i="36"/>
  <c r="E71" i="36"/>
  <c r="E67" i="36"/>
  <c r="E63" i="36"/>
  <c r="E45" i="36"/>
  <c r="E55" i="36"/>
  <c r="E13" i="36"/>
  <c r="E50" i="36"/>
  <c r="E25" i="36"/>
  <c r="E46" i="36"/>
  <c r="E21" i="36"/>
  <c r="J11" i="36"/>
  <c r="J12" i="36"/>
  <c r="J16" i="36"/>
  <c r="J40" i="36"/>
  <c r="J50" i="36"/>
  <c r="J59" i="36"/>
  <c r="J61" i="36"/>
  <c r="J62" i="36"/>
  <c r="J77" i="36"/>
  <c r="J78" i="36"/>
  <c r="J34" i="36"/>
  <c r="J44" i="36"/>
  <c r="J52" i="36"/>
  <c r="J53" i="36"/>
  <c r="J56" i="36"/>
  <c r="J65" i="36"/>
  <c r="J66" i="36"/>
  <c r="J81" i="36"/>
  <c r="J82" i="36"/>
  <c r="J92" i="36"/>
  <c r="J36" i="36"/>
  <c r="J54" i="36"/>
  <c r="J69" i="36"/>
  <c r="J74" i="36"/>
  <c r="J86" i="36"/>
  <c r="J95" i="36"/>
  <c r="J100" i="36"/>
  <c r="J104" i="36"/>
  <c r="J115" i="36"/>
  <c r="J24" i="36"/>
  <c r="J28" i="36"/>
  <c r="J38" i="36"/>
  <c r="J42" i="36"/>
  <c r="J103" i="36"/>
  <c r="J109" i="36"/>
  <c r="J120" i="36"/>
  <c r="J124" i="36"/>
  <c r="J128" i="36"/>
  <c r="J132" i="36"/>
  <c r="J136" i="36"/>
  <c r="J140" i="36"/>
  <c r="J144" i="36"/>
  <c r="J148" i="36"/>
  <c r="J152" i="36"/>
  <c r="J156" i="36"/>
  <c r="J160" i="36"/>
  <c r="J174" i="36"/>
  <c r="J178" i="36"/>
  <c r="J180" i="36"/>
  <c r="J194" i="36"/>
  <c r="J196" i="36"/>
  <c r="J200" i="36"/>
  <c r="J201" i="36"/>
  <c r="J208" i="36"/>
  <c r="J214" i="36"/>
  <c r="J218" i="36"/>
  <c r="J232" i="36"/>
  <c r="J234" i="36"/>
  <c r="J248" i="36"/>
  <c r="J250" i="36"/>
  <c r="J252" i="36"/>
  <c r="J256" i="36"/>
  <c r="J261" i="36"/>
  <c r="J265" i="36"/>
  <c r="J269" i="36"/>
  <c r="J273" i="36"/>
  <c r="J277" i="36"/>
  <c r="J281" i="36"/>
  <c r="J285" i="36"/>
  <c r="J289" i="36"/>
  <c r="J293" i="36"/>
  <c r="J297" i="36"/>
  <c r="J301" i="36"/>
  <c r="J305" i="36"/>
  <c r="J20" i="36"/>
  <c r="J32" i="36"/>
  <c r="J70" i="36"/>
  <c r="J73" i="36"/>
  <c r="J85" i="36"/>
  <c r="J89" i="36"/>
  <c r="J96" i="36"/>
  <c r="J119" i="36"/>
  <c r="J30" i="36"/>
  <c r="J48" i="36"/>
  <c r="J99" i="36"/>
  <c r="J107" i="36"/>
  <c r="J111" i="36"/>
  <c r="J112" i="36"/>
  <c r="J117" i="36"/>
  <c r="J122" i="36"/>
  <c r="J126" i="36"/>
  <c r="J130" i="36"/>
  <c r="J134" i="36"/>
  <c r="J138" i="36"/>
  <c r="J142" i="36"/>
  <c r="J146" i="36"/>
  <c r="J150" i="36"/>
  <c r="J154" i="36"/>
  <c r="J158" i="36"/>
  <c r="J162" i="36"/>
  <c r="J172" i="36"/>
  <c r="J176" i="36"/>
  <c r="J186" i="36"/>
  <c r="J188" i="36"/>
  <c r="J206" i="36"/>
  <c r="J216" i="36"/>
  <c r="J220" i="36"/>
  <c r="J226" i="36"/>
  <c r="J240" i="36"/>
  <c r="J242" i="36"/>
  <c r="J258" i="36"/>
  <c r="J262" i="36"/>
  <c r="J266" i="36"/>
  <c r="J270" i="36"/>
  <c r="J274" i="36"/>
  <c r="J278" i="36"/>
  <c r="J282" i="36"/>
  <c r="J286" i="36"/>
  <c r="J290" i="36"/>
  <c r="J294" i="36"/>
  <c r="J298" i="36"/>
  <c r="J302" i="36"/>
  <c r="J306" i="36"/>
  <c r="J168" i="36"/>
  <c r="J198" i="36"/>
  <c r="J204" i="36"/>
  <c r="J210" i="36"/>
  <c r="J224" i="36"/>
  <c r="J244" i="36"/>
  <c r="J246" i="36"/>
  <c r="J166" i="36"/>
  <c r="J190" i="36"/>
  <c r="J192" i="36"/>
  <c r="J222" i="36"/>
  <c r="J236" i="36"/>
  <c r="J238" i="36"/>
  <c r="J255" i="36"/>
  <c r="J164" i="36"/>
  <c r="J182" i="36"/>
  <c r="J184" i="36"/>
  <c r="J228" i="36"/>
  <c r="J230" i="36"/>
  <c r="J170" i="36"/>
  <c r="J212" i="36"/>
  <c r="J254" i="36"/>
  <c r="J235" i="36"/>
  <c r="J231" i="36"/>
  <c r="J227" i="36"/>
  <c r="J221" i="36"/>
  <c r="J193" i="36"/>
  <c r="J171" i="36"/>
  <c r="J253" i="36"/>
  <c r="J245" i="36"/>
  <c r="J237" i="36"/>
  <c r="J229" i="36"/>
  <c r="J217" i="36"/>
  <c r="J175" i="36"/>
  <c r="J187" i="36"/>
  <c r="J110" i="36"/>
  <c r="J147" i="36"/>
  <c r="J131" i="36"/>
  <c r="J108" i="36"/>
  <c r="J177" i="36"/>
  <c r="J161" i="36"/>
  <c r="J114" i="36"/>
  <c r="J102" i="36"/>
  <c r="J83" i="36"/>
  <c r="J75" i="36"/>
  <c r="J67" i="36"/>
  <c r="J57" i="36"/>
  <c r="J45" i="36"/>
  <c r="J58" i="36"/>
  <c r="J55" i="36"/>
  <c r="J33" i="36"/>
  <c r="J46" i="36"/>
  <c r="J22" i="36"/>
  <c r="J14" i="36"/>
  <c r="J31" i="36"/>
  <c r="J23" i="36"/>
  <c r="J15" i="36"/>
  <c r="J197" i="36"/>
  <c r="J181" i="36"/>
  <c r="J308" i="36"/>
  <c r="J304" i="36"/>
  <c r="J300" i="36"/>
  <c r="J296" i="36"/>
  <c r="J292" i="36"/>
  <c r="J288" i="36"/>
  <c r="J284" i="36"/>
  <c r="J280" i="36"/>
  <c r="J276" i="36"/>
  <c r="J272" i="36"/>
  <c r="J268" i="36"/>
  <c r="J264" i="36"/>
  <c r="J260" i="36"/>
  <c r="J225" i="36"/>
  <c r="J209" i="36"/>
  <c r="J219" i="36"/>
  <c r="J211" i="36"/>
  <c r="J203" i="36"/>
  <c r="J183" i="36"/>
  <c r="J167" i="36"/>
  <c r="J101" i="36"/>
  <c r="J97" i="36"/>
  <c r="J93" i="36"/>
  <c r="J143" i="36"/>
  <c r="J127" i="36"/>
  <c r="J173" i="36"/>
  <c r="J157" i="36"/>
  <c r="J149" i="36"/>
  <c r="J141" i="36"/>
  <c r="J133" i="36"/>
  <c r="J125" i="36"/>
  <c r="J116" i="36"/>
  <c r="J113" i="36"/>
  <c r="J98" i="36"/>
  <c r="J80" i="36"/>
  <c r="J72" i="36"/>
  <c r="J64" i="36"/>
  <c r="J37" i="36"/>
  <c r="J41" i="36"/>
  <c r="J43" i="36"/>
  <c r="J49" i="36"/>
  <c r="J257" i="36"/>
  <c r="J185" i="36"/>
  <c r="J307" i="36"/>
  <c r="J303" i="36"/>
  <c r="J299" i="36"/>
  <c r="J295" i="36"/>
  <c r="J291" i="36"/>
  <c r="J287" i="36"/>
  <c r="J283" i="36"/>
  <c r="J279" i="36"/>
  <c r="J275" i="36"/>
  <c r="J271" i="36"/>
  <c r="J267" i="36"/>
  <c r="J263" i="36"/>
  <c r="J259" i="36"/>
  <c r="J241" i="36"/>
  <c r="J233" i="36"/>
  <c r="J202" i="36"/>
  <c r="J195" i="36"/>
  <c r="J179" i="36"/>
  <c r="J155" i="36"/>
  <c r="J139" i="36"/>
  <c r="J123" i="36"/>
  <c r="J106" i="36"/>
  <c r="J118" i="36"/>
  <c r="J90" i="36"/>
  <c r="J169" i="36"/>
  <c r="J94" i="36"/>
  <c r="J79" i="36"/>
  <c r="J71" i="36"/>
  <c r="J63" i="36"/>
  <c r="J39" i="36"/>
  <c r="J13" i="36"/>
  <c r="J25" i="36"/>
  <c r="J21" i="36"/>
  <c r="J26" i="36"/>
  <c r="J18" i="36"/>
  <c r="J27" i="36"/>
  <c r="J19" i="36"/>
  <c r="J247" i="36"/>
  <c r="J243" i="36"/>
  <c r="J239" i="36"/>
  <c r="J205" i="36"/>
  <c r="J199" i="36"/>
  <c r="J189" i="36"/>
  <c r="J249" i="36"/>
  <c r="J251" i="36"/>
  <c r="J213" i="36"/>
  <c r="J223" i="36"/>
  <c r="J215" i="36"/>
  <c r="J207" i="36"/>
  <c r="J159" i="36"/>
  <c r="J191" i="36"/>
  <c r="J163" i="36"/>
  <c r="J88" i="36"/>
  <c r="J151" i="36"/>
  <c r="J135" i="36"/>
  <c r="J105" i="36"/>
  <c r="J165" i="36"/>
  <c r="J153" i="36"/>
  <c r="J145" i="36"/>
  <c r="J137" i="36"/>
  <c r="J129" i="36"/>
  <c r="J121" i="36"/>
  <c r="J91" i="36"/>
  <c r="J87" i="36"/>
  <c r="J84" i="36"/>
  <c r="J76" i="36"/>
  <c r="J68" i="36"/>
  <c r="J60" i="36"/>
  <c r="J51" i="36"/>
  <c r="J17" i="36"/>
  <c r="J35" i="36"/>
  <c r="J29" i="36"/>
  <c r="J47" i="36"/>
  <c r="J10" i="36"/>
  <c r="H19" i="36"/>
  <c r="H22" i="36"/>
  <c r="H24" i="36"/>
  <c r="H26" i="36"/>
  <c r="H28" i="36"/>
  <c r="H32" i="36"/>
  <c r="H34" i="36"/>
  <c r="H46" i="36"/>
  <c r="H48" i="36"/>
  <c r="H68" i="36"/>
  <c r="H69" i="36"/>
  <c r="H84" i="36"/>
  <c r="H85" i="36"/>
  <c r="H91" i="36"/>
  <c r="H15" i="36"/>
  <c r="H18" i="36"/>
  <c r="H20" i="36"/>
  <c r="H30" i="36"/>
  <c r="H36" i="36"/>
  <c r="H38" i="36"/>
  <c r="H72" i="36"/>
  <c r="H73" i="36"/>
  <c r="H89" i="36"/>
  <c r="H42" i="36"/>
  <c r="H61" i="36"/>
  <c r="H65" i="36"/>
  <c r="H76" i="36"/>
  <c r="H80" i="36"/>
  <c r="H87" i="36"/>
  <c r="H98" i="36"/>
  <c r="H106" i="36"/>
  <c r="H109" i="36"/>
  <c r="H118" i="36"/>
  <c r="H119" i="36"/>
  <c r="H11" i="36"/>
  <c r="H47" i="36"/>
  <c r="H50" i="36"/>
  <c r="H94" i="36"/>
  <c r="H99" i="36"/>
  <c r="H105" i="36"/>
  <c r="H107" i="36"/>
  <c r="H110" i="36"/>
  <c r="H111" i="36"/>
  <c r="H114" i="36"/>
  <c r="H166" i="36"/>
  <c r="H170" i="36"/>
  <c r="H172" i="36"/>
  <c r="H176" i="36"/>
  <c r="H188" i="36"/>
  <c r="H190" i="36"/>
  <c r="H204" i="36"/>
  <c r="H206" i="36"/>
  <c r="H224" i="36"/>
  <c r="H226" i="36"/>
  <c r="H228" i="36"/>
  <c r="H242" i="36"/>
  <c r="H244" i="36"/>
  <c r="H257" i="36"/>
  <c r="H258" i="36"/>
  <c r="H14" i="36"/>
  <c r="H16" i="36"/>
  <c r="H52" i="36"/>
  <c r="H56" i="36"/>
  <c r="H59" i="36"/>
  <c r="H60" i="36"/>
  <c r="H64" i="36"/>
  <c r="H77" i="36"/>
  <c r="H81" i="36"/>
  <c r="H95" i="36"/>
  <c r="H102" i="36"/>
  <c r="H115" i="36"/>
  <c r="H117" i="36"/>
  <c r="H122" i="36"/>
  <c r="H126" i="36"/>
  <c r="H130" i="36"/>
  <c r="H134" i="36"/>
  <c r="H10" i="36"/>
  <c r="H23" i="36"/>
  <c r="H27" i="36"/>
  <c r="H40" i="36"/>
  <c r="H44" i="36"/>
  <c r="H54" i="36"/>
  <c r="H92" i="36"/>
  <c r="H103" i="36"/>
  <c r="H113" i="36"/>
  <c r="H124" i="36"/>
  <c r="H128" i="36"/>
  <c r="H132" i="36"/>
  <c r="H136" i="36"/>
  <c r="H140" i="36"/>
  <c r="H144" i="36"/>
  <c r="H148" i="36"/>
  <c r="H152" i="36"/>
  <c r="H156" i="36"/>
  <c r="H160" i="36"/>
  <c r="H180" i="36"/>
  <c r="H182" i="36"/>
  <c r="H196" i="36"/>
  <c r="H198" i="36"/>
  <c r="H200" i="36"/>
  <c r="H212" i="36"/>
  <c r="H214" i="36"/>
  <c r="H218" i="36"/>
  <c r="H234" i="36"/>
  <c r="H236" i="36"/>
  <c r="H250" i="36"/>
  <c r="H253" i="36"/>
  <c r="H261" i="36"/>
  <c r="H265" i="36"/>
  <c r="H269" i="36"/>
  <c r="H273" i="36"/>
  <c r="H277" i="36"/>
  <c r="H281" i="36"/>
  <c r="H285" i="36"/>
  <c r="H289" i="36"/>
  <c r="H293" i="36"/>
  <c r="H297" i="36"/>
  <c r="H301" i="36"/>
  <c r="H305" i="36"/>
  <c r="H146" i="36"/>
  <c r="H154" i="36"/>
  <c r="H162" i="36"/>
  <c r="H192" i="36"/>
  <c r="H222" i="36"/>
  <c r="H238" i="36"/>
  <c r="H248" i="36"/>
  <c r="H164" i="36"/>
  <c r="H174" i="36"/>
  <c r="H184" i="36"/>
  <c r="H194" i="36"/>
  <c r="H216" i="36"/>
  <c r="H230" i="36"/>
  <c r="H240" i="36"/>
  <c r="H264" i="36"/>
  <c r="H272" i="36"/>
  <c r="H280" i="36"/>
  <c r="H288" i="36"/>
  <c r="H296" i="36"/>
  <c r="H304" i="36"/>
  <c r="H138" i="36"/>
  <c r="H142" i="36"/>
  <c r="H150" i="36"/>
  <c r="H158" i="36"/>
  <c r="H186" i="36"/>
  <c r="H208" i="36"/>
  <c r="H232" i="36"/>
  <c r="H254" i="36"/>
  <c r="H256" i="36"/>
  <c r="H168" i="36"/>
  <c r="H178" i="36"/>
  <c r="H210" i="36"/>
  <c r="H220" i="36"/>
  <c r="H246" i="36"/>
  <c r="H252" i="36"/>
  <c r="H260" i="36"/>
  <c r="H268" i="36"/>
  <c r="H276" i="36"/>
  <c r="H284" i="36"/>
  <c r="H292" i="36"/>
  <c r="H300" i="36"/>
  <c r="H308" i="36"/>
  <c r="H202" i="36"/>
  <c r="H55" i="36"/>
  <c r="H185" i="36"/>
  <c r="H171" i="36"/>
  <c r="H241" i="36"/>
  <c r="H233" i="36"/>
  <c r="H306" i="36"/>
  <c r="H302" i="36"/>
  <c r="H298" i="36"/>
  <c r="H294" i="36"/>
  <c r="H290" i="36"/>
  <c r="H286" i="36"/>
  <c r="H282" i="36"/>
  <c r="H278" i="36"/>
  <c r="H274" i="36"/>
  <c r="H270" i="36"/>
  <c r="H266" i="36"/>
  <c r="H262" i="36"/>
  <c r="H249" i="36"/>
  <c r="H299" i="36"/>
  <c r="H283" i="36"/>
  <c r="H267" i="36"/>
  <c r="H175" i="36"/>
  <c r="H195" i="36"/>
  <c r="H179" i="36"/>
  <c r="H116" i="36"/>
  <c r="H173" i="36"/>
  <c r="H157" i="36"/>
  <c r="H141" i="36"/>
  <c r="H125" i="36"/>
  <c r="H112" i="36"/>
  <c r="H101" i="36"/>
  <c r="H90" i="36"/>
  <c r="H108" i="36"/>
  <c r="H151" i="36"/>
  <c r="H143" i="36"/>
  <c r="H135" i="36"/>
  <c r="H127" i="36"/>
  <c r="H104" i="36"/>
  <c r="H96" i="36"/>
  <c r="H39" i="36"/>
  <c r="H82" i="36"/>
  <c r="H66" i="36"/>
  <c r="H31" i="36"/>
  <c r="H247" i="36"/>
  <c r="H243" i="36"/>
  <c r="H239" i="36"/>
  <c r="H205" i="36"/>
  <c r="H189" i="36"/>
  <c r="H213" i="36"/>
  <c r="H295" i="36"/>
  <c r="H279" i="36"/>
  <c r="H263" i="36"/>
  <c r="H199" i="36"/>
  <c r="H223" i="36"/>
  <c r="H215" i="36"/>
  <c r="H207" i="36"/>
  <c r="H201" i="36"/>
  <c r="H191" i="36"/>
  <c r="H167" i="36"/>
  <c r="H177" i="36"/>
  <c r="H161" i="36"/>
  <c r="H153" i="36"/>
  <c r="H137" i="36"/>
  <c r="H121" i="36"/>
  <c r="H97" i="36"/>
  <c r="H120" i="36"/>
  <c r="H58" i="36"/>
  <c r="H35" i="36"/>
  <c r="H78" i="36"/>
  <c r="H62" i="36"/>
  <c r="H235" i="36"/>
  <c r="H231" i="36"/>
  <c r="H227" i="36"/>
  <c r="H221" i="36"/>
  <c r="H193" i="36"/>
  <c r="H245" i="36"/>
  <c r="H237" i="36"/>
  <c r="H229" i="36"/>
  <c r="H217" i="36"/>
  <c r="H307" i="36"/>
  <c r="H291" i="36"/>
  <c r="H275" i="36"/>
  <c r="H259" i="36"/>
  <c r="H187" i="36"/>
  <c r="H165" i="36"/>
  <c r="H149" i="36"/>
  <c r="H133" i="36"/>
  <c r="H93" i="36"/>
  <c r="H155" i="36"/>
  <c r="H147" i="36"/>
  <c r="H139" i="36"/>
  <c r="H131" i="36"/>
  <c r="H123" i="36"/>
  <c r="H83" i="36"/>
  <c r="H79" i="36"/>
  <c r="H75" i="36"/>
  <c r="H71" i="36"/>
  <c r="H67" i="36"/>
  <c r="H63" i="36"/>
  <c r="H51" i="36"/>
  <c r="H45" i="36"/>
  <c r="H33" i="36"/>
  <c r="H13" i="36"/>
  <c r="H74" i="36"/>
  <c r="H53" i="36"/>
  <c r="H25" i="36"/>
  <c r="H49" i="36"/>
  <c r="H21" i="36"/>
  <c r="H12" i="36"/>
  <c r="H197" i="36"/>
  <c r="H181" i="36"/>
  <c r="H255" i="36"/>
  <c r="H303" i="36"/>
  <c r="H287" i="36"/>
  <c r="H271" i="36"/>
  <c r="H251" i="36"/>
  <c r="H225" i="36"/>
  <c r="H209" i="36"/>
  <c r="H159" i="36"/>
  <c r="H219" i="36"/>
  <c r="H211" i="36"/>
  <c r="H203" i="36"/>
  <c r="H183" i="36"/>
  <c r="H163" i="36"/>
  <c r="H169" i="36"/>
  <c r="H145" i="36"/>
  <c r="H129" i="36"/>
  <c r="H88" i="36"/>
  <c r="H100" i="36"/>
  <c r="H57" i="36"/>
  <c r="H37" i="36"/>
  <c r="H41" i="36"/>
  <c r="H17" i="36"/>
  <c r="H43" i="36"/>
  <c r="H29" i="36"/>
  <c r="H86" i="36"/>
  <c r="H70" i="36"/>
  <c r="D10" i="36"/>
  <c r="D14" i="36"/>
  <c r="D23" i="36"/>
  <c r="D24" i="36"/>
  <c r="D27" i="36"/>
  <c r="D28" i="36"/>
  <c r="D32" i="36"/>
  <c r="D47" i="36"/>
  <c r="D48" i="36"/>
  <c r="K48" i="36" s="1"/>
  <c r="E51" i="34" s="1"/>
  <c r="E45" i="12" s="1"/>
  <c r="D50" i="36"/>
  <c r="D60" i="36"/>
  <c r="D69" i="36"/>
  <c r="D76" i="36"/>
  <c r="D85" i="36"/>
  <c r="D92" i="36"/>
  <c r="D19" i="36"/>
  <c r="D20" i="36"/>
  <c r="K20" i="36" s="1"/>
  <c r="E23" i="34" s="1"/>
  <c r="E17" i="12" s="1"/>
  <c r="D34" i="36"/>
  <c r="D36" i="36"/>
  <c r="D54" i="36"/>
  <c r="D64" i="36"/>
  <c r="D73" i="36"/>
  <c r="D80" i="36"/>
  <c r="D89" i="36"/>
  <c r="D16" i="36"/>
  <c r="K16" i="36" s="1"/>
  <c r="E19" i="34" s="1"/>
  <c r="E13" i="12" s="1"/>
  <c r="D52" i="36"/>
  <c r="D56" i="36"/>
  <c r="D77" i="36"/>
  <c r="D81" i="36"/>
  <c r="K81" i="36" s="1"/>
  <c r="E84" i="34" s="1"/>
  <c r="E78" i="12" s="1"/>
  <c r="D117" i="36"/>
  <c r="D119" i="36"/>
  <c r="D22" i="36"/>
  <c r="D26" i="36"/>
  <c r="K26" i="36" s="1"/>
  <c r="E29" i="34" s="1"/>
  <c r="E23" i="12" s="1"/>
  <c r="D30" i="36"/>
  <c r="D40" i="36"/>
  <c r="D44" i="36"/>
  <c r="D68" i="36"/>
  <c r="D98" i="36"/>
  <c r="D99" i="36"/>
  <c r="D106" i="36"/>
  <c r="D107" i="36"/>
  <c r="D109" i="36"/>
  <c r="D111" i="36"/>
  <c r="D172" i="36"/>
  <c r="D174" i="36"/>
  <c r="D176" i="36"/>
  <c r="D178" i="36"/>
  <c r="D188" i="36"/>
  <c r="D194" i="36"/>
  <c r="D206" i="36"/>
  <c r="D208" i="36"/>
  <c r="D226" i="36"/>
  <c r="D232" i="36"/>
  <c r="D242" i="36"/>
  <c r="D248" i="36"/>
  <c r="D253" i="36"/>
  <c r="D258" i="36"/>
  <c r="D15" i="36"/>
  <c r="D18" i="36"/>
  <c r="D61" i="36"/>
  <c r="D65" i="36"/>
  <c r="D94" i="36"/>
  <c r="D95" i="36"/>
  <c r="D115" i="36"/>
  <c r="D11" i="36"/>
  <c r="D38" i="36"/>
  <c r="D42" i="36"/>
  <c r="D72" i="36"/>
  <c r="D84" i="36"/>
  <c r="D102" i="36"/>
  <c r="D103" i="36"/>
  <c r="D114" i="36"/>
  <c r="D122" i="36"/>
  <c r="D124" i="36"/>
  <c r="D126" i="36"/>
  <c r="D128" i="36"/>
  <c r="D130" i="36"/>
  <c r="D132" i="36"/>
  <c r="D134" i="36"/>
  <c r="D136" i="36"/>
  <c r="D138" i="36"/>
  <c r="D140" i="36"/>
  <c r="D142" i="36"/>
  <c r="D144" i="36"/>
  <c r="D146" i="36"/>
  <c r="D148" i="36"/>
  <c r="D150" i="36"/>
  <c r="D152" i="36"/>
  <c r="D154" i="36"/>
  <c r="D156" i="36"/>
  <c r="D158" i="36"/>
  <c r="D160" i="36"/>
  <c r="D162" i="36"/>
  <c r="D180" i="36"/>
  <c r="D186" i="36"/>
  <c r="D196" i="36"/>
  <c r="D200" i="36"/>
  <c r="K200" i="36" s="1"/>
  <c r="E203" i="34" s="1"/>
  <c r="E197" i="12" s="1"/>
  <c r="D214" i="36"/>
  <c r="D216" i="36"/>
  <c r="D218" i="36"/>
  <c r="D220" i="36"/>
  <c r="D234" i="36"/>
  <c r="D240" i="36"/>
  <c r="D250" i="36"/>
  <c r="D260" i="36"/>
  <c r="D261" i="36"/>
  <c r="D264" i="36"/>
  <c r="D265" i="36"/>
  <c r="D268" i="36"/>
  <c r="D269" i="36"/>
  <c r="D272" i="36"/>
  <c r="D273" i="36"/>
  <c r="D276" i="36"/>
  <c r="D277" i="36"/>
  <c r="D280" i="36"/>
  <c r="D281" i="36"/>
  <c r="D284" i="36"/>
  <c r="D285" i="36"/>
  <c r="D288" i="36"/>
  <c r="D289" i="36"/>
  <c r="D292" i="36"/>
  <c r="D293" i="36"/>
  <c r="D296" i="36"/>
  <c r="D297" i="36"/>
  <c r="D300" i="36"/>
  <c r="D301" i="36"/>
  <c r="D304" i="36"/>
  <c r="D305" i="36"/>
  <c r="D308" i="36"/>
  <c r="D182" i="36"/>
  <c r="D228" i="36"/>
  <c r="D254" i="36"/>
  <c r="D168" i="36"/>
  <c r="D170" i="36"/>
  <c r="D210" i="36"/>
  <c r="D212" i="36"/>
  <c r="D246" i="36"/>
  <c r="D256" i="36"/>
  <c r="D192" i="36"/>
  <c r="D198" i="36"/>
  <c r="D204" i="36"/>
  <c r="D222" i="36"/>
  <c r="D224" i="36"/>
  <c r="D238" i="36"/>
  <c r="D244" i="36"/>
  <c r="D164" i="36"/>
  <c r="D166" i="36"/>
  <c r="D184" i="36"/>
  <c r="D190" i="36"/>
  <c r="D230" i="36"/>
  <c r="D236" i="36"/>
  <c r="D147" i="36"/>
  <c r="D298" i="36"/>
  <c r="D282" i="36"/>
  <c r="D266" i="36"/>
  <c r="D143" i="36"/>
  <c r="D302" i="36"/>
  <c r="D286" i="36"/>
  <c r="D263" i="36"/>
  <c r="D207" i="36"/>
  <c r="D105" i="36"/>
  <c r="D78" i="36"/>
  <c r="D211" i="36"/>
  <c r="D74" i="36"/>
  <c r="D66" i="36"/>
  <c r="D307" i="36"/>
  <c r="D291" i="36"/>
  <c r="D275" i="36"/>
  <c r="D259" i="36"/>
  <c r="D139" i="36"/>
  <c r="D295" i="36"/>
  <c r="D278" i="36"/>
  <c r="D262" i="36"/>
  <c r="D131" i="36"/>
  <c r="D123" i="36"/>
  <c r="D87" i="36"/>
  <c r="D279" i="36"/>
  <c r="D215" i="36"/>
  <c r="D306" i="36"/>
  <c r="D290" i="36"/>
  <c r="D274" i="36"/>
  <c r="D219" i="36"/>
  <c r="D294" i="36"/>
  <c r="D271" i="36"/>
  <c r="D203" i="36"/>
  <c r="D12" i="36"/>
  <c r="D62" i="36"/>
  <c r="D86" i="36"/>
  <c r="D46" i="36"/>
  <c r="D155" i="36"/>
  <c r="D299" i="36"/>
  <c r="D283" i="36"/>
  <c r="D267" i="36"/>
  <c r="D151" i="36"/>
  <c r="D303" i="36"/>
  <c r="D287" i="36"/>
  <c r="D270" i="36"/>
  <c r="D223" i="36"/>
  <c r="D135" i="36"/>
  <c r="D127" i="36"/>
  <c r="D118" i="36"/>
  <c r="D252" i="36"/>
  <c r="D51" i="36"/>
  <c r="D70" i="36"/>
  <c r="D82" i="36"/>
  <c r="D247" i="36"/>
  <c r="D243" i="36"/>
  <c r="D239" i="36"/>
  <c r="D205" i="36"/>
  <c r="D189" i="36"/>
  <c r="D249" i="36"/>
  <c r="D213" i="36"/>
  <c r="D202" i="36"/>
  <c r="K202" i="36" s="1"/>
  <c r="E205" i="34" s="1"/>
  <c r="E199" i="12" s="1"/>
  <c r="D257" i="36"/>
  <c r="D201" i="36"/>
  <c r="D191" i="36"/>
  <c r="D167" i="36"/>
  <c r="D88" i="36"/>
  <c r="D169" i="36"/>
  <c r="D145" i="36"/>
  <c r="D129" i="36"/>
  <c r="D120" i="36"/>
  <c r="D110" i="36"/>
  <c r="D35" i="36"/>
  <c r="D235" i="36"/>
  <c r="K235" i="36" s="1"/>
  <c r="E238" i="34" s="1"/>
  <c r="E232" i="12" s="1"/>
  <c r="D231" i="36"/>
  <c r="D227" i="36"/>
  <c r="D221" i="36"/>
  <c r="D193" i="36"/>
  <c r="D245" i="36"/>
  <c r="D237" i="36"/>
  <c r="D229" i="36"/>
  <c r="D217" i="36"/>
  <c r="K217" i="36" s="1"/>
  <c r="E220" i="34" s="1"/>
  <c r="E214" i="12" s="1"/>
  <c r="D187" i="36"/>
  <c r="D173" i="36"/>
  <c r="D157" i="36"/>
  <c r="D141" i="36"/>
  <c r="D125" i="36"/>
  <c r="D101" i="36"/>
  <c r="D83" i="36"/>
  <c r="D79" i="36"/>
  <c r="D75" i="36"/>
  <c r="D71" i="36"/>
  <c r="D67" i="36"/>
  <c r="D63" i="36"/>
  <c r="D45" i="36"/>
  <c r="D55" i="36"/>
  <c r="D33" i="36"/>
  <c r="D13" i="36"/>
  <c r="K13" i="36" s="1"/>
  <c r="E16" i="34" s="1"/>
  <c r="E10" i="12" s="1"/>
  <c r="D53" i="36"/>
  <c r="D25" i="36"/>
  <c r="D49" i="36"/>
  <c r="D21" i="36"/>
  <c r="D31" i="36"/>
  <c r="D199" i="36"/>
  <c r="D197" i="36"/>
  <c r="D181" i="36"/>
  <c r="K181" i="36" s="1"/>
  <c r="E184" i="34" s="1"/>
  <c r="E178" i="12" s="1"/>
  <c r="D255" i="36"/>
  <c r="D251" i="36"/>
  <c r="D225" i="36"/>
  <c r="D209" i="36"/>
  <c r="K209" i="36" s="1"/>
  <c r="E212" i="34" s="1"/>
  <c r="E206" i="12" s="1"/>
  <c r="D159" i="36"/>
  <c r="D183" i="36"/>
  <c r="D163" i="36"/>
  <c r="D177" i="36"/>
  <c r="K177" i="36" s="1"/>
  <c r="E180" i="34" s="1"/>
  <c r="E174" i="12" s="1"/>
  <c r="D161" i="36"/>
  <c r="D153" i="36"/>
  <c r="D137" i="36"/>
  <c r="D121" i="36"/>
  <c r="D113" i="36"/>
  <c r="D100" i="36"/>
  <c r="D97" i="36"/>
  <c r="D91" i="36"/>
  <c r="D57" i="36"/>
  <c r="D37" i="36"/>
  <c r="D41" i="36"/>
  <c r="D17" i="36"/>
  <c r="D43" i="36"/>
  <c r="D29" i="36"/>
  <c r="D185" i="36"/>
  <c r="D171" i="36"/>
  <c r="K171" i="36" s="1"/>
  <c r="E174" i="34" s="1"/>
  <c r="E168" i="12" s="1"/>
  <c r="D241" i="36"/>
  <c r="D233" i="36"/>
  <c r="D175" i="36"/>
  <c r="D195" i="36"/>
  <c r="K195" i="36" s="1"/>
  <c r="E198" i="34" s="1"/>
  <c r="E192" i="12" s="1"/>
  <c r="D179" i="36"/>
  <c r="D116" i="36"/>
  <c r="D165" i="36"/>
  <c r="D149" i="36"/>
  <c r="K149" i="36" s="1"/>
  <c r="E152" i="34" s="1"/>
  <c r="E146" i="12" s="1"/>
  <c r="D133" i="36"/>
  <c r="D112" i="36"/>
  <c r="D90" i="36"/>
  <c r="D108" i="36"/>
  <c r="K108" i="36" s="1"/>
  <c r="E111" i="34" s="1"/>
  <c r="E105" i="12" s="1"/>
  <c r="D104" i="36"/>
  <c r="D96" i="36"/>
  <c r="D93" i="36"/>
  <c r="D58" i="36"/>
  <c r="D39" i="36"/>
  <c r="D59" i="36"/>
  <c r="G13" i="36"/>
  <c r="G15" i="36"/>
  <c r="G18" i="36"/>
  <c r="G20" i="36"/>
  <c r="G30" i="36"/>
  <c r="G36" i="36"/>
  <c r="G38" i="36"/>
  <c r="G70" i="36"/>
  <c r="G72" i="36"/>
  <c r="G73" i="36"/>
  <c r="G75" i="36"/>
  <c r="G86" i="36"/>
  <c r="G89" i="36"/>
  <c r="G10" i="36"/>
  <c r="G11" i="36"/>
  <c r="G14" i="36"/>
  <c r="G16" i="36"/>
  <c r="G40" i="36"/>
  <c r="G42" i="36"/>
  <c r="G45" i="36"/>
  <c r="G60" i="36"/>
  <c r="G61" i="36"/>
  <c r="G63" i="36"/>
  <c r="G74" i="36"/>
  <c r="G76" i="36"/>
  <c r="G77" i="36"/>
  <c r="G79" i="36"/>
  <c r="G24" i="36"/>
  <c r="G28" i="36"/>
  <c r="G31" i="36"/>
  <c r="G46" i="36"/>
  <c r="G47" i="36"/>
  <c r="G49" i="36"/>
  <c r="G50" i="36"/>
  <c r="G55" i="36"/>
  <c r="G84" i="36"/>
  <c r="G94" i="36"/>
  <c r="G99" i="36"/>
  <c r="G107" i="36"/>
  <c r="G108" i="36"/>
  <c r="G111" i="36"/>
  <c r="G114" i="36"/>
  <c r="G25" i="36"/>
  <c r="G29" i="36"/>
  <c r="G32" i="36"/>
  <c r="G52" i="36"/>
  <c r="G56" i="36"/>
  <c r="G59" i="36"/>
  <c r="G62" i="36"/>
  <c r="G64" i="36"/>
  <c r="G66" i="36"/>
  <c r="G67" i="36"/>
  <c r="G81" i="36"/>
  <c r="G85" i="36"/>
  <c r="G95" i="36"/>
  <c r="G96" i="36"/>
  <c r="G102" i="36"/>
  <c r="G112" i="36"/>
  <c r="G115" i="36"/>
  <c r="G117" i="36"/>
  <c r="G122" i="36"/>
  <c r="G126" i="36"/>
  <c r="G130" i="36"/>
  <c r="G134" i="36"/>
  <c r="G138" i="36"/>
  <c r="G142" i="36"/>
  <c r="G146" i="36"/>
  <c r="G150" i="36"/>
  <c r="G154" i="36"/>
  <c r="G158" i="36"/>
  <c r="G162" i="36"/>
  <c r="G164" i="36"/>
  <c r="G165" i="36"/>
  <c r="G168" i="36"/>
  <c r="G169" i="36"/>
  <c r="G175" i="36"/>
  <c r="G183" i="36"/>
  <c r="G184" i="36"/>
  <c r="G186" i="36"/>
  <c r="G203" i="36"/>
  <c r="G216" i="36"/>
  <c r="G220" i="36"/>
  <c r="G222" i="36"/>
  <c r="G223" i="36"/>
  <c r="G237" i="36"/>
  <c r="G238" i="36"/>
  <c r="G240" i="36"/>
  <c r="G251" i="36"/>
  <c r="G260" i="36"/>
  <c r="G264" i="36"/>
  <c r="G268" i="36"/>
  <c r="G272" i="36"/>
  <c r="G276" i="36"/>
  <c r="G280" i="36"/>
  <c r="G284" i="36"/>
  <c r="G288" i="36"/>
  <c r="G292" i="36"/>
  <c r="G296" i="36"/>
  <c r="G300" i="36"/>
  <c r="G304" i="36"/>
  <c r="G308" i="36"/>
  <c r="G12" i="36"/>
  <c r="G22" i="36"/>
  <c r="G23" i="36"/>
  <c r="G26" i="36"/>
  <c r="G27" i="36"/>
  <c r="G34" i="36"/>
  <c r="G44" i="36"/>
  <c r="G48" i="36"/>
  <c r="G68" i="36"/>
  <c r="G91" i="36"/>
  <c r="G92" i="36"/>
  <c r="G103" i="36"/>
  <c r="G104" i="36"/>
  <c r="G121" i="36"/>
  <c r="G124" i="36"/>
  <c r="G125" i="36"/>
  <c r="G128" i="36"/>
  <c r="G129" i="36"/>
  <c r="G132" i="36"/>
  <c r="G133" i="36"/>
  <c r="G136" i="36"/>
  <c r="G137" i="36"/>
  <c r="G19" i="36"/>
  <c r="G53" i="36"/>
  <c r="G65" i="36"/>
  <c r="G69" i="36"/>
  <c r="G71" i="36"/>
  <c r="G78" i="36"/>
  <c r="G80" i="36"/>
  <c r="G82" i="36"/>
  <c r="G83" i="36"/>
  <c r="G98" i="36"/>
  <c r="G106" i="36"/>
  <c r="G109" i="36"/>
  <c r="G119" i="36"/>
  <c r="G120" i="36"/>
  <c r="G123" i="36"/>
  <c r="G127" i="36"/>
  <c r="G131" i="36"/>
  <c r="G135" i="36"/>
  <c r="G139" i="36"/>
  <c r="G143" i="36"/>
  <c r="G147" i="36"/>
  <c r="G151" i="36"/>
  <c r="G155" i="36"/>
  <c r="G159" i="36"/>
  <c r="G174" i="36"/>
  <c r="G178" i="36"/>
  <c r="G191" i="36"/>
  <c r="G192" i="36"/>
  <c r="G194" i="36"/>
  <c r="G201" i="36"/>
  <c r="G208" i="36"/>
  <c r="G210" i="36"/>
  <c r="G211" i="36"/>
  <c r="G217" i="36"/>
  <c r="G229" i="36"/>
  <c r="G230" i="36"/>
  <c r="G232" i="36"/>
  <c r="G245" i="36"/>
  <c r="G246" i="36"/>
  <c r="G248" i="36"/>
  <c r="G252" i="36"/>
  <c r="G254" i="36"/>
  <c r="G259" i="36"/>
  <c r="G263" i="36"/>
  <c r="G267" i="36"/>
  <c r="G271" i="36"/>
  <c r="G275" i="36"/>
  <c r="G279" i="36"/>
  <c r="G283" i="36"/>
  <c r="G287" i="36"/>
  <c r="G291" i="36"/>
  <c r="G295" i="36"/>
  <c r="G299" i="36"/>
  <c r="G303" i="36"/>
  <c r="G307" i="36"/>
  <c r="G148" i="36"/>
  <c r="G156" i="36"/>
  <c r="G166" i="36"/>
  <c r="G173" i="36"/>
  <c r="G180" i="36"/>
  <c r="G190" i="36"/>
  <c r="G200" i="36"/>
  <c r="G206" i="36"/>
  <c r="G215" i="36"/>
  <c r="G226" i="36"/>
  <c r="G236" i="36"/>
  <c r="G249" i="36"/>
  <c r="G255" i="36"/>
  <c r="G261" i="36"/>
  <c r="G269" i="36"/>
  <c r="G277" i="36"/>
  <c r="G285" i="36"/>
  <c r="G293" i="36"/>
  <c r="G301" i="36"/>
  <c r="G140" i="36"/>
  <c r="G141" i="36"/>
  <c r="G149" i="36"/>
  <c r="G157" i="36"/>
  <c r="G167" i="36"/>
  <c r="G176" i="36"/>
  <c r="G182" i="36"/>
  <c r="G195" i="36"/>
  <c r="G207" i="36"/>
  <c r="G218" i="36"/>
  <c r="G228" i="36"/>
  <c r="G241" i="36"/>
  <c r="G250" i="36"/>
  <c r="G262" i="36"/>
  <c r="G270" i="36"/>
  <c r="G278" i="36"/>
  <c r="G286" i="36"/>
  <c r="G294" i="36"/>
  <c r="G302" i="36"/>
  <c r="G144" i="36"/>
  <c r="G152" i="36"/>
  <c r="G160" i="36"/>
  <c r="G170" i="36"/>
  <c r="G177" i="36"/>
  <c r="G187" i="36"/>
  <c r="G196" i="36"/>
  <c r="G212" i="36"/>
  <c r="G219" i="36"/>
  <c r="G233" i="36"/>
  <c r="G242" i="36"/>
  <c r="G258" i="36"/>
  <c r="G265" i="36"/>
  <c r="G273" i="36"/>
  <c r="G281" i="36"/>
  <c r="G289" i="36"/>
  <c r="G297" i="36"/>
  <c r="G305" i="36"/>
  <c r="G145" i="36"/>
  <c r="G153" i="36"/>
  <c r="G161" i="36"/>
  <c r="G172" i="36"/>
  <c r="G179" i="36"/>
  <c r="G188" i="36"/>
  <c r="G198" i="36"/>
  <c r="G204" i="36"/>
  <c r="G214" i="36"/>
  <c r="G224" i="36"/>
  <c r="G234" i="36"/>
  <c r="G244" i="36"/>
  <c r="G266" i="36"/>
  <c r="G274" i="36"/>
  <c r="G282" i="36"/>
  <c r="G290" i="36"/>
  <c r="G298" i="36"/>
  <c r="G306" i="36"/>
  <c r="G213" i="36"/>
  <c r="G58" i="36"/>
  <c r="G163" i="36"/>
  <c r="G225" i="36"/>
  <c r="G209" i="36"/>
  <c r="G100" i="36"/>
  <c r="G21" i="36"/>
  <c r="G197" i="36"/>
  <c r="G181" i="36"/>
  <c r="G257" i="36"/>
  <c r="G253" i="36"/>
  <c r="G235" i="36"/>
  <c r="G221" i="36"/>
  <c r="G205" i="36"/>
  <c r="G116" i="36"/>
  <c r="G97" i="36"/>
  <c r="G54" i="36"/>
  <c r="G199" i="36"/>
  <c r="G185" i="36"/>
  <c r="G171" i="36"/>
  <c r="G256" i="36"/>
  <c r="G247" i="36"/>
  <c r="G231" i="36"/>
  <c r="G110" i="36"/>
  <c r="G93" i="36"/>
  <c r="G57" i="36"/>
  <c r="G51" i="36"/>
  <c r="G43" i="36"/>
  <c r="G189" i="36"/>
  <c r="G243" i="36"/>
  <c r="G227" i="36"/>
  <c r="G113" i="36"/>
  <c r="G90" i="36"/>
  <c r="G118" i="36"/>
  <c r="G105" i="36"/>
  <c r="G88" i="36"/>
  <c r="G33" i="36"/>
  <c r="G39" i="36"/>
  <c r="G193" i="36"/>
  <c r="G239" i="36"/>
  <c r="G202" i="36"/>
  <c r="G101" i="36"/>
  <c r="G87" i="36"/>
  <c r="G37" i="36"/>
  <c r="G41" i="36"/>
  <c r="G35" i="36"/>
  <c r="G17" i="36"/>
  <c r="L6" i="19"/>
  <c r="F6" i="49" s="1"/>
  <c r="G6" i="49" s="1"/>
  <c r="Z306" i="42"/>
  <c r="E306" i="11"/>
  <c r="D306" i="49"/>
  <c r="B306" i="11"/>
  <c r="F306" i="19"/>
  <c r="I306" i="19"/>
  <c r="J306" i="19"/>
  <c r="N306" i="19"/>
  <c r="C306" i="19"/>
  <c r="D306" i="19"/>
  <c r="E306" i="19"/>
  <c r="H306" i="19"/>
  <c r="G306" i="19"/>
  <c r="B305" i="25"/>
  <c r="E6" i="13"/>
  <c r="F6" i="13" s="1"/>
  <c r="D9" i="36"/>
  <c r="J9" i="36"/>
  <c r="I9" i="36"/>
  <c r="F9" i="36"/>
  <c r="H9" i="36"/>
  <c r="E9" i="36"/>
  <c r="G9" i="36"/>
  <c r="K86" i="36" l="1"/>
  <c r="E89" i="34" s="1"/>
  <c r="E83" i="12" s="1"/>
  <c r="K74" i="36"/>
  <c r="E77" i="34" s="1"/>
  <c r="E71" i="12" s="1"/>
  <c r="K39" i="36"/>
  <c r="E42" i="34" s="1"/>
  <c r="E36" i="12" s="1"/>
  <c r="K104" i="36"/>
  <c r="E107" i="34" s="1"/>
  <c r="E101" i="12" s="1"/>
  <c r="K133" i="36"/>
  <c r="E136" i="34" s="1"/>
  <c r="E130" i="12" s="1"/>
  <c r="K241" i="36"/>
  <c r="E244" i="34" s="1"/>
  <c r="E238" i="12" s="1"/>
  <c r="K43" i="36"/>
  <c r="E46" i="34" s="1"/>
  <c r="E40" i="12" s="1"/>
  <c r="K57" i="36"/>
  <c r="E60" i="34" s="1"/>
  <c r="E54" i="12" s="1"/>
  <c r="K113" i="36"/>
  <c r="E116" i="34" s="1"/>
  <c r="E110" i="12" s="1"/>
  <c r="K161" i="36"/>
  <c r="E164" i="34" s="1"/>
  <c r="E158" i="12" s="1"/>
  <c r="K31" i="36"/>
  <c r="E34" i="34" s="1"/>
  <c r="E28" i="12" s="1"/>
  <c r="K53" i="36"/>
  <c r="E56" i="34" s="1"/>
  <c r="E50" i="12" s="1"/>
  <c r="K45" i="36"/>
  <c r="E48" i="34" s="1"/>
  <c r="E42" i="12" s="1"/>
  <c r="K125" i="36"/>
  <c r="E128" i="34" s="1"/>
  <c r="E122" i="12" s="1"/>
  <c r="K245" i="36"/>
  <c r="E248" i="34" s="1"/>
  <c r="E242" i="12" s="1"/>
  <c r="K120" i="36"/>
  <c r="E123" i="34" s="1"/>
  <c r="E117" i="12" s="1"/>
  <c r="K88" i="36"/>
  <c r="E91" i="34" s="1"/>
  <c r="E85" i="12" s="1"/>
  <c r="K189" i="36"/>
  <c r="E192" i="34" s="1"/>
  <c r="E186" i="12" s="1"/>
  <c r="K131" i="36"/>
  <c r="E134" i="34" s="1"/>
  <c r="E128" i="12" s="1"/>
  <c r="K164" i="36"/>
  <c r="E167" i="34" s="1"/>
  <c r="E161" i="12" s="1"/>
  <c r="K301" i="36"/>
  <c r="E304" i="34" s="1"/>
  <c r="E298" i="12" s="1"/>
  <c r="K293" i="36"/>
  <c r="E296" i="34" s="1"/>
  <c r="E290" i="12" s="1"/>
  <c r="K269" i="36"/>
  <c r="E272" i="34" s="1"/>
  <c r="E266" i="12" s="1"/>
  <c r="K261" i="36"/>
  <c r="E264" i="34" s="1"/>
  <c r="E258" i="12" s="1"/>
  <c r="K234" i="36"/>
  <c r="E237" i="34" s="1"/>
  <c r="E231" i="12" s="1"/>
  <c r="K156" i="36"/>
  <c r="E159" i="34" s="1"/>
  <c r="E153" i="12" s="1"/>
  <c r="K132" i="36"/>
  <c r="E135" i="34" s="1"/>
  <c r="E129" i="12" s="1"/>
  <c r="K124" i="36"/>
  <c r="E127" i="34" s="1"/>
  <c r="E121" i="12" s="1"/>
  <c r="K102" i="36"/>
  <c r="E105" i="34" s="1"/>
  <c r="E99" i="12" s="1"/>
  <c r="K28" i="36"/>
  <c r="E31" i="34" s="1"/>
  <c r="E25" i="12" s="1"/>
  <c r="K21" i="36"/>
  <c r="E24" i="34" s="1"/>
  <c r="E18" i="12" s="1"/>
  <c r="K63" i="36"/>
  <c r="E66" i="34" s="1"/>
  <c r="E60" i="12" s="1"/>
  <c r="K193" i="36"/>
  <c r="E196" i="34" s="1"/>
  <c r="E190" i="12" s="1"/>
  <c r="K46" i="36"/>
  <c r="E49" i="34" s="1"/>
  <c r="E43" i="12" s="1"/>
  <c r="K246" i="36"/>
  <c r="E249" i="34" s="1"/>
  <c r="E243" i="12" s="1"/>
  <c r="K11" i="36"/>
  <c r="E14" i="34" s="1"/>
  <c r="E8" i="12" s="1"/>
  <c r="K93" i="36"/>
  <c r="E96" i="34" s="1"/>
  <c r="E90" i="12" s="1"/>
  <c r="K90" i="36"/>
  <c r="E93" i="34" s="1"/>
  <c r="E87" i="12" s="1"/>
  <c r="K165" i="36"/>
  <c r="E168" i="34" s="1"/>
  <c r="E162" i="12" s="1"/>
  <c r="K175" i="36"/>
  <c r="E178" i="34" s="1"/>
  <c r="E172" i="12" s="1"/>
  <c r="K185" i="36"/>
  <c r="E188" i="34" s="1"/>
  <c r="E182" i="12" s="1"/>
  <c r="K41" i="36"/>
  <c r="E44" i="34" s="1"/>
  <c r="E38" i="12" s="1"/>
  <c r="K97" i="36"/>
  <c r="E100" i="34" s="1"/>
  <c r="E94" i="12" s="1"/>
  <c r="K137" i="36"/>
  <c r="E140" i="34" s="1"/>
  <c r="E134" i="12" s="1"/>
  <c r="K163" i="36"/>
  <c r="E166" i="34" s="1"/>
  <c r="E160" i="12" s="1"/>
  <c r="K225" i="36"/>
  <c r="E228" i="34" s="1"/>
  <c r="E222" i="12" s="1"/>
  <c r="K197" i="36"/>
  <c r="E200" i="34" s="1"/>
  <c r="E194" i="12" s="1"/>
  <c r="K49" i="36"/>
  <c r="E52" i="34" s="1"/>
  <c r="E46" i="12" s="1"/>
  <c r="K33" i="36"/>
  <c r="E36" i="34" s="1"/>
  <c r="E30" i="12" s="1"/>
  <c r="K67" i="36"/>
  <c r="E70" i="34" s="1"/>
  <c r="E64" i="12" s="1"/>
  <c r="K83" i="36"/>
  <c r="E86" i="34" s="1"/>
  <c r="E80" i="12" s="1"/>
  <c r="K157" i="36"/>
  <c r="E160" i="34" s="1"/>
  <c r="E154" i="12" s="1"/>
  <c r="K229" i="36"/>
  <c r="E232" i="34" s="1"/>
  <c r="E226" i="12" s="1"/>
  <c r="K221" i="36"/>
  <c r="E224" i="34" s="1"/>
  <c r="E218" i="12" s="1"/>
  <c r="K35" i="36"/>
  <c r="E38" i="34" s="1"/>
  <c r="E32" i="12" s="1"/>
  <c r="K145" i="36"/>
  <c r="E148" i="34" s="1"/>
  <c r="E142" i="12" s="1"/>
  <c r="K191" i="36"/>
  <c r="E194" i="34" s="1"/>
  <c r="E188" i="12" s="1"/>
  <c r="K213" i="36"/>
  <c r="E216" i="34" s="1"/>
  <c r="E210" i="12" s="1"/>
  <c r="K239" i="36"/>
  <c r="E242" i="34" s="1"/>
  <c r="E236" i="12" s="1"/>
  <c r="K147" i="36"/>
  <c r="E150" i="34" s="1"/>
  <c r="E144" i="12" s="1"/>
  <c r="K184" i="36"/>
  <c r="E187" i="34" s="1"/>
  <c r="E181" i="12" s="1"/>
  <c r="K238" i="36"/>
  <c r="E241" i="34" s="1"/>
  <c r="E235" i="12" s="1"/>
  <c r="K254" i="36"/>
  <c r="E257" i="34" s="1"/>
  <c r="E251" i="12" s="1"/>
  <c r="K305" i="36"/>
  <c r="E308" i="34" s="1"/>
  <c r="E302" i="12" s="1"/>
  <c r="K297" i="36"/>
  <c r="E300" i="34" s="1"/>
  <c r="E294" i="12" s="1"/>
  <c r="K289" i="36"/>
  <c r="E292" i="34" s="1"/>
  <c r="E286" i="12" s="1"/>
  <c r="K281" i="36"/>
  <c r="E284" i="34" s="1"/>
  <c r="E278" i="12" s="1"/>
  <c r="K273" i="36"/>
  <c r="E276" i="34" s="1"/>
  <c r="E270" i="12" s="1"/>
  <c r="K265" i="36"/>
  <c r="E268" i="34" s="1"/>
  <c r="E262" i="12" s="1"/>
  <c r="K250" i="36"/>
  <c r="E253" i="34" s="1"/>
  <c r="E247" i="12" s="1"/>
  <c r="K218" i="36"/>
  <c r="E221" i="34" s="1"/>
  <c r="E215" i="12" s="1"/>
  <c r="K196" i="36"/>
  <c r="E199" i="34" s="1"/>
  <c r="E193" i="12" s="1"/>
  <c r="K160" i="36"/>
  <c r="E163" i="34" s="1"/>
  <c r="E157" i="12" s="1"/>
  <c r="K152" i="36"/>
  <c r="E155" i="34" s="1"/>
  <c r="E149" i="12" s="1"/>
  <c r="K144" i="36"/>
  <c r="E147" i="34" s="1"/>
  <c r="E141" i="12" s="1"/>
  <c r="K136" i="36"/>
  <c r="E139" i="34" s="1"/>
  <c r="E133" i="12" s="1"/>
  <c r="K128" i="36"/>
  <c r="E131" i="34" s="1"/>
  <c r="E125" i="12" s="1"/>
  <c r="K115" i="36"/>
  <c r="E118" i="34" s="1"/>
  <c r="E112" i="12" s="1"/>
  <c r="K61" i="36"/>
  <c r="E64" i="34" s="1"/>
  <c r="E58" i="12" s="1"/>
  <c r="K226" i="36"/>
  <c r="E229" i="34" s="1"/>
  <c r="E223" i="12" s="1"/>
  <c r="K188" i="36"/>
  <c r="E191" i="34" s="1"/>
  <c r="E185" i="12" s="1"/>
  <c r="K172" i="36"/>
  <c r="E175" i="34" s="1"/>
  <c r="E169" i="12" s="1"/>
  <c r="K106" i="36"/>
  <c r="E109" i="34" s="1"/>
  <c r="E103" i="12" s="1"/>
  <c r="K44" i="36"/>
  <c r="E47" i="34" s="1"/>
  <c r="E41" i="12" s="1"/>
  <c r="K77" i="36"/>
  <c r="E80" i="34" s="1"/>
  <c r="E74" i="12" s="1"/>
  <c r="K89" i="36"/>
  <c r="E92" i="34" s="1"/>
  <c r="E86" i="12" s="1"/>
  <c r="K19" i="36"/>
  <c r="E22" i="34" s="1"/>
  <c r="E16" i="12" s="1"/>
  <c r="K69" i="36"/>
  <c r="E72" i="34" s="1"/>
  <c r="E66" i="12" s="1"/>
  <c r="K47" i="36"/>
  <c r="E50" i="34" s="1"/>
  <c r="E44" i="12" s="1"/>
  <c r="K24" i="36"/>
  <c r="E27" i="34" s="1"/>
  <c r="E21" i="12" s="1"/>
  <c r="K62" i="36"/>
  <c r="E65" i="34" s="1"/>
  <c r="E59" i="12" s="1"/>
  <c r="K295" i="36"/>
  <c r="E298" i="34" s="1"/>
  <c r="E292" i="12" s="1"/>
  <c r="K66" i="36"/>
  <c r="E69" i="34" s="1"/>
  <c r="E63" i="12" s="1"/>
  <c r="K94" i="36"/>
  <c r="E97" i="34" s="1"/>
  <c r="E91" i="12" s="1"/>
  <c r="K260" i="36"/>
  <c r="E263" i="34" s="1"/>
  <c r="E257" i="12" s="1"/>
  <c r="K276" i="36"/>
  <c r="E279" i="34" s="1"/>
  <c r="E273" i="12" s="1"/>
  <c r="K292" i="36"/>
  <c r="E295" i="34" s="1"/>
  <c r="E289" i="12" s="1"/>
  <c r="K308" i="36"/>
  <c r="E311" i="34" s="1"/>
  <c r="E305" i="12" s="1"/>
  <c r="K23" i="36"/>
  <c r="E26" i="34" s="1"/>
  <c r="E20" i="12" s="1"/>
  <c r="K117" i="36"/>
  <c r="E120" i="34" s="1"/>
  <c r="E114" i="12" s="1"/>
  <c r="K267" i="36"/>
  <c r="E270" i="34" s="1"/>
  <c r="E264" i="12" s="1"/>
  <c r="K283" i="36"/>
  <c r="E286" i="34" s="1"/>
  <c r="E280" i="12" s="1"/>
  <c r="K299" i="36"/>
  <c r="E302" i="34" s="1"/>
  <c r="E296" i="12" s="1"/>
  <c r="K80" i="36"/>
  <c r="E83" i="34" s="1"/>
  <c r="E77" i="12" s="1"/>
  <c r="K135" i="36"/>
  <c r="E138" i="34" s="1"/>
  <c r="E132" i="12" s="1"/>
  <c r="K54" i="36"/>
  <c r="E57" i="34" s="1"/>
  <c r="E51" i="12" s="1"/>
  <c r="K270" i="36"/>
  <c r="E273" i="34" s="1"/>
  <c r="E267" i="12" s="1"/>
  <c r="K286" i="36"/>
  <c r="E289" i="34" s="1"/>
  <c r="E283" i="12" s="1"/>
  <c r="K302" i="36"/>
  <c r="E305" i="34" s="1"/>
  <c r="E299" i="12" s="1"/>
  <c r="K60" i="36"/>
  <c r="E63" i="34" s="1"/>
  <c r="E57" i="12" s="1"/>
  <c r="K87" i="36"/>
  <c r="E90" i="34" s="1"/>
  <c r="E84" i="12" s="1"/>
  <c r="K211" i="36"/>
  <c r="E214" i="34" s="1"/>
  <c r="E208" i="12" s="1"/>
  <c r="K207" i="36"/>
  <c r="E210" i="34" s="1"/>
  <c r="E204" i="12" s="1"/>
  <c r="K258" i="36"/>
  <c r="E261" i="34" s="1"/>
  <c r="E255" i="12" s="1"/>
  <c r="K174" i="36"/>
  <c r="E177" i="34" s="1"/>
  <c r="E171" i="12" s="1"/>
  <c r="K244" i="36"/>
  <c r="E247" i="34" s="1"/>
  <c r="E241" i="12" s="1"/>
  <c r="K170" i="36"/>
  <c r="E173" i="34" s="1"/>
  <c r="E167" i="12" s="1"/>
  <c r="K212" i="36"/>
  <c r="E215" i="34" s="1"/>
  <c r="E209" i="12" s="1"/>
  <c r="K150" i="36"/>
  <c r="E153" i="34" s="1"/>
  <c r="E147" i="12" s="1"/>
  <c r="K154" i="36"/>
  <c r="E157" i="34" s="1"/>
  <c r="E151" i="12" s="1"/>
  <c r="K179" i="36"/>
  <c r="E182" i="34" s="1"/>
  <c r="E176" i="12" s="1"/>
  <c r="K59" i="36"/>
  <c r="E62" i="34" s="1"/>
  <c r="E56" i="12" s="1"/>
  <c r="K96" i="36"/>
  <c r="E99" i="34" s="1"/>
  <c r="E93" i="12" s="1"/>
  <c r="K112" i="36"/>
  <c r="E115" i="34" s="1"/>
  <c r="E109" i="12" s="1"/>
  <c r="K116" i="36"/>
  <c r="E119" i="34" s="1"/>
  <c r="E113" i="12" s="1"/>
  <c r="K233" i="36"/>
  <c r="E236" i="34" s="1"/>
  <c r="E230" i="12" s="1"/>
  <c r="K29" i="36"/>
  <c r="E32" i="34" s="1"/>
  <c r="E26" i="12" s="1"/>
  <c r="K37" i="36"/>
  <c r="E40" i="34" s="1"/>
  <c r="E34" i="12" s="1"/>
  <c r="K100" i="36"/>
  <c r="E103" i="34" s="1"/>
  <c r="E97" i="12" s="1"/>
  <c r="K153" i="36"/>
  <c r="E156" i="34" s="1"/>
  <c r="E150" i="12" s="1"/>
  <c r="K183" i="36"/>
  <c r="E186" i="34" s="1"/>
  <c r="E180" i="12" s="1"/>
  <c r="K251" i="36"/>
  <c r="E254" i="34" s="1"/>
  <c r="E248" i="12" s="1"/>
  <c r="K199" i="36"/>
  <c r="E202" i="34" s="1"/>
  <c r="E196" i="12" s="1"/>
  <c r="K25" i="36"/>
  <c r="E28" i="34" s="1"/>
  <c r="E22" i="12" s="1"/>
  <c r="K55" i="36"/>
  <c r="E58" i="34" s="1"/>
  <c r="E52" i="12" s="1"/>
  <c r="K71" i="36"/>
  <c r="E74" i="34" s="1"/>
  <c r="E68" i="12" s="1"/>
  <c r="K101" i="36"/>
  <c r="E104" i="34" s="1"/>
  <c r="E98" i="12" s="1"/>
  <c r="K173" i="36"/>
  <c r="E176" i="34" s="1"/>
  <c r="E170" i="12" s="1"/>
  <c r="K237" i="36"/>
  <c r="E240" i="34" s="1"/>
  <c r="E234" i="12" s="1"/>
  <c r="K227" i="36"/>
  <c r="E230" i="34" s="1"/>
  <c r="E224" i="12" s="1"/>
  <c r="K110" i="36"/>
  <c r="E113" i="34" s="1"/>
  <c r="E107" i="12" s="1"/>
  <c r="K169" i="36"/>
  <c r="E172" i="34" s="1"/>
  <c r="E166" i="12" s="1"/>
  <c r="K201" i="36"/>
  <c r="E204" i="34" s="1"/>
  <c r="E198" i="12" s="1"/>
  <c r="K249" i="36"/>
  <c r="E252" i="34" s="1"/>
  <c r="E246" i="12" s="1"/>
  <c r="K243" i="36"/>
  <c r="E246" i="34" s="1"/>
  <c r="E240" i="12" s="1"/>
  <c r="K236" i="36"/>
  <c r="E239" i="34" s="1"/>
  <c r="E233" i="12" s="1"/>
  <c r="K192" i="36"/>
  <c r="E195" i="34" s="1"/>
  <c r="E189" i="12" s="1"/>
  <c r="K210" i="36"/>
  <c r="E213" i="34" s="1"/>
  <c r="E207" i="12" s="1"/>
  <c r="K103" i="36"/>
  <c r="E106" i="34" s="1"/>
  <c r="E100" i="12" s="1"/>
  <c r="K95" i="36"/>
  <c r="E98" i="34" s="1"/>
  <c r="E92" i="12" s="1"/>
  <c r="K208" i="36"/>
  <c r="E211" i="34" s="1"/>
  <c r="E205" i="12" s="1"/>
  <c r="K111" i="36"/>
  <c r="E114" i="34" s="1"/>
  <c r="E108" i="12" s="1"/>
  <c r="K99" i="36"/>
  <c r="E102" i="34" s="1"/>
  <c r="E96" i="12" s="1"/>
  <c r="K40" i="36"/>
  <c r="E43" i="34" s="1"/>
  <c r="E37" i="12" s="1"/>
  <c r="K119" i="36"/>
  <c r="E122" i="34" s="1"/>
  <c r="E116" i="12" s="1"/>
  <c r="K56" i="36"/>
  <c r="E59" i="34" s="1"/>
  <c r="E53" i="12" s="1"/>
  <c r="K36" i="36"/>
  <c r="E39" i="34" s="1"/>
  <c r="E33" i="12" s="1"/>
  <c r="K32" i="36"/>
  <c r="E35" i="34" s="1"/>
  <c r="E29" i="12" s="1"/>
  <c r="K70" i="36"/>
  <c r="E73" i="34" s="1"/>
  <c r="E67" i="12" s="1"/>
  <c r="K12" i="36"/>
  <c r="E15" i="34" s="1"/>
  <c r="E9" i="12" s="1"/>
  <c r="K78" i="36"/>
  <c r="E81" i="34" s="1"/>
  <c r="E75" i="12" s="1"/>
  <c r="K82" i="36"/>
  <c r="E85" i="34" s="1"/>
  <c r="E79" i="12" s="1"/>
  <c r="K262" i="36"/>
  <c r="E265" i="34" s="1"/>
  <c r="E259" i="12" s="1"/>
  <c r="K278" i="36"/>
  <c r="E281" i="34" s="1"/>
  <c r="E275" i="12" s="1"/>
  <c r="K294" i="36"/>
  <c r="E297" i="34" s="1"/>
  <c r="E291" i="12" s="1"/>
  <c r="K264" i="36"/>
  <c r="E267" i="34" s="1"/>
  <c r="E261" i="12" s="1"/>
  <c r="K280" i="36"/>
  <c r="E283" i="34" s="1"/>
  <c r="E277" i="12" s="1"/>
  <c r="K296" i="36"/>
  <c r="E299" i="34" s="1"/>
  <c r="E293" i="12" s="1"/>
  <c r="K271" i="36"/>
  <c r="E274" i="34" s="1"/>
  <c r="E268" i="12" s="1"/>
  <c r="K287" i="36"/>
  <c r="E290" i="34" s="1"/>
  <c r="E284" i="12" s="1"/>
  <c r="K303" i="36"/>
  <c r="E306" i="34" s="1"/>
  <c r="E300" i="12" s="1"/>
  <c r="K143" i="36"/>
  <c r="E146" i="34" s="1"/>
  <c r="E140" i="12" s="1"/>
  <c r="K256" i="36"/>
  <c r="E259" i="34" s="1"/>
  <c r="E253" i="12" s="1"/>
  <c r="K274" i="36"/>
  <c r="E277" i="34" s="1"/>
  <c r="E271" i="12" s="1"/>
  <c r="K290" i="36"/>
  <c r="E293" i="34" s="1"/>
  <c r="E287" i="12" s="1"/>
  <c r="K306" i="36"/>
  <c r="E309" i="34" s="1"/>
  <c r="E303" i="12" s="1"/>
  <c r="K139" i="36"/>
  <c r="E142" i="34" s="1"/>
  <c r="E136" i="12" s="1"/>
  <c r="K68" i="36"/>
  <c r="E71" i="34" s="1"/>
  <c r="E65" i="12" s="1"/>
  <c r="K215" i="36"/>
  <c r="E218" i="34" s="1"/>
  <c r="E212" i="12" s="1"/>
  <c r="K126" i="36"/>
  <c r="E129" i="34" s="1"/>
  <c r="E123" i="12" s="1"/>
  <c r="K182" i="36"/>
  <c r="E185" i="34" s="1"/>
  <c r="E179" i="12" s="1"/>
  <c r="K186" i="36"/>
  <c r="E189" i="34" s="1"/>
  <c r="E183" i="12" s="1"/>
  <c r="K220" i="36"/>
  <c r="E223" i="34" s="1"/>
  <c r="E217" i="12" s="1"/>
  <c r="K166" i="36"/>
  <c r="E169" i="34" s="1"/>
  <c r="E163" i="12" s="1"/>
  <c r="K216" i="36"/>
  <c r="E219" i="34" s="1"/>
  <c r="E213" i="12" s="1"/>
  <c r="K159" i="36"/>
  <c r="E162" i="34" s="1"/>
  <c r="E156" i="12" s="1"/>
  <c r="K75" i="36"/>
  <c r="E78" i="34" s="1"/>
  <c r="E72" i="12" s="1"/>
  <c r="K187" i="36"/>
  <c r="E190" i="34" s="1"/>
  <c r="E184" i="12" s="1"/>
  <c r="K231" i="36"/>
  <c r="E234" i="34" s="1"/>
  <c r="E228" i="12" s="1"/>
  <c r="K257" i="36"/>
  <c r="E260" i="34" s="1"/>
  <c r="E254" i="12" s="1"/>
  <c r="K247" i="36"/>
  <c r="E250" i="34" s="1"/>
  <c r="E244" i="12" s="1"/>
  <c r="K230" i="36"/>
  <c r="E233" i="34" s="1"/>
  <c r="E227" i="12" s="1"/>
  <c r="K222" i="36"/>
  <c r="E225" i="34" s="1"/>
  <c r="E219" i="12" s="1"/>
  <c r="K285" i="36"/>
  <c r="E288" i="34" s="1"/>
  <c r="E282" i="12" s="1"/>
  <c r="K277" i="36"/>
  <c r="E280" i="34" s="1"/>
  <c r="E274" i="12" s="1"/>
  <c r="K214" i="36"/>
  <c r="E217" i="34" s="1"/>
  <c r="E211" i="12" s="1"/>
  <c r="K180" i="36"/>
  <c r="E183" i="34" s="1"/>
  <c r="E177" i="12" s="1"/>
  <c r="K148" i="36"/>
  <c r="E151" i="34" s="1"/>
  <c r="E145" i="12" s="1"/>
  <c r="K140" i="36"/>
  <c r="E143" i="34" s="1"/>
  <c r="E137" i="12" s="1"/>
  <c r="K38" i="36"/>
  <c r="E41" i="34" s="1"/>
  <c r="E35" i="12" s="1"/>
  <c r="K242" i="36"/>
  <c r="E245" i="34" s="1"/>
  <c r="E239" i="12" s="1"/>
  <c r="K206" i="36"/>
  <c r="E209" i="34" s="1"/>
  <c r="E203" i="12" s="1"/>
  <c r="K176" i="36"/>
  <c r="E179" i="34" s="1"/>
  <c r="E173" i="12" s="1"/>
  <c r="K52" i="36"/>
  <c r="E55" i="34" s="1"/>
  <c r="E49" i="12" s="1"/>
  <c r="K73" i="36"/>
  <c r="E76" i="34" s="1"/>
  <c r="E70" i="12" s="1"/>
  <c r="K85" i="36"/>
  <c r="E88" i="34" s="1"/>
  <c r="E82" i="12" s="1"/>
  <c r="K219" i="36"/>
  <c r="E222" i="34" s="1"/>
  <c r="E216" i="12" s="1"/>
  <c r="K263" i="36"/>
  <c r="E266" i="34" s="1"/>
  <c r="E260" i="12" s="1"/>
  <c r="K268" i="36"/>
  <c r="E271" i="34" s="1"/>
  <c r="E265" i="12" s="1"/>
  <c r="K284" i="36"/>
  <c r="E287" i="34" s="1"/>
  <c r="E281" i="12" s="1"/>
  <c r="K300" i="36"/>
  <c r="E303" i="34" s="1"/>
  <c r="E297" i="12" s="1"/>
  <c r="K50" i="36"/>
  <c r="E53" i="34" s="1"/>
  <c r="E47" i="12" s="1"/>
  <c r="K259" i="36"/>
  <c r="E262" i="34" s="1"/>
  <c r="E256" i="12" s="1"/>
  <c r="K275" i="36"/>
  <c r="E278" i="34" s="1"/>
  <c r="E272" i="12" s="1"/>
  <c r="K291" i="36"/>
  <c r="E294" i="34" s="1"/>
  <c r="E288" i="12" s="1"/>
  <c r="K307" i="36"/>
  <c r="E310" i="34" s="1"/>
  <c r="E304" i="12" s="1"/>
  <c r="K64" i="36"/>
  <c r="E67" i="34" s="1"/>
  <c r="E61" i="12" s="1"/>
  <c r="K151" i="36"/>
  <c r="E154" i="34" s="1"/>
  <c r="E148" i="12" s="1"/>
  <c r="K105" i="36"/>
  <c r="E108" i="34" s="1"/>
  <c r="E102" i="12" s="1"/>
  <c r="K92" i="36"/>
  <c r="E95" i="34" s="1"/>
  <c r="E89" i="12" s="1"/>
  <c r="K18" i="36"/>
  <c r="E21" i="34" s="1"/>
  <c r="E15" i="12" s="1"/>
  <c r="K76" i="36"/>
  <c r="E79" i="34" s="1"/>
  <c r="E73" i="12" s="1"/>
  <c r="K14" i="36"/>
  <c r="E17" i="34" s="1"/>
  <c r="E11" i="12" s="1"/>
  <c r="K118" i="36"/>
  <c r="E121" i="34" s="1"/>
  <c r="E115" i="12" s="1"/>
  <c r="K223" i="36"/>
  <c r="E226" i="34" s="1"/>
  <c r="E220" i="12" s="1"/>
  <c r="K142" i="36"/>
  <c r="E145" i="34" s="1"/>
  <c r="E139" i="12" s="1"/>
  <c r="K198" i="36"/>
  <c r="E201" i="34" s="1"/>
  <c r="E195" i="12" s="1"/>
  <c r="K232" i="36"/>
  <c r="E235" i="34" s="1"/>
  <c r="E229" i="12" s="1"/>
  <c r="K30" i="36"/>
  <c r="E33" i="34" s="1"/>
  <c r="E27" i="12" s="1"/>
  <c r="K190" i="36"/>
  <c r="E193" i="34" s="1"/>
  <c r="E187" i="12" s="1"/>
  <c r="K122" i="36"/>
  <c r="E125" i="34" s="1"/>
  <c r="E119" i="12" s="1"/>
  <c r="K178" i="36"/>
  <c r="E181" i="34" s="1"/>
  <c r="E175" i="12" s="1"/>
  <c r="K224" i="36"/>
  <c r="E227" i="34" s="1"/>
  <c r="E221" i="12" s="1"/>
  <c r="K255" i="36"/>
  <c r="E258" i="34" s="1"/>
  <c r="E252" i="12" s="1"/>
  <c r="K58" i="36"/>
  <c r="E61" i="34" s="1"/>
  <c r="E55" i="12" s="1"/>
  <c r="K17" i="36"/>
  <c r="E20" i="34" s="1"/>
  <c r="E14" i="12" s="1"/>
  <c r="K91" i="36"/>
  <c r="E94" i="34" s="1"/>
  <c r="E88" i="12" s="1"/>
  <c r="K121" i="36"/>
  <c r="E124" i="34" s="1"/>
  <c r="E118" i="12" s="1"/>
  <c r="K79" i="36"/>
  <c r="E82" i="34" s="1"/>
  <c r="E76" i="12" s="1"/>
  <c r="K141" i="36"/>
  <c r="E144" i="34" s="1"/>
  <c r="E138" i="12" s="1"/>
  <c r="K129" i="36"/>
  <c r="E132" i="34" s="1"/>
  <c r="E126" i="12" s="1"/>
  <c r="K167" i="36"/>
  <c r="E170" i="34" s="1"/>
  <c r="E164" i="12" s="1"/>
  <c r="K205" i="36"/>
  <c r="E208" i="34" s="1"/>
  <c r="E202" i="12" s="1"/>
  <c r="K168" i="36"/>
  <c r="E171" i="34" s="1"/>
  <c r="E165" i="12" s="1"/>
  <c r="K162" i="36"/>
  <c r="E165" i="34" s="1"/>
  <c r="E159" i="12" s="1"/>
  <c r="K146" i="36"/>
  <c r="E149" i="34" s="1"/>
  <c r="E143" i="12" s="1"/>
  <c r="K130" i="36"/>
  <c r="E133" i="34" s="1"/>
  <c r="E127" i="12" s="1"/>
  <c r="K65" i="36"/>
  <c r="E68" i="34" s="1"/>
  <c r="E62" i="12" s="1"/>
  <c r="K107" i="36"/>
  <c r="E110" i="34" s="1"/>
  <c r="E104" i="12" s="1"/>
  <c r="K27" i="36"/>
  <c r="E30" i="34" s="1"/>
  <c r="E24" i="12" s="1"/>
  <c r="K279" i="36"/>
  <c r="E282" i="34" s="1"/>
  <c r="E276" i="12" s="1"/>
  <c r="K98" i="36"/>
  <c r="E101" i="34" s="1"/>
  <c r="E95" i="12" s="1"/>
  <c r="K272" i="36"/>
  <c r="E275" i="34" s="1"/>
  <c r="E269" i="12" s="1"/>
  <c r="K288" i="36"/>
  <c r="E291" i="34" s="1"/>
  <c r="E285" i="12" s="1"/>
  <c r="K304" i="36"/>
  <c r="E307" i="34" s="1"/>
  <c r="E301" i="12" s="1"/>
  <c r="K15" i="36"/>
  <c r="E18" i="34" s="1"/>
  <c r="E12" i="12" s="1"/>
  <c r="K72" i="36"/>
  <c r="E75" i="34" s="1"/>
  <c r="E69" i="12" s="1"/>
  <c r="K127" i="36"/>
  <c r="E130" i="34" s="1"/>
  <c r="E124" i="12" s="1"/>
  <c r="K109" i="36"/>
  <c r="E112" i="34" s="1"/>
  <c r="E106" i="12" s="1"/>
  <c r="K252" i="36"/>
  <c r="E255" i="34" s="1"/>
  <c r="E249" i="12" s="1"/>
  <c r="K266" i="36"/>
  <c r="E269" i="34" s="1"/>
  <c r="E263" i="12" s="1"/>
  <c r="K282" i="36"/>
  <c r="E285" i="34" s="1"/>
  <c r="E279" i="12" s="1"/>
  <c r="K298" i="36"/>
  <c r="E301" i="34" s="1"/>
  <c r="E295" i="12" s="1"/>
  <c r="K84" i="36"/>
  <c r="E87" i="34" s="1"/>
  <c r="E81" i="12" s="1"/>
  <c r="K123" i="36"/>
  <c r="E126" i="34" s="1"/>
  <c r="E120" i="12" s="1"/>
  <c r="K155" i="36"/>
  <c r="E158" i="34" s="1"/>
  <c r="E152" i="12" s="1"/>
  <c r="K114" i="36"/>
  <c r="E117" i="34" s="1"/>
  <c r="E111" i="12" s="1"/>
  <c r="K253" i="36"/>
  <c r="E256" i="34" s="1"/>
  <c r="E250" i="12" s="1"/>
  <c r="K51" i="36"/>
  <c r="E54" i="34" s="1"/>
  <c r="E48" i="12" s="1"/>
  <c r="K203" i="36"/>
  <c r="E206" i="34" s="1"/>
  <c r="E200" i="12" s="1"/>
  <c r="K22" i="36"/>
  <c r="E25" i="34" s="1"/>
  <c r="E19" i="12" s="1"/>
  <c r="K10" i="36"/>
  <c r="E13" i="34" s="1"/>
  <c r="E7" i="12" s="1"/>
  <c r="K34" i="36"/>
  <c r="E37" i="34" s="1"/>
  <c r="E31" i="12" s="1"/>
  <c r="K158" i="36"/>
  <c r="E161" i="34" s="1"/>
  <c r="E155" i="12" s="1"/>
  <c r="K228" i="36"/>
  <c r="E231" i="34" s="1"/>
  <c r="E225" i="12" s="1"/>
  <c r="K204" i="36"/>
  <c r="E207" i="34" s="1"/>
  <c r="E201" i="12" s="1"/>
  <c r="K248" i="36"/>
  <c r="E251" i="34" s="1"/>
  <c r="E245" i="12" s="1"/>
  <c r="K42" i="36"/>
  <c r="E45" i="34" s="1"/>
  <c r="E39" i="12" s="1"/>
  <c r="K134" i="36"/>
  <c r="E137" i="34" s="1"/>
  <c r="E131" i="12" s="1"/>
  <c r="K138" i="36"/>
  <c r="E141" i="34" s="1"/>
  <c r="E135" i="12" s="1"/>
  <c r="K194" i="36"/>
  <c r="E197" i="34" s="1"/>
  <c r="E191" i="12" s="1"/>
  <c r="K240" i="36"/>
  <c r="E243" i="34" s="1"/>
  <c r="E237" i="12" s="1"/>
  <c r="K9" i="36"/>
  <c r="L306" i="19"/>
  <c r="P6" i="19"/>
  <c r="O306" i="19"/>
  <c r="I309" i="36"/>
  <c r="E309" i="36"/>
  <c r="J309" i="36"/>
  <c r="H309" i="36"/>
  <c r="F309" i="36"/>
  <c r="D309" i="36"/>
  <c r="G309" i="36"/>
  <c r="K309" i="36" l="1"/>
  <c r="G306" i="49"/>
  <c r="R6" i="19"/>
  <c r="E12" i="34"/>
  <c r="F306" i="49"/>
  <c r="D305" i="25"/>
  <c r="H7" i="49" l="1"/>
  <c r="H11" i="49"/>
  <c r="I11" i="49" s="1"/>
  <c r="H15" i="49"/>
  <c r="I15" i="49" s="1"/>
  <c r="H19" i="49"/>
  <c r="I19" i="49" s="1"/>
  <c r="H23" i="49"/>
  <c r="I23" i="49" s="1"/>
  <c r="H27" i="49"/>
  <c r="I27" i="49" s="1"/>
  <c r="H31" i="49"/>
  <c r="I31" i="49" s="1"/>
  <c r="H35" i="49"/>
  <c r="I35" i="49" s="1"/>
  <c r="H39" i="49"/>
  <c r="I39" i="49" s="1"/>
  <c r="H43" i="49"/>
  <c r="I43" i="49" s="1"/>
  <c r="H47" i="49"/>
  <c r="I47" i="49" s="1"/>
  <c r="H51" i="49"/>
  <c r="I51" i="49" s="1"/>
  <c r="H55" i="49"/>
  <c r="I55" i="49" s="1"/>
  <c r="H8" i="49"/>
  <c r="I8" i="49" s="1"/>
  <c r="H12" i="49"/>
  <c r="I12" i="49" s="1"/>
  <c r="H16" i="49"/>
  <c r="I16" i="49" s="1"/>
  <c r="H20" i="49"/>
  <c r="I20" i="49" s="1"/>
  <c r="H24" i="49"/>
  <c r="I24" i="49" s="1"/>
  <c r="H28" i="49"/>
  <c r="I28" i="49" s="1"/>
  <c r="H32" i="49"/>
  <c r="I32" i="49" s="1"/>
  <c r="H36" i="49"/>
  <c r="I36" i="49" s="1"/>
  <c r="H40" i="49"/>
  <c r="I40" i="49" s="1"/>
  <c r="H44" i="49"/>
  <c r="I44" i="49" s="1"/>
  <c r="H48" i="49"/>
  <c r="I48" i="49" s="1"/>
  <c r="H52" i="49"/>
  <c r="I52" i="49" s="1"/>
  <c r="H56" i="49"/>
  <c r="I56" i="49" s="1"/>
  <c r="H60" i="49"/>
  <c r="I60" i="49" s="1"/>
  <c r="H64" i="49"/>
  <c r="I64" i="49" s="1"/>
  <c r="H68" i="49"/>
  <c r="I68" i="49" s="1"/>
  <c r="H72" i="49"/>
  <c r="I72" i="49" s="1"/>
  <c r="H9" i="49"/>
  <c r="I9" i="49" s="1"/>
  <c r="H13" i="49"/>
  <c r="I13" i="49" s="1"/>
  <c r="H17" i="49"/>
  <c r="I17" i="49" s="1"/>
  <c r="H21" i="49"/>
  <c r="I21" i="49" s="1"/>
  <c r="H25" i="49"/>
  <c r="I25" i="49" s="1"/>
  <c r="H29" i="49"/>
  <c r="I29" i="49" s="1"/>
  <c r="H33" i="49"/>
  <c r="I33" i="49" s="1"/>
  <c r="H37" i="49"/>
  <c r="I37" i="49" s="1"/>
  <c r="H41" i="49"/>
  <c r="I41" i="49" s="1"/>
  <c r="H45" i="49"/>
  <c r="I45" i="49" s="1"/>
  <c r="H49" i="49"/>
  <c r="I49" i="49" s="1"/>
  <c r="H53" i="49"/>
  <c r="I53" i="49" s="1"/>
  <c r="H57" i="49"/>
  <c r="I57" i="49" s="1"/>
  <c r="H61" i="49"/>
  <c r="I61" i="49" s="1"/>
  <c r="H65" i="49"/>
  <c r="I65" i="49" s="1"/>
  <c r="H69" i="49"/>
  <c r="I69" i="49" s="1"/>
  <c r="H73" i="49"/>
  <c r="I73" i="49" s="1"/>
  <c r="H10" i="49"/>
  <c r="I10" i="49" s="1"/>
  <c r="H18" i="49"/>
  <c r="I18" i="49" s="1"/>
  <c r="H34" i="49"/>
  <c r="I34" i="49" s="1"/>
  <c r="H50" i="49"/>
  <c r="I50" i="49" s="1"/>
  <c r="H62" i="49"/>
  <c r="I62" i="49" s="1"/>
  <c r="H63" i="49"/>
  <c r="I63" i="49" s="1"/>
  <c r="H70" i="49"/>
  <c r="I70" i="49" s="1"/>
  <c r="H71" i="49"/>
  <c r="I71" i="49" s="1"/>
  <c r="H79" i="49"/>
  <c r="I79" i="49" s="1"/>
  <c r="H83" i="49"/>
  <c r="I83" i="49" s="1"/>
  <c r="H87" i="49"/>
  <c r="I87" i="49" s="1"/>
  <c r="H91" i="49"/>
  <c r="I91" i="49" s="1"/>
  <c r="H95" i="49"/>
  <c r="I95" i="49" s="1"/>
  <c r="H99" i="49"/>
  <c r="I99" i="49" s="1"/>
  <c r="H103" i="49"/>
  <c r="I103" i="49" s="1"/>
  <c r="H107" i="49"/>
  <c r="I107" i="49" s="1"/>
  <c r="H111" i="49"/>
  <c r="H115" i="49"/>
  <c r="H119" i="49"/>
  <c r="I119" i="49" s="1"/>
  <c r="H123" i="49"/>
  <c r="H127" i="49"/>
  <c r="I127" i="49" s="1"/>
  <c r="H22" i="49"/>
  <c r="I22" i="49" s="1"/>
  <c r="H38" i="49"/>
  <c r="I38" i="49" s="1"/>
  <c r="H54" i="49"/>
  <c r="I54" i="49" s="1"/>
  <c r="H80" i="49"/>
  <c r="I80" i="49" s="1"/>
  <c r="H84" i="49"/>
  <c r="I84" i="49" s="1"/>
  <c r="H88" i="49"/>
  <c r="I88" i="49" s="1"/>
  <c r="H92" i="49"/>
  <c r="I92" i="49" s="1"/>
  <c r="H96" i="49"/>
  <c r="I96" i="49" s="1"/>
  <c r="H100" i="49"/>
  <c r="I100" i="49" s="1"/>
  <c r="H104" i="49"/>
  <c r="I104" i="49" s="1"/>
  <c r="H108" i="49"/>
  <c r="H112" i="49"/>
  <c r="I112" i="49" s="1"/>
  <c r="H116" i="49"/>
  <c r="H120" i="49"/>
  <c r="H124" i="49"/>
  <c r="H14" i="49"/>
  <c r="H26" i="49"/>
  <c r="I26" i="49" s="1"/>
  <c r="H42" i="49"/>
  <c r="I42" i="49" s="1"/>
  <c r="H58" i="49"/>
  <c r="I58" i="49" s="1"/>
  <c r="H59" i="49"/>
  <c r="I59" i="49" s="1"/>
  <c r="H66" i="49"/>
  <c r="I66" i="49" s="1"/>
  <c r="H67" i="49"/>
  <c r="I67" i="49" s="1"/>
  <c r="H74" i="49"/>
  <c r="I74" i="49" s="1"/>
  <c r="H75" i="49"/>
  <c r="I75" i="49" s="1"/>
  <c r="H76" i="49"/>
  <c r="I76" i="49" s="1"/>
  <c r="H77" i="49"/>
  <c r="I77" i="49" s="1"/>
  <c r="H81" i="49"/>
  <c r="I81" i="49" s="1"/>
  <c r="H85" i="49"/>
  <c r="I85" i="49" s="1"/>
  <c r="H89" i="49"/>
  <c r="I89" i="49" s="1"/>
  <c r="H93" i="49"/>
  <c r="I93" i="49" s="1"/>
  <c r="H97" i="49"/>
  <c r="I97" i="49" s="1"/>
  <c r="H101" i="49"/>
  <c r="I101" i="49" s="1"/>
  <c r="H30" i="49"/>
  <c r="I30" i="49" s="1"/>
  <c r="H46" i="49"/>
  <c r="I46" i="49" s="1"/>
  <c r="H82" i="49"/>
  <c r="I82" i="49" s="1"/>
  <c r="H90" i="49"/>
  <c r="I90" i="49" s="1"/>
  <c r="H98" i="49"/>
  <c r="I98" i="49" s="1"/>
  <c r="H121" i="49"/>
  <c r="H122" i="49"/>
  <c r="H125" i="49"/>
  <c r="H126" i="49"/>
  <c r="I126" i="49" s="1"/>
  <c r="H129" i="49"/>
  <c r="H133" i="49"/>
  <c r="I133" i="49" s="1"/>
  <c r="H137" i="49"/>
  <c r="H141" i="49"/>
  <c r="I141" i="49" s="1"/>
  <c r="H145" i="49"/>
  <c r="I145" i="49" s="1"/>
  <c r="H149" i="49"/>
  <c r="I149" i="49" s="1"/>
  <c r="H153" i="49"/>
  <c r="I153" i="49" s="1"/>
  <c r="H157" i="49"/>
  <c r="I157" i="49" s="1"/>
  <c r="H161" i="49"/>
  <c r="I161" i="49" s="1"/>
  <c r="H165" i="49"/>
  <c r="I165" i="49" s="1"/>
  <c r="H169" i="49"/>
  <c r="I169" i="49" s="1"/>
  <c r="H173" i="49"/>
  <c r="I173" i="49" s="1"/>
  <c r="H177" i="49"/>
  <c r="I177" i="49" s="1"/>
  <c r="H181" i="49"/>
  <c r="I181" i="49" s="1"/>
  <c r="H185" i="49"/>
  <c r="I185" i="49" s="1"/>
  <c r="H113" i="49"/>
  <c r="H114" i="49"/>
  <c r="H117" i="49"/>
  <c r="I117" i="49" s="1"/>
  <c r="H118" i="49"/>
  <c r="H130" i="49"/>
  <c r="H134" i="49"/>
  <c r="I134" i="49" s="1"/>
  <c r="H138" i="49"/>
  <c r="I138" i="49" s="1"/>
  <c r="H142" i="49"/>
  <c r="H146" i="49"/>
  <c r="H150" i="49"/>
  <c r="H154" i="49"/>
  <c r="I154" i="49" s="1"/>
  <c r="H158" i="49"/>
  <c r="I158" i="49" s="1"/>
  <c r="H162" i="49"/>
  <c r="I162" i="49" s="1"/>
  <c r="H166" i="49"/>
  <c r="I166" i="49" s="1"/>
  <c r="H170" i="49"/>
  <c r="I170" i="49" s="1"/>
  <c r="H174" i="49"/>
  <c r="I174" i="49" s="1"/>
  <c r="H178" i="49"/>
  <c r="I178" i="49" s="1"/>
  <c r="H182" i="49"/>
  <c r="I182" i="49" s="1"/>
  <c r="H186" i="49"/>
  <c r="I186" i="49" s="1"/>
  <c r="H78" i="49"/>
  <c r="I78" i="49" s="1"/>
  <c r="H86" i="49"/>
  <c r="I86" i="49" s="1"/>
  <c r="H94" i="49"/>
  <c r="I94" i="49" s="1"/>
  <c r="H102" i="49"/>
  <c r="I102" i="49" s="1"/>
  <c r="H109" i="49"/>
  <c r="I109" i="49" s="1"/>
  <c r="H110" i="49"/>
  <c r="I110" i="49" s="1"/>
  <c r="H131" i="49"/>
  <c r="I131" i="49" s="1"/>
  <c r="H135" i="49"/>
  <c r="I135" i="49" s="1"/>
  <c r="H139" i="49"/>
  <c r="I139" i="49" s="1"/>
  <c r="H143" i="49"/>
  <c r="H147" i="49"/>
  <c r="H151" i="49"/>
  <c r="I151" i="49" s="1"/>
  <c r="H155" i="49"/>
  <c r="I155" i="49" s="1"/>
  <c r="H159" i="49"/>
  <c r="I159" i="49" s="1"/>
  <c r="H163" i="49"/>
  <c r="I163" i="49" s="1"/>
  <c r="H167" i="49"/>
  <c r="I167" i="49" s="1"/>
  <c r="H171" i="49"/>
  <c r="I171" i="49" s="1"/>
  <c r="H175" i="49"/>
  <c r="I175" i="49" s="1"/>
  <c r="H105" i="49"/>
  <c r="I105" i="49" s="1"/>
  <c r="H106" i="49"/>
  <c r="H128" i="49"/>
  <c r="H132" i="49"/>
  <c r="I132" i="49" s="1"/>
  <c r="H136" i="49"/>
  <c r="I136" i="49" s="1"/>
  <c r="H140" i="49"/>
  <c r="I140" i="49" s="1"/>
  <c r="H144" i="49"/>
  <c r="H148" i="49"/>
  <c r="H152" i="49"/>
  <c r="I152" i="49" s="1"/>
  <c r="H156" i="49"/>
  <c r="I156" i="49" s="1"/>
  <c r="H160" i="49"/>
  <c r="I160" i="49" s="1"/>
  <c r="H164" i="49"/>
  <c r="I164" i="49" s="1"/>
  <c r="H168" i="49"/>
  <c r="I168" i="49" s="1"/>
  <c r="H172" i="49"/>
  <c r="I172" i="49" s="1"/>
  <c r="H176" i="49"/>
  <c r="I176" i="49" s="1"/>
  <c r="H180" i="49"/>
  <c r="I180" i="49" s="1"/>
  <c r="H183" i="49"/>
  <c r="I183" i="49" s="1"/>
  <c r="H184" i="49"/>
  <c r="H189" i="49"/>
  <c r="I189" i="49" s="1"/>
  <c r="H190" i="49"/>
  <c r="I190" i="49" s="1"/>
  <c r="H194" i="49"/>
  <c r="I194" i="49" s="1"/>
  <c r="H198" i="49"/>
  <c r="I198" i="49" s="1"/>
  <c r="H202" i="49"/>
  <c r="I202" i="49" s="1"/>
  <c r="H206" i="49"/>
  <c r="I206" i="49" s="1"/>
  <c r="H210" i="49"/>
  <c r="I210" i="49" s="1"/>
  <c r="H214" i="49"/>
  <c r="I214" i="49" s="1"/>
  <c r="H218" i="49"/>
  <c r="I218" i="49" s="1"/>
  <c r="H222" i="49"/>
  <c r="I222" i="49" s="1"/>
  <c r="H226" i="49"/>
  <c r="I226" i="49" s="1"/>
  <c r="H230" i="49"/>
  <c r="I230" i="49" s="1"/>
  <c r="H234" i="49"/>
  <c r="I234" i="49" s="1"/>
  <c r="H238" i="49"/>
  <c r="I238" i="49" s="1"/>
  <c r="H242" i="49"/>
  <c r="I242" i="49" s="1"/>
  <c r="H191" i="49"/>
  <c r="I191" i="49" s="1"/>
  <c r="H195" i="49"/>
  <c r="H199" i="49"/>
  <c r="I199" i="49" s="1"/>
  <c r="H203" i="49"/>
  <c r="I203" i="49" s="1"/>
  <c r="H207" i="49"/>
  <c r="I207" i="49" s="1"/>
  <c r="H211" i="49"/>
  <c r="I211" i="49" s="1"/>
  <c r="H215" i="49"/>
  <c r="I215" i="49" s="1"/>
  <c r="H219" i="49"/>
  <c r="I219" i="49" s="1"/>
  <c r="H223" i="49"/>
  <c r="I223" i="49" s="1"/>
  <c r="H227" i="49"/>
  <c r="I227" i="49" s="1"/>
  <c r="H231" i="49"/>
  <c r="I231" i="49" s="1"/>
  <c r="H235" i="49"/>
  <c r="I235" i="49" s="1"/>
  <c r="H239" i="49"/>
  <c r="I239" i="49" s="1"/>
  <c r="H243" i="49"/>
  <c r="I243" i="49" s="1"/>
  <c r="H247" i="49"/>
  <c r="I247" i="49" s="1"/>
  <c r="H251" i="49"/>
  <c r="I251" i="49" s="1"/>
  <c r="H192" i="49"/>
  <c r="I192" i="49" s="1"/>
  <c r="H196" i="49"/>
  <c r="H200" i="49"/>
  <c r="I200" i="49" s="1"/>
  <c r="H204" i="49"/>
  <c r="I204" i="49" s="1"/>
  <c r="H208" i="49"/>
  <c r="I208" i="49" s="1"/>
  <c r="H212" i="49"/>
  <c r="I212" i="49" s="1"/>
  <c r="H216" i="49"/>
  <c r="I216" i="49" s="1"/>
  <c r="H220" i="49"/>
  <c r="I220" i="49" s="1"/>
  <c r="H224" i="49"/>
  <c r="I224" i="49" s="1"/>
  <c r="H228" i="49"/>
  <c r="I228" i="49" s="1"/>
  <c r="H232" i="49"/>
  <c r="I232" i="49" s="1"/>
  <c r="H236" i="49"/>
  <c r="I236" i="49" s="1"/>
  <c r="H240" i="49"/>
  <c r="I240" i="49" s="1"/>
  <c r="H244" i="49"/>
  <c r="I244" i="49" s="1"/>
  <c r="H248" i="49"/>
  <c r="I248" i="49" s="1"/>
  <c r="H252" i="49"/>
  <c r="I252" i="49" s="1"/>
  <c r="H188" i="49"/>
  <c r="I188" i="49" s="1"/>
  <c r="H193" i="49"/>
  <c r="I193" i="49" s="1"/>
  <c r="H205" i="49"/>
  <c r="I205" i="49" s="1"/>
  <c r="H221" i="49"/>
  <c r="I221" i="49" s="1"/>
  <c r="H237" i="49"/>
  <c r="I237" i="49" s="1"/>
  <c r="H257" i="49"/>
  <c r="I257" i="49" s="1"/>
  <c r="H261" i="49"/>
  <c r="I261" i="49" s="1"/>
  <c r="H265" i="49"/>
  <c r="I265" i="49" s="1"/>
  <c r="H269" i="49"/>
  <c r="H273" i="49"/>
  <c r="H277" i="49"/>
  <c r="I277" i="49" s="1"/>
  <c r="H281" i="49"/>
  <c r="I281" i="49" s="1"/>
  <c r="H285" i="49"/>
  <c r="I285" i="49" s="1"/>
  <c r="H289" i="49"/>
  <c r="I289" i="49" s="1"/>
  <c r="H293" i="49"/>
  <c r="I293" i="49" s="1"/>
  <c r="H297" i="49"/>
  <c r="H301" i="49"/>
  <c r="I301" i="49" s="1"/>
  <c r="H305" i="49"/>
  <c r="I305" i="49" s="1"/>
  <c r="H209" i="49"/>
  <c r="I209" i="49" s="1"/>
  <c r="H225" i="49"/>
  <c r="I225" i="49" s="1"/>
  <c r="H241" i="49"/>
  <c r="I241" i="49" s="1"/>
  <c r="H246" i="49"/>
  <c r="I246" i="49" s="1"/>
  <c r="H253" i="49"/>
  <c r="I253" i="49" s="1"/>
  <c r="H254" i="49"/>
  <c r="I254" i="49" s="1"/>
  <c r="H258" i="49"/>
  <c r="I258" i="49" s="1"/>
  <c r="H262" i="49"/>
  <c r="I262" i="49" s="1"/>
  <c r="H266" i="49"/>
  <c r="I266" i="49" s="1"/>
  <c r="H270" i="49"/>
  <c r="H274" i="49"/>
  <c r="H278" i="49"/>
  <c r="H282" i="49"/>
  <c r="H286" i="49"/>
  <c r="I286" i="49" s="1"/>
  <c r="H290" i="49"/>
  <c r="I290" i="49" s="1"/>
  <c r="H294" i="49"/>
  <c r="H298" i="49"/>
  <c r="H302" i="49"/>
  <c r="I302" i="49" s="1"/>
  <c r="H179" i="49"/>
  <c r="I179" i="49" s="1"/>
  <c r="H187" i="49"/>
  <c r="I187" i="49" s="1"/>
  <c r="H197" i="49"/>
  <c r="I197" i="49" s="1"/>
  <c r="H213" i="49"/>
  <c r="I213" i="49" s="1"/>
  <c r="H229" i="49"/>
  <c r="I229" i="49" s="1"/>
  <c r="H245" i="49"/>
  <c r="I245" i="49" s="1"/>
  <c r="H255" i="49"/>
  <c r="I255" i="49" s="1"/>
  <c r="H259" i="49"/>
  <c r="I259" i="49" s="1"/>
  <c r="H263" i="49"/>
  <c r="I263" i="49" s="1"/>
  <c r="H267" i="49"/>
  <c r="H271" i="49"/>
  <c r="H275" i="49"/>
  <c r="H279" i="49"/>
  <c r="I279" i="49" s="1"/>
  <c r="H283" i="49"/>
  <c r="I283" i="49" s="1"/>
  <c r="H287" i="49"/>
  <c r="H291" i="49"/>
  <c r="I291" i="49" s="1"/>
  <c r="H295" i="49"/>
  <c r="I295" i="49" s="1"/>
  <c r="H299" i="49"/>
  <c r="I299" i="49" s="1"/>
  <c r="H303" i="49"/>
  <c r="I303" i="49" s="1"/>
  <c r="H201" i="49"/>
  <c r="I201" i="49" s="1"/>
  <c r="H217" i="49"/>
  <c r="I217" i="49" s="1"/>
  <c r="H233" i="49"/>
  <c r="I233" i="49" s="1"/>
  <c r="H249" i="49"/>
  <c r="I249" i="49" s="1"/>
  <c r="H250" i="49"/>
  <c r="I250" i="49" s="1"/>
  <c r="H256" i="49"/>
  <c r="I256" i="49" s="1"/>
  <c r="H260" i="49"/>
  <c r="I260" i="49" s="1"/>
  <c r="H264" i="49"/>
  <c r="I264" i="49" s="1"/>
  <c r="H268" i="49"/>
  <c r="H272" i="49"/>
  <c r="H276" i="49"/>
  <c r="I276" i="49" s="1"/>
  <c r="H280" i="49"/>
  <c r="I280" i="49" s="1"/>
  <c r="H284" i="49"/>
  <c r="I284" i="49" s="1"/>
  <c r="H288" i="49"/>
  <c r="H292" i="49"/>
  <c r="I292" i="49" s="1"/>
  <c r="H296" i="49"/>
  <c r="H300" i="49"/>
  <c r="I300" i="49" s="1"/>
  <c r="H304" i="49"/>
  <c r="E5" i="25"/>
  <c r="AK6" i="42"/>
  <c r="E47" i="48"/>
  <c r="F28" i="48"/>
  <c r="J6" i="49"/>
  <c r="AC6" i="42"/>
  <c r="AM6" i="42"/>
  <c r="AE6" i="42"/>
  <c r="C6" i="33"/>
  <c r="E6" i="33" s="1"/>
  <c r="C12" i="9"/>
  <c r="C312" i="9" s="1"/>
  <c r="H6" i="49"/>
  <c r="E312" i="34"/>
  <c r="C6" i="39"/>
  <c r="C6" i="12"/>
  <c r="E6" i="12" s="1"/>
  <c r="C6" i="13"/>
  <c r="C6" i="11" l="1"/>
  <c r="C12" i="34"/>
  <c r="D6" i="37"/>
  <c r="H306" i="49"/>
  <c r="I306" i="49" l="1"/>
  <c r="F6" i="11" l="1"/>
  <c r="G6" i="11" s="1"/>
  <c r="K6" i="11" l="1"/>
  <c r="L6" i="11" l="1"/>
  <c r="F306" i="42" l="1"/>
  <c r="M306" i="42" l="1"/>
  <c r="M306" i="19"/>
  <c r="T306" i="42" l="1"/>
  <c r="P306" i="19"/>
  <c r="R306" i="19" l="1"/>
  <c r="H46" i="40" s="1"/>
  <c r="K47" i="40" s="1"/>
  <c r="C306" i="12"/>
  <c r="E306" i="12" s="1"/>
  <c r="C306" i="13"/>
  <c r="B47" i="40" l="1"/>
  <c r="G40" i="40"/>
  <c r="AK306" i="42"/>
  <c r="AM306" i="42"/>
  <c r="AC306" i="42"/>
  <c r="AE306" i="42"/>
  <c r="C306" i="39"/>
  <c r="E5" i="9"/>
  <c r="E305" i="25"/>
  <c r="C306" i="33"/>
  <c r="E306" i="33" s="1"/>
  <c r="J306" i="49"/>
  <c r="K5" i="49" s="1"/>
  <c r="Q306" i="19"/>
  <c r="C305" i="25" s="1"/>
  <c r="K8" i="49" l="1"/>
  <c r="L8" i="49" s="1"/>
  <c r="H7" i="25" s="1"/>
  <c r="K12" i="49"/>
  <c r="L12" i="49" s="1"/>
  <c r="H11" i="25" s="1"/>
  <c r="K16" i="49"/>
  <c r="L16" i="49" s="1"/>
  <c r="H15" i="25" s="1"/>
  <c r="I16" i="54" s="1"/>
  <c r="K20" i="49"/>
  <c r="L20" i="49" s="1"/>
  <c r="H19" i="25" s="1"/>
  <c r="I20" i="54" s="1"/>
  <c r="K24" i="49"/>
  <c r="L24" i="49" s="1"/>
  <c r="H23" i="25" s="1"/>
  <c r="K28" i="49"/>
  <c r="L28" i="49" s="1"/>
  <c r="H27" i="25" s="1"/>
  <c r="K32" i="49"/>
  <c r="L32" i="49" s="1"/>
  <c r="H31" i="25" s="1"/>
  <c r="I32" i="54" s="1"/>
  <c r="K36" i="49"/>
  <c r="L36" i="49" s="1"/>
  <c r="H35" i="25" s="1"/>
  <c r="I36" i="54" s="1"/>
  <c r="K40" i="49"/>
  <c r="L40" i="49" s="1"/>
  <c r="H39" i="25" s="1"/>
  <c r="K44" i="49"/>
  <c r="L44" i="49" s="1"/>
  <c r="H43" i="25" s="1"/>
  <c r="K48" i="49"/>
  <c r="L48" i="49" s="1"/>
  <c r="H47" i="25" s="1"/>
  <c r="I48" i="54" s="1"/>
  <c r="K52" i="49"/>
  <c r="L52" i="49" s="1"/>
  <c r="H51" i="25" s="1"/>
  <c r="I52" i="54" s="1"/>
  <c r="K56" i="49"/>
  <c r="L56" i="49" s="1"/>
  <c r="H55" i="25" s="1"/>
  <c r="K9" i="49"/>
  <c r="L9" i="49" s="1"/>
  <c r="H8" i="25" s="1"/>
  <c r="K13" i="49"/>
  <c r="L13" i="49" s="1"/>
  <c r="H12" i="25" s="1"/>
  <c r="K17" i="49"/>
  <c r="L17" i="49" s="1"/>
  <c r="H16" i="25" s="1"/>
  <c r="I17" i="54" s="1"/>
  <c r="K21" i="49"/>
  <c r="L21" i="49" s="1"/>
  <c r="H20" i="25" s="1"/>
  <c r="K25" i="49"/>
  <c r="L25" i="49" s="1"/>
  <c r="H24" i="25" s="1"/>
  <c r="K29" i="49"/>
  <c r="L29" i="49" s="1"/>
  <c r="H28" i="25" s="1"/>
  <c r="K33" i="49"/>
  <c r="L33" i="49" s="1"/>
  <c r="H32" i="25" s="1"/>
  <c r="I33" i="54" s="1"/>
  <c r="K37" i="49"/>
  <c r="L37" i="49" s="1"/>
  <c r="H36" i="25" s="1"/>
  <c r="K41" i="49"/>
  <c r="L41" i="49" s="1"/>
  <c r="H40" i="25" s="1"/>
  <c r="K45" i="49"/>
  <c r="L45" i="49" s="1"/>
  <c r="H44" i="25" s="1"/>
  <c r="K49" i="49"/>
  <c r="L49" i="49" s="1"/>
  <c r="H48" i="25" s="1"/>
  <c r="I49" i="54" s="1"/>
  <c r="K53" i="49"/>
  <c r="L53" i="49" s="1"/>
  <c r="H52" i="25" s="1"/>
  <c r="K57" i="49"/>
  <c r="L57" i="49" s="1"/>
  <c r="H56" i="25" s="1"/>
  <c r="K61" i="49"/>
  <c r="L61" i="49" s="1"/>
  <c r="H60" i="25" s="1"/>
  <c r="K65" i="49"/>
  <c r="L65" i="49" s="1"/>
  <c r="H64" i="25" s="1"/>
  <c r="I65" i="54" s="1"/>
  <c r="K69" i="49"/>
  <c r="L69" i="49" s="1"/>
  <c r="H68" i="25" s="1"/>
  <c r="K73" i="49"/>
  <c r="L73" i="49" s="1"/>
  <c r="H72" i="25" s="1"/>
  <c r="K10" i="49"/>
  <c r="L10" i="49" s="1"/>
  <c r="H9" i="25" s="1"/>
  <c r="I10" i="54" s="1"/>
  <c r="K14" i="49"/>
  <c r="L14" i="49" s="1"/>
  <c r="H13" i="25" s="1"/>
  <c r="I14" i="54" s="1"/>
  <c r="K18" i="49"/>
  <c r="L18" i="49" s="1"/>
  <c r="H17" i="25" s="1"/>
  <c r="K22" i="49"/>
  <c r="L22" i="49" s="1"/>
  <c r="H21" i="25" s="1"/>
  <c r="K26" i="49"/>
  <c r="L26" i="49" s="1"/>
  <c r="H25" i="25" s="1"/>
  <c r="I26" i="54" s="1"/>
  <c r="K30" i="49"/>
  <c r="L30" i="49" s="1"/>
  <c r="H29" i="25" s="1"/>
  <c r="I30" i="54" s="1"/>
  <c r="K34" i="49"/>
  <c r="L34" i="49" s="1"/>
  <c r="H33" i="25" s="1"/>
  <c r="K38" i="49"/>
  <c r="L38" i="49" s="1"/>
  <c r="H37" i="25" s="1"/>
  <c r="K42" i="49"/>
  <c r="L42" i="49" s="1"/>
  <c r="H41" i="25" s="1"/>
  <c r="I42" i="54" s="1"/>
  <c r="K46" i="49"/>
  <c r="L46" i="49" s="1"/>
  <c r="H45" i="25" s="1"/>
  <c r="I46" i="54" s="1"/>
  <c r="K50" i="49"/>
  <c r="L50" i="49" s="1"/>
  <c r="H49" i="25" s="1"/>
  <c r="K54" i="49"/>
  <c r="L54" i="49" s="1"/>
  <c r="H53" i="25" s="1"/>
  <c r="K58" i="49"/>
  <c r="L58" i="49" s="1"/>
  <c r="H57" i="25" s="1"/>
  <c r="I58" i="54" s="1"/>
  <c r="K62" i="49"/>
  <c r="L62" i="49" s="1"/>
  <c r="H61" i="25" s="1"/>
  <c r="I62" i="54" s="1"/>
  <c r="K66" i="49"/>
  <c r="L66" i="49" s="1"/>
  <c r="H65" i="25" s="1"/>
  <c r="K70" i="49"/>
  <c r="L70" i="49" s="1"/>
  <c r="H69" i="25" s="1"/>
  <c r="K74" i="49"/>
  <c r="L74" i="49" s="1"/>
  <c r="H73" i="25" s="1"/>
  <c r="I74" i="54" s="1"/>
  <c r="K11" i="49"/>
  <c r="L11" i="49" s="1"/>
  <c r="H10" i="25" s="1"/>
  <c r="K19" i="49"/>
  <c r="L19" i="49" s="1"/>
  <c r="H18" i="25" s="1"/>
  <c r="K35" i="49"/>
  <c r="L35" i="49" s="1"/>
  <c r="H34" i="25" s="1"/>
  <c r="K51" i="49"/>
  <c r="L51" i="49" s="1"/>
  <c r="H50" i="25" s="1"/>
  <c r="I51" i="54" s="1"/>
  <c r="K59" i="49"/>
  <c r="L59" i="49" s="1"/>
  <c r="H58" i="25" s="1"/>
  <c r="I59" i="54" s="1"/>
  <c r="K67" i="49"/>
  <c r="L67" i="49" s="1"/>
  <c r="H66" i="25" s="1"/>
  <c r="K75" i="49"/>
  <c r="L75" i="49" s="1"/>
  <c r="H74" i="25" s="1"/>
  <c r="K76" i="49"/>
  <c r="L76" i="49" s="1"/>
  <c r="H75" i="25" s="1"/>
  <c r="I76" i="54" s="1"/>
  <c r="K80" i="49"/>
  <c r="L80" i="49" s="1"/>
  <c r="H79" i="25" s="1"/>
  <c r="K84" i="49"/>
  <c r="L84" i="49" s="1"/>
  <c r="H83" i="25" s="1"/>
  <c r="K88" i="49"/>
  <c r="L88" i="49" s="1"/>
  <c r="H87" i="25" s="1"/>
  <c r="K92" i="49"/>
  <c r="L92" i="49" s="1"/>
  <c r="H91" i="25" s="1"/>
  <c r="I92" i="54" s="1"/>
  <c r="K96" i="49"/>
  <c r="L96" i="49" s="1"/>
  <c r="H95" i="25" s="1"/>
  <c r="I96" i="54" s="1"/>
  <c r="K100" i="49"/>
  <c r="L100" i="49" s="1"/>
  <c r="H99" i="25" s="1"/>
  <c r="K104" i="49"/>
  <c r="L104" i="49" s="1"/>
  <c r="H103" i="25" s="1"/>
  <c r="K108" i="49"/>
  <c r="L108" i="49" s="1"/>
  <c r="H107" i="25" s="1"/>
  <c r="I108" i="54" s="1"/>
  <c r="K112" i="49"/>
  <c r="L112" i="49" s="1"/>
  <c r="H111" i="25" s="1"/>
  <c r="K116" i="49"/>
  <c r="L116" i="49" s="1"/>
  <c r="H115" i="25" s="1"/>
  <c r="K120" i="49"/>
  <c r="L120" i="49" s="1"/>
  <c r="H119" i="25" s="1"/>
  <c r="K124" i="49"/>
  <c r="L124" i="49" s="1"/>
  <c r="H123" i="25" s="1"/>
  <c r="K23" i="49"/>
  <c r="L23" i="49" s="1"/>
  <c r="H22" i="25" s="1"/>
  <c r="I23" i="54" s="1"/>
  <c r="K39" i="49"/>
  <c r="L39" i="49" s="1"/>
  <c r="H38" i="25" s="1"/>
  <c r="K55" i="49"/>
  <c r="L55" i="49" s="1"/>
  <c r="H54" i="25" s="1"/>
  <c r="K64" i="49"/>
  <c r="L64" i="49" s="1"/>
  <c r="H63" i="25" s="1"/>
  <c r="I64" i="54" s="1"/>
  <c r="K72" i="49"/>
  <c r="L72" i="49" s="1"/>
  <c r="H71" i="25" s="1"/>
  <c r="I72" i="54" s="1"/>
  <c r="K77" i="49"/>
  <c r="L77" i="49" s="1"/>
  <c r="H76" i="25" s="1"/>
  <c r="K81" i="49"/>
  <c r="L81" i="49" s="1"/>
  <c r="H80" i="25" s="1"/>
  <c r="K85" i="49"/>
  <c r="L85" i="49" s="1"/>
  <c r="H84" i="25" s="1"/>
  <c r="I85" i="54" s="1"/>
  <c r="K89" i="49"/>
  <c r="L89" i="49" s="1"/>
  <c r="H88" i="25" s="1"/>
  <c r="I89" i="54" s="1"/>
  <c r="K93" i="49"/>
  <c r="L93" i="49" s="1"/>
  <c r="H92" i="25" s="1"/>
  <c r="K97" i="49"/>
  <c r="L97" i="49" s="1"/>
  <c r="H96" i="25" s="1"/>
  <c r="K101" i="49"/>
  <c r="L101" i="49" s="1"/>
  <c r="H100" i="25" s="1"/>
  <c r="K105" i="49"/>
  <c r="L105" i="49" s="1"/>
  <c r="H104" i="25" s="1"/>
  <c r="I105" i="54" s="1"/>
  <c r="K109" i="49"/>
  <c r="L109" i="49" s="1"/>
  <c r="H108" i="25" s="1"/>
  <c r="K113" i="49"/>
  <c r="L113" i="49" s="1"/>
  <c r="H112" i="25" s="1"/>
  <c r="K117" i="49"/>
  <c r="L117" i="49" s="1"/>
  <c r="H116" i="25" s="1"/>
  <c r="I117" i="54" s="1"/>
  <c r="K121" i="49"/>
  <c r="L121" i="49" s="1"/>
  <c r="H120" i="25" s="1"/>
  <c r="K125" i="49"/>
  <c r="L125" i="49" s="1"/>
  <c r="H124" i="25" s="1"/>
  <c r="K7" i="49"/>
  <c r="L7" i="49" s="1"/>
  <c r="H6" i="25" s="1"/>
  <c r="K27" i="49"/>
  <c r="L27" i="49" s="1"/>
  <c r="H26" i="25" s="1"/>
  <c r="I27" i="54" s="1"/>
  <c r="K43" i="49"/>
  <c r="L43" i="49" s="1"/>
  <c r="H42" i="25" s="1"/>
  <c r="K63" i="49"/>
  <c r="L63" i="49" s="1"/>
  <c r="H62" i="25" s="1"/>
  <c r="K71" i="49"/>
  <c r="L71" i="49" s="1"/>
  <c r="H70" i="25" s="1"/>
  <c r="K78" i="49"/>
  <c r="L78" i="49" s="1"/>
  <c r="H77" i="25" s="1"/>
  <c r="I78" i="54" s="1"/>
  <c r="K82" i="49"/>
  <c r="L82" i="49" s="1"/>
  <c r="H81" i="25" s="1"/>
  <c r="I82" i="54" s="1"/>
  <c r="K86" i="49"/>
  <c r="L86" i="49" s="1"/>
  <c r="H85" i="25" s="1"/>
  <c r="K90" i="49"/>
  <c r="L90" i="49" s="1"/>
  <c r="H89" i="25" s="1"/>
  <c r="K94" i="49"/>
  <c r="L94" i="49" s="1"/>
  <c r="H93" i="25" s="1"/>
  <c r="I94" i="54" s="1"/>
  <c r="K98" i="49"/>
  <c r="L98" i="49" s="1"/>
  <c r="H97" i="25" s="1"/>
  <c r="I98" i="54" s="1"/>
  <c r="K102" i="49"/>
  <c r="L102" i="49" s="1"/>
  <c r="H101" i="25" s="1"/>
  <c r="K15" i="49"/>
  <c r="L15" i="49" s="1"/>
  <c r="H14" i="25" s="1"/>
  <c r="K31" i="49"/>
  <c r="L31" i="49" s="1"/>
  <c r="H30" i="25" s="1"/>
  <c r="K47" i="49"/>
  <c r="L47" i="49" s="1"/>
  <c r="H46" i="25" s="1"/>
  <c r="K60" i="49"/>
  <c r="L60" i="49" s="1"/>
  <c r="H59" i="25" s="1"/>
  <c r="K68" i="49"/>
  <c r="L68" i="49" s="1"/>
  <c r="H67" i="25" s="1"/>
  <c r="K83" i="49"/>
  <c r="L83" i="49" s="1"/>
  <c r="H82" i="25" s="1"/>
  <c r="I83" i="54" s="1"/>
  <c r="K91" i="49"/>
  <c r="L91" i="49" s="1"/>
  <c r="H90" i="25" s="1"/>
  <c r="I91" i="54" s="1"/>
  <c r="K99" i="49"/>
  <c r="L99" i="49" s="1"/>
  <c r="H98" i="25" s="1"/>
  <c r="K110" i="49"/>
  <c r="L110" i="49" s="1"/>
  <c r="H109" i="25" s="1"/>
  <c r="K111" i="49"/>
  <c r="L111" i="49" s="1"/>
  <c r="H110" i="25" s="1"/>
  <c r="K114" i="49"/>
  <c r="L114" i="49" s="1"/>
  <c r="H113" i="25" s="1"/>
  <c r="I114" i="54" s="1"/>
  <c r="K115" i="49"/>
  <c r="L115" i="49" s="1"/>
  <c r="H114" i="25" s="1"/>
  <c r="K118" i="49"/>
  <c r="L118" i="49" s="1"/>
  <c r="H117" i="25" s="1"/>
  <c r="K130" i="49"/>
  <c r="L130" i="49" s="1"/>
  <c r="H129" i="25" s="1"/>
  <c r="K134" i="49"/>
  <c r="L134" i="49" s="1"/>
  <c r="H133" i="25" s="1"/>
  <c r="K138" i="49"/>
  <c r="L138" i="49" s="1"/>
  <c r="H137" i="25" s="1"/>
  <c r="K142" i="49"/>
  <c r="L142" i="49" s="1"/>
  <c r="H141" i="25" s="1"/>
  <c r="K146" i="49"/>
  <c r="L146" i="49" s="1"/>
  <c r="H145" i="25" s="1"/>
  <c r="I146" i="54" s="1"/>
  <c r="K150" i="49"/>
  <c r="L150" i="49" s="1"/>
  <c r="H149" i="25" s="1"/>
  <c r="I150" i="54" s="1"/>
  <c r="K154" i="49"/>
  <c r="L154" i="49" s="1"/>
  <c r="H153" i="25" s="1"/>
  <c r="K158" i="49"/>
  <c r="L158" i="49" s="1"/>
  <c r="H157" i="25" s="1"/>
  <c r="K162" i="49"/>
  <c r="L162" i="49" s="1"/>
  <c r="H161" i="25" s="1"/>
  <c r="I162" i="54" s="1"/>
  <c r="K166" i="49"/>
  <c r="L166" i="49" s="1"/>
  <c r="H165" i="25" s="1"/>
  <c r="I166" i="54" s="1"/>
  <c r="K170" i="49"/>
  <c r="L170" i="49" s="1"/>
  <c r="H169" i="25" s="1"/>
  <c r="K174" i="49"/>
  <c r="L174" i="49" s="1"/>
  <c r="H173" i="25" s="1"/>
  <c r="K178" i="49"/>
  <c r="L178" i="49" s="1"/>
  <c r="H177" i="25" s="1"/>
  <c r="K182" i="49"/>
  <c r="L182" i="49" s="1"/>
  <c r="H181" i="25" s="1"/>
  <c r="I182" i="54" s="1"/>
  <c r="K186" i="49"/>
  <c r="L186" i="49" s="1"/>
  <c r="H185" i="25" s="1"/>
  <c r="K107" i="49"/>
  <c r="L107" i="49" s="1"/>
  <c r="H106" i="25" s="1"/>
  <c r="K127" i="49"/>
  <c r="L127" i="49" s="1"/>
  <c r="H126" i="25" s="1"/>
  <c r="I127" i="54" s="1"/>
  <c r="K131" i="49"/>
  <c r="L131" i="49" s="1"/>
  <c r="H130" i="25" s="1"/>
  <c r="I131" i="54" s="1"/>
  <c r="K135" i="49"/>
  <c r="L135" i="49" s="1"/>
  <c r="H134" i="25" s="1"/>
  <c r="K139" i="49"/>
  <c r="L139" i="49" s="1"/>
  <c r="H138" i="25" s="1"/>
  <c r="K143" i="49"/>
  <c r="L143" i="49" s="1"/>
  <c r="H142" i="25" s="1"/>
  <c r="I143" i="54" s="1"/>
  <c r="K147" i="49"/>
  <c r="L147" i="49" s="1"/>
  <c r="H146" i="25" s="1"/>
  <c r="K151" i="49"/>
  <c r="L151" i="49" s="1"/>
  <c r="H150" i="25" s="1"/>
  <c r="K155" i="49"/>
  <c r="L155" i="49" s="1"/>
  <c r="H154" i="25" s="1"/>
  <c r="K159" i="49"/>
  <c r="L159" i="49" s="1"/>
  <c r="H158" i="25" s="1"/>
  <c r="I159" i="54" s="1"/>
  <c r="K163" i="49"/>
  <c r="L163" i="49" s="1"/>
  <c r="H162" i="25" s="1"/>
  <c r="I163" i="54" s="1"/>
  <c r="K167" i="49"/>
  <c r="L167" i="49" s="1"/>
  <c r="H166" i="25" s="1"/>
  <c r="K171" i="49"/>
  <c r="L171" i="49" s="1"/>
  <c r="H170" i="25" s="1"/>
  <c r="K175" i="49"/>
  <c r="L175" i="49" s="1"/>
  <c r="H174" i="25" s="1"/>
  <c r="I175" i="54" s="1"/>
  <c r="K179" i="49"/>
  <c r="L179" i="49" s="1"/>
  <c r="H178" i="25" s="1"/>
  <c r="K183" i="49"/>
  <c r="L183" i="49" s="1"/>
  <c r="H182" i="25" s="1"/>
  <c r="K187" i="49"/>
  <c r="L187" i="49" s="1"/>
  <c r="H186" i="25" s="1"/>
  <c r="K79" i="49"/>
  <c r="L79" i="49" s="1"/>
  <c r="H78" i="25" s="1"/>
  <c r="I79" i="54" s="1"/>
  <c r="K87" i="49"/>
  <c r="L87" i="49" s="1"/>
  <c r="H86" i="25" s="1"/>
  <c r="I87" i="54" s="1"/>
  <c r="K95" i="49"/>
  <c r="L95" i="49" s="1"/>
  <c r="H94" i="25" s="1"/>
  <c r="K103" i="49"/>
  <c r="L103" i="49" s="1"/>
  <c r="H102" i="25" s="1"/>
  <c r="K106" i="49"/>
  <c r="L106" i="49" s="1"/>
  <c r="H105" i="25" s="1"/>
  <c r="I106" i="54" s="1"/>
  <c r="K126" i="49"/>
  <c r="L126" i="49" s="1"/>
  <c r="H125" i="25" s="1"/>
  <c r="I126" i="54" s="1"/>
  <c r="K128" i="49"/>
  <c r="L128" i="49" s="1"/>
  <c r="H127" i="25" s="1"/>
  <c r="K132" i="49"/>
  <c r="L132" i="49" s="1"/>
  <c r="H131" i="25" s="1"/>
  <c r="K136" i="49"/>
  <c r="L136" i="49" s="1"/>
  <c r="H135" i="25" s="1"/>
  <c r="I136" i="54" s="1"/>
  <c r="K140" i="49"/>
  <c r="L140" i="49" s="1"/>
  <c r="H139" i="25" s="1"/>
  <c r="I140" i="54" s="1"/>
  <c r="K144" i="49"/>
  <c r="L144" i="49" s="1"/>
  <c r="H143" i="25" s="1"/>
  <c r="K148" i="49"/>
  <c r="L148" i="49" s="1"/>
  <c r="H147" i="25" s="1"/>
  <c r="K152" i="49"/>
  <c r="L152" i="49" s="1"/>
  <c r="H151" i="25" s="1"/>
  <c r="I152" i="54" s="1"/>
  <c r="K156" i="49"/>
  <c r="L156" i="49" s="1"/>
  <c r="H155" i="25" s="1"/>
  <c r="K160" i="49"/>
  <c r="L160" i="49" s="1"/>
  <c r="H159" i="25" s="1"/>
  <c r="K164" i="49"/>
  <c r="L164" i="49" s="1"/>
  <c r="H163" i="25" s="1"/>
  <c r="K168" i="49"/>
  <c r="L168" i="49" s="1"/>
  <c r="H167" i="25" s="1"/>
  <c r="I168" i="54" s="1"/>
  <c r="K172" i="49"/>
  <c r="L172" i="49" s="1"/>
  <c r="H171" i="25" s="1"/>
  <c r="I172" i="54" s="1"/>
  <c r="K176" i="49"/>
  <c r="L176" i="49" s="1"/>
  <c r="H175" i="25" s="1"/>
  <c r="K119" i="49"/>
  <c r="L119" i="49" s="1"/>
  <c r="H118" i="25" s="1"/>
  <c r="K122" i="49"/>
  <c r="L122" i="49" s="1"/>
  <c r="H121" i="25" s="1"/>
  <c r="I122" i="54" s="1"/>
  <c r="K123" i="49"/>
  <c r="L123" i="49" s="1"/>
  <c r="H122" i="25" s="1"/>
  <c r="I123" i="54" s="1"/>
  <c r="K129" i="49"/>
  <c r="L129" i="49" s="1"/>
  <c r="H128" i="25" s="1"/>
  <c r="K133" i="49"/>
  <c r="L133" i="49" s="1"/>
  <c r="H132" i="25" s="1"/>
  <c r="K137" i="49"/>
  <c r="L137" i="49" s="1"/>
  <c r="H136" i="25" s="1"/>
  <c r="I137" i="54" s="1"/>
  <c r="K141" i="49"/>
  <c r="L141" i="49" s="1"/>
  <c r="H140" i="25" s="1"/>
  <c r="K145" i="49"/>
  <c r="L145" i="49" s="1"/>
  <c r="H144" i="25" s="1"/>
  <c r="K149" i="49"/>
  <c r="L149" i="49" s="1"/>
  <c r="H148" i="25" s="1"/>
  <c r="K153" i="49"/>
  <c r="L153" i="49" s="1"/>
  <c r="H152" i="25" s="1"/>
  <c r="K157" i="49"/>
  <c r="L157" i="49" s="1"/>
  <c r="H156" i="25" s="1"/>
  <c r="I157" i="54" s="1"/>
  <c r="K161" i="49"/>
  <c r="L161" i="49" s="1"/>
  <c r="H160" i="25" s="1"/>
  <c r="K165" i="49"/>
  <c r="L165" i="49" s="1"/>
  <c r="H164" i="25" s="1"/>
  <c r="K169" i="49"/>
  <c r="L169" i="49" s="1"/>
  <c r="H168" i="25" s="1"/>
  <c r="I169" i="54" s="1"/>
  <c r="K173" i="49"/>
  <c r="L173" i="49" s="1"/>
  <c r="H172" i="25" s="1"/>
  <c r="I173" i="54" s="1"/>
  <c r="K177" i="49"/>
  <c r="L177" i="49" s="1"/>
  <c r="H176" i="25" s="1"/>
  <c r="K181" i="49"/>
  <c r="L181" i="49" s="1"/>
  <c r="H180" i="25" s="1"/>
  <c r="K191" i="49"/>
  <c r="L191" i="49" s="1"/>
  <c r="H190" i="25" s="1"/>
  <c r="I191" i="54" s="1"/>
  <c r="K195" i="49"/>
  <c r="L195" i="49" s="1"/>
  <c r="H194" i="25" s="1"/>
  <c r="I195" i="54" s="1"/>
  <c r="K199" i="49"/>
  <c r="L199" i="49" s="1"/>
  <c r="H198" i="25" s="1"/>
  <c r="K203" i="49"/>
  <c r="L203" i="49" s="1"/>
  <c r="H202" i="25" s="1"/>
  <c r="K207" i="49"/>
  <c r="L207" i="49" s="1"/>
  <c r="H206" i="25" s="1"/>
  <c r="I207" i="54" s="1"/>
  <c r="K211" i="49"/>
  <c r="L211" i="49" s="1"/>
  <c r="H210" i="25" s="1"/>
  <c r="K215" i="49"/>
  <c r="L215" i="49" s="1"/>
  <c r="H214" i="25" s="1"/>
  <c r="K219" i="49"/>
  <c r="L219" i="49" s="1"/>
  <c r="H218" i="25" s="1"/>
  <c r="K223" i="49"/>
  <c r="L223" i="49" s="1"/>
  <c r="H222" i="25" s="1"/>
  <c r="I223" i="54" s="1"/>
  <c r="K227" i="49"/>
  <c r="L227" i="49" s="1"/>
  <c r="H226" i="25" s="1"/>
  <c r="I227" i="54" s="1"/>
  <c r="K231" i="49"/>
  <c r="L231" i="49" s="1"/>
  <c r="H230" i="25" s="1"/>
  <c r="K235" i="49"/>
  <c r="L235" i="49" s="1"/>
  <c r="H234" i="25" s="1"/>
  <c r="K239" i="49"/>
  <c r="L239" i="49" s="1"/>
  <c r="H238" i="25" s="1"/>
  <c r="I239" i="54" s="1"/>
  <c r="K243" i="49"/>
  <c r="L243" i="49" s="1"/>
  <c r="H242" i="25" s="1"/>
  <c r="K192" i="49"/>
  <c r="L192" i="49" s="1"/>
  <c r="H191" i="25" s="1"/>
  <c r="K196" i="49"/>
  <c r="L196" i="49" s="1"/>
  <c r="H195" i="25" s="1"/>
  <c r="K200" i="49"/>
  <c r="L200" i="49" s="1"/>
  <c r="H199" i="25" s="1"/>
  <c r="I200" i="54" s="1"/>
  <c r="K204" i="49"/>
  <c r="L204" i="49" s="1"/>
  <c r="H203" i="25" s="1"/>
  <c r="K208" i="49"/>
  <c r="L208" i="49" s="1"/>
  <c r="H207" i="25" s="1"/>
  <c r="K212" i="49"/>
  <c r="L212" i="49" s="1"/>
  <c r="H211" i="25" s="1"/>
  <c r="K216" i="49"/>
  <c r="L216" i="49" s="1"/>
  <c r="H215" i="25" s="1"/>
  <c r="I216" i="54" s="1"/>
  <c r="K220" i="49"/>
  <c r="L220" i="49" s="1"/>
  <c r="H219" i="25" s="1"/>
  <c r="I220" i="54" s="1"/>
  <c r="K224" i="49"/>
  <c r="L224" i="49" s="1"/>
  <c r="H223" i="25" s="1"/>
  <c r="K228" i="49"/>
  <c r="L228" i="49" s="1"/>
  <c r="H227" i="25" s="1"/>
  <c r="K232" i="49"/>
  <c r="L232" i="49" s="1"/>
  <c r="H231" i="25" s="1"/>
  <c r="I232" i="54" s="1"/>
  <c r="K236" i="49"/>
  <c r="L236" i="49" s="1"/>
  <c r="H235" i="25" s="1"/>
  <c r="I236" i="54" s="1"/>
  <c r="K240" i="49"/>
  <c r="L240" i="49" s="1"/>
  <c r="H239" i="25" s="1"/>
  <c r="K244" i="49"/>
  <c r="L244" i="49" s="1"/>
  <c r="H243" i="25" s="1"/>
  <c r="K248" i="49"/>
  <c r="L248" i="49" s="1"/>
  <c r="H247" i="25" s="1"/>
  <c r="I248" i="54" s="1"/>
  <c r="K252" i="49"/>
  <c r="L252" i="49" s="1"/>
  <c r="H251" i="25" s="1"/>
  <c r="I252" i="54" s="1"/>
  <c r="K185" i="49"/>
  <c r="L185" i="49" s="1"/>
  <c r="H184" i="25" s="1"/>
  <c r="K188" i="49"/>
  <c r="L188" i="49" s="1"/>
  <c r="H187" i="25" s="1"/>
  <c r="K189" i="49"/>
  <c r="L189" i="49" s="1"/>
  <c r="H188" i="25" s="1"/>
  <c r="K193" i="49"/>
  <c r="L193" i="49" s="1"/>
  <c r="H192" i="25" s="1"/>
  <c r="I193" i="54" s="1"/>
  <c r="K197" i="49"/>
  <c r="L197" i="49" s="1"/>
  <c r="H196" i="25" s="1"/>
  <c r="K201" i="49"/>
  <c r="L201" i="49" s="1"/>
  <c r="H200" i="25" s="1"/>
  <c r="K205" i="49"/>
  <c r="L205" i="49" s="1"/>
  <c r="H204" i="25" s="1"/>
  <c r="I205" i="54" s="1"/>
  <c r="K209" i="49"/>
  <c r="L209" i="49" s="1"/>
  <c r="H208" i="25" s="1"/>
  <c r="I209" i="54" s="1"/>
  <c r="K213" i="49"/>
  <c r="L213" i="49" s="1"/>
  <c r="H212" i="25" s="1"/>
  <c r="K217" i="49"/>
  <c r="L217" i="49" s="1"/>
  <c r="H216" i="25" s="1"/>
  <c r="K221" i="49"/>
  <c r="L221" i="49" s="1"/>
  <c r="H220" i="25" s="1"/>
  <c r="I221" i="54" s="1"/>
  <c r="K225" i="49"/>
  <c r="L225" i="49" s="1"/>
  <c r="H224" i="25" s="1"/>
  <c r="K229" i="49"/>
  <c r="L229" i="49" s="1"/>
  <c r="H228" i="25" s="1"/>
  <c r="I229" i="54" s="1"/>
  <c r="K233" i="49"/>
  <c r="L233" i="49" s="1"/>
  <c r="H232" i="25" s="1"/>
  <c r="K237" i="49"/>
  <c r="L237" i="49" s="1"/>
  <c r="H236" i="25" s="1"/>
  <c r="I237" i="54" s="1"/>
  <c r="K241" i="49"/>
  <c r="L241" i="49" s="1"/>
  <c r="H240" i="25" s="1"/>
  <c r="I241" i="54" s="1"/>
  <c r="K245" i="49"/>
  <c r="L245" i="49" s="1"/>
  <c r="H244" i="25" s="1"/>
  <c r="K249" i="49"/>
  <c r="L249" i="49" s="1"/>
  <c r="H248" i="25" s="1"/>
  <c r="K253" i="49"/>
  <c r="L253" i="49" s="1"/>
  <c r="H252" i="25" s="1"/>
  <c r="I253" i="54" s="1"/>
  <c r="K194" i="49"/>
  <c r="L194" i="49" s="1"/>
  <c r="H193" i="25" s="1"/>
  <c r="K206" i="49"/>
  <c r="L206" i="49" s="1"/>
  <c r="H205" i="25" s="1"/>
  <c r="K222" i="49"/>
  <c r="L222" i="49" s="1"/>
  <c r="H221" i="25" s="1"/>
  <c r="K238" i="49"/>
  <c r="L238" i="49" s="1"/>
  <c r="H237" i="25" s="1"/>
  <c r="K251" i="49"/>
  <c r="L251" i="49" s="1"/>
  <c r="H250" i="25" s="1"/>
  <c r="I251" i="54" s="1"/>
  <c r="K254" i="49"/>
  <c r="L254" i="49" s="1"/>
  <c r="H253" i="25" s="1"/>
  <c r="K258" i="49"/>
  <c r="L258" i="49" s="1"/>
  <c r="H257" i="25" s="1"/>
  <c r="K262" i="49"/>
  <c r="L262" i="49" s="1"/>
  <c r="H261" i="25" s="1"/>
  <c r="I262" i="54" s="1"/>
  <c r="K266" i="49"/>
  <c r="L266" i="49" s="1"/>
  <c r="H265" i="25" s="1"/>
  <c r="I266" i="54" s="1"/>
  <c r="K270" i="49"/>
  <c r="L270" i="49" s="1"/>
  <c r="H269" i="25" s="1"/>
  <c r="K274" i="49"/>
  <c r="L274" i="49" s="1"/>
  <c r="H273" i="25" s="1"/>
  <c r="K278" i="49"/>
  <c r="L278" i="49" s="1"/>
  <c r="H277" i="25" s="1"/>
  <c r="I278" i="54" s="1"/>
  <c r="K282" i="49"/>
  <c r="L282" i="49" s="1"/>
  <c r="H281" i="25" s="1"/>
  <c r="I282" i="54" s="1"/>
  <c r="K286" i="49"/>
  <c r="L286" i="49" s="1"/>
  <c r="H285" i="25" s="1"/>
  <c r="K290" i="49"/>
  <c r="L290" i="49" s="1"/>
  <c r="H289" i="25" s="1"/>
  <c r="K294" i="49"/>
  <c r="L294" i="49" s="1"/>
  <c r="H293" i="25" s="1"/>
  <c r="K298" i="49"/>
  <c r="L298" i="49" s="1"/>
  <c r="H297" i="25" s="1"/>
  <c r="K302" i="49"/>
  <c r="L302" i="49" s="1"/>
  <c r="H301" i="25" s="1"/>
  <c r="K180" i="49"/>
  <c r="L180" i="49" s="1"/>
  <c r="H179" i="25" s="1"/>
  <c r="K210" i="49"/>
  <c r="L210" i="49" s="1"/>
  <c r="H209" i="25" s="1"/>
  <c r="K226" i="49"/>
  <c r="L226" i="49" s="1"/>
  <c r="H225" i="25" s="1"/>
  <c r="I226" i="54" s="1"/>
  <c r="K242" i="49"/>
  <c r="L242" i="49" s="1"/>
  <c r="H241" i="25" s="1"/>
  <c r="K250" i="49"/>
  <c r="L250" i="49" s="1"/>
  <c r="H249" i="25" s="1"/>
  <c r="K255" i="49"/>
  <c r="L255" i="49" s="1"/>
  <c r="H254" i="25" s="1"/>
  <c r="I255" i="54" s="1"/>
  <c r="K259" i="49"/>
  <c r="L259" i="49" s="1"/>
  <c r="H258" i="25" s="1"/>
  <c r="I259" i="54" s="1"/>
  <c r="K263" i="49"/>
  <c r="L263" i="49" s="1"/>
  <c r="H262" i="25" s="1"/>
  <c r="K267" i="49"/>
  <c r="L267" i="49" s="1"/>
  <c r="H266" i="25" s="1"/>
  <c r="K271" i="49"/>
  <c r="L271" i="49" s="1"/>
  <c r="H270" i="25" s="1"/>
  <c r="I271" i="54" s="1"/>
  <c r="K275" i="49"/>
  <c r="L275" i="49" s="1"/>
  <c r="H274" i="25" s="1"/>
  <c r="I275" i="54" s="1"/>
  <c r="K279" i="49"/>
  <c r="L279" i="49" s="1"/>
  <c r="H278" i="25" s="1"/>
  <c r="K283" i="49"/>
  <c r="L283" i="49" s="1"/>
  <c r="H282" i="25" s="1"/>
  <c r="K287" i="49"/>
  <c r="L287" i="49" s="1"/>
  <c r="H286" i="25" s="1"/>
  <c r="K291" i="49"/>
  <c r="L291" i="49" s="1"/>
  <c r="H290" i="25" s="1"/>
  <c r="I291" i="54" s="1"/>
  <c r="K295" i="49"/>
  <c r="L295" i="49" s="1"/>
  <c r="H294" i="25" s="1"/>
  <c r="K299" i="49"/>
  <c r="L299" i="49" s="1"/>
  <c r="H298" i="25" s="1"/>
  <c r="K303" i="49"/>
  <c r="L303" i="49" s="1"/>
  <c r="H302" i="25" s="1"/>
  <c r="I303" i="54" s="1"/>
  <c r="K184" i="49"/>
  <c r="L184" i="49" s="1"/>
  <c r="H183" i="25" s="1"/>
  <c r="K190" i="49"/>
  <c r="L190" i="49" s="1"/>
  <c r="H189" i="25" s="1"/>
  <c r="K198" i="49"/>
  <c r="L198" i="49" s="1"/>
  <c r="H197" i="25" s="1"/>
  <c r="K214" i="49"/>
  <c r="L214" i="49" s="1"/>
  <c r="H213" i="25" s="1"/>
  <c r="I214" i="54" s="1"/>
  <c r="K230" i="49"/>
  <c r="L230" i="49" s="1"/>
  <c r="H229" i="25" s="1"/>
  <c r="I230" i="54" s="1"/>
  <c r="K247" i="49"/>
  <c r="L247" i="49" s="1"/>
  <c r="H246" i="25" s="1"/>
  <c r="K256" i="49"/>
  <c r="L256" i="49" s="1"/>
  <c r="H255" i="25" s="1"/>
  <c r="K260" i="49"/>
  <c r="L260" i="49" s="1"/>
  <c r="H259" i="25" s="1"/>
  <c r="I260" i="54" s="1"/>
  <c r="K264" i="49"/>
  <c r="L264" i="49" s="1"/>
  <c r="H263" i="25" s="1"/>
  <c r="I264" i="54" s="1"/>
  <c r="K268" i="49"/>
  <c r="L268" i="49" s="1"/>
  <c r="H267" i="25" s="1"/>
  <c r="K272" i="49"/>
  <c r="L272" i="49" s="1"/>
  <c r="H271" i="25" s="1"/>
  <c r="K276" i="49"/>
  <c r="L276" i="49" s="1"/>
  <c r="H275" i="25" s="1"/>
  <c r="I276" i="54" s="1"/>
  <c r="K280" i="49"/>
  <c r="L280" i="49" s="1"/>
  <c r="H279" i="25" s="1"/>
  <c r="I280" i="54" s="1"/>
  <c r="K284" i="49"/>
  <c r="L284" i="49" s="1"/>
  <c r="H283" i="25" s="1"/>
  <c r="K288" i="49"/>
  <c r="L288" i="49" s="1"/>
  <c r="H287" i="25" s="1"/>
  <c r="K292" i="49"/>
  <c r="L292" i="49" s="1"/>
  <c r="H291" i="25" s="1"/>
  <c r="I292" i="54" s="1"/>
  <c r="K296" i="49"/>
  <c r="L296" i="49" s="1"/>
  <c r="H295" i="25" s="1"/>
  <c r="I296" i="54" s="1"/>
  <c r="K300" i="49"/>
  <c r="L300" i="49" s="1"/>
  <c r="H299" i="25" s="1"/>
  <c r="K304" i="49"/>
  <c r="L304" i="49" s="1"/>
  <c r="H303" i="25" s="1"/>
  <c r="K202" i="49"/>
  <c r="L202" i="49" s="1"/>
  <c r="H201" i="25" s="1"/>
  <c r="I202" i="54" s="1"/>
  <c r="K218" i="49"/>
  <c r="L218" i="49" s="1"/>
  <c r="H217" i="25" s="1"/>
  <c r="I218" i="54" s="1"/>
  <c r="K234" i="49"/>
  <c r="L234" i="49" s="1"/>
  <c r="H233" i="25" s="1"/>
  <c r="K246" i="49"/>
  <c r="L246" i="49" s="1"/>
  <c r="H245" i="25" s="1"/>
  <c r="K257" i="49"/>
  <c r="L257" i="49" s="1"/>
  <c r="H256" i="25" s="1"/>
  <c r="I257" i="54" s="1"/>
  <c r="K261" i="49"/>
  <c r="L261" i="49" s="1"/>
  <c r="H260" i="25" s="1"/>
  <c r="I261" i="54" s="1"/>
  <c r="K265" i="49"/>
  <c r="L265" i="49" s="1"/>
  <c r="H264" i="25" s="1"/>
  <c r="K269" i="49"/>
  <c r="L269" i="49" s="1"/>
  <c r="H268" i="25" s="1"/>
  <c r="K273" i="49"/>
  <c r="L273" i="49" s="1"/>
  <c r="H272" i="25" s="1"/>
  <c r="I273" i="54" s="1"/>
  <c r="K277" i="49"/>
  <c r="L277" i="49" s="1"/>
  <c r="H276" i="25" s="1"/>
  <c r="I277" i="54" s="1"/>
  <c r="K281" i="49"/>
  <c r="L281" i="49" s="1"/>
  <c r="H280" i="25" s="1"/>
  <c r="K285" i="49"/>
  <c r="L285" i="49" s="1"/>
  <c r="H284" i="25" s="1"/>
  <c r="K289" i="49"/>
  <c r="L289" i="49" s="1"/>
  <c r="H288" i="25" s="1"/>
  <c r="I289" i="54" s="1"/>
  <c r="K293" i="49"/>
  <c r="L293" i="49" s="1"/>
  <c r="H292" i="25" s="1"/>
  <c r="K297" i="49"/>
  <c r="L297" i="49" s="1"/>
  <c r="H296" i="25" s="1"/>
  <c r="I297" i="54" s="1"/>
  <c r="K301" i="49"/>
  <c r="L301" i="49" s="1"/>
  <c r="H300" i="25" s="1"/>
  <c r="K305" i="49"/>
  <c r="L305" i="49" s="1"/>
  <c r="H304" i="25" s="1"/>
  <c r="I305" i="54" s="1"/>
  <c r="I9" i="54"/>
  <c r="I25" i="54"/>
  <c r="I41" i="54"/>
  <c r="I57" i="54"/>
  <c r="I73" i="54"/>
  <c r="I63" i="54"/>
  <c r="I31" i="54"/>
  <c r="I77" i="54"/>
  <c r="I93" i="54"/>
  <c r="I101" i="54"/>
  <c r="I109" i="54"/>
  <c r="I125" i="54"/>
  <c r="I19" i="54"/>
  <c r="I35" i="54"/>
  <c r="I67" i="54"/>
  <c r="I75" i="54"/>
  <c r="I139" i="54"/>
  <c r="I147" i="54"/>
  <c r="I155" i="54"/>
  <c r="I171" i="54"/>
  <c r="I11" i="54"/>
  <c r="I107" i="54"/>
  <c r="I153" i="54"/>
  <c r="I179" i="54"/>
  <c r="I187" i="54"/>
  <c r="I203" i="54"/>
  <c r="I211" i="54"/>
  <c r="I219" i="54"/>
  <c r="I235" i="54"/>
  <c r="I243" i="54"/>
  <c r="I267" i="54"/>
  <c r="I95" i="54"/>
  <c r="I129" i="54"/>
  <c r="I145" i="54"/>
  <c r="I177" i="54"/>
  <c r="I201" i="54"/>
  <c r="I233" i="54"/>
  <c r="I265" i="54"/>
  <c r="I285" i="54"/>
  <c r="I181" i="54"/>
  <c r="I287" i="54"/>
  <c r="I225" i="54"/>
  <c r="I197" i="54"/>
  <c r="I299" i="54"/>
  <c r="F9" i="33"/>
  <c r="F17" i="33"/>
  <c r="F25" i="33"/>
  <c r="F33" i="33"/>
  <c r="F41" i="33"/>
  <c r="F49" i="33"/>
  <c r="F19" i="33"/>
  <c r="F35" i="33"/>
  <c r="F52" i="33"/>
  <c r="F27" i="33"/>
  <c r="F43" i="33"/>
  <c r="F77" i="33"/>
  <c r="F65" i="33"/>
  <c r="F81" i="33"/>
  <c r="F84" i="33"/>
  <c r="F93" i="33"/>
  <c r="F101" i="33"/>
  <c r="F109" i="33"/>
  <c r="F117" i="33"/>
  <c r="F89" i="33"/>
  <c r="F97" i="33"/>
  <c r="F105" i="33"/>
  <c r="F135" i="33"/>
  <c r="F175" i="33"/>
  <c r="F194" i="33"/>
  <c r="F254" i="33"/>
  <c r="F258" i="33"/>
  <c r="F270" i="33"/>
  <c r="F274" i="33"/>
  <c r="F290" i="33"/>
  <c r="F127" i="33"/>
  <c r="F143" i="33"/>
  <c r="F162" i="33"/>
  <c r="F191" i="33"/>
  <c r="F197" i="33"/>
  <c r="F205" i="33"/>
  <c r="F215" i="33"/>
  <c r="F178" i="33"/>
  <c r="F159" i="33"/>
  <c r="F188" i="33"/>
  <c r="F262" i="33"/>
  <c r="F266" i="33"/>
  <c r="F278" i="33"/>
  <c r="F282" i="33"/>
  <c r="F286" i="33"/>
  <c r="F294" i="33"/>
  <c r="F298" i="33"/>
  <c r="F302" i="33"/>
  <c r="F299" i="33"/>
  <c r="F224" i="33"/>
  <c r="F222" i="33"/>
  <c r="F250" i="33"/>
  <c r="F219" i="33"/>
  <c r="F259" i="33"/>
  <c r="F225" i="33"/>
  <c r="F221" i="33"/>
  <c r="F263" i="33"/>
  <c r="F249" i="33"/>
  <c r="F246" i="33"/>
  <c r="F243" i="33"/>
  <c r="F232" i="33"/>
  <c r="F213" i="33"/>
  <c r="F241" i="33"/>
  <c r="F288" i="33"/>
  <c r="F245" i="33"/>
  <c r="F214" i="33"/>
  <c r="F200" i="33"/>
  <c r="F181" i="33"/>
  <c r="F183" i="33"/>
  <c r="F170" i="33"/>
  <c r="F160" i="33"/>
  <c r="F164" i="33"/>
  <c r="F121" i="33"/>
  <c r="F96" i="33"/>
  <c r="F94" i="33"/>
  <c r="F138" i="33"/>
  <c r="F122" i="33"/>
  <c r="F51" i="33"/>
  <c r="F98" i="33"/>
  <c r="F54" i="33"/>
  <c r="F16" i="33"/>
  <c r="F70" i="33"/>
  <c r="F58" i="33"/>
  <c r="F22" i="33"/>
  <c r="F82" i="33"/>
  <c r="F63" i="33"/>
  <c r="F275" i="33"/>
  <c r="F242" i="33"/>
  <c r="F235" i="33"/>
  <c r="F293" i="33"/>
  <c r="F292" i="33"/>
  <c r="F285" i="33"/>
  <c r="F284" i="33"/>
  <c r="F277" i="33"/>
  <c r="F260" i="33"/>
  <c r="F237" i="33"/>
  <c r="F231" i="33"/>
  <c r="F218" i="33"/>
  <c r="F172" i="33"/>
  <c r="F251" i="33"/>
  <c r="F303" i="33"/>
  <c r="F287" i="33"/>
  <c r="F255" i="33"/>
  <c r="F230" i="33"/>
  <c r="F156" i="33"/>
  <c r="F281" i="33"/>
  <c r="F280" i="33"/>
  <c r="F273" i="33"/>
  <c r="F257" i="33"/>
  <c r="F256" i="33"/>
  <c r="F240" i="33"/>
  <c r="F229" i="33"/>
  <c r="F223" i="33"/>
  <c r="F192" i="33"/>
  <c r="F168" i="33"/>
  <c r="F155" i="33"/>
  <c r="F186" i="33"/>
  <c r="F176" i="33"/>
  <c r="F107" i="33"/>
  <c r="F153" i="33"/>
  <c r="F211" i="33"/>
  <c r="F203" i="33"/>
  <c r="F187" i="33"/>
  <c r="F185" i="33"/>
  <c r="F157" i="33"/>
  <c r="F142" i="33"/>
  <c r="F202" i="33"/>
  <c r="F80" i="33"/>
  <c r="F130" i="33"/>
  <c r="F141" i="33"/>
  <c r="F118" i="33"/>
  <c r="F147" i="33"/>
  <c r="F64" i="33"/>
  <c r="F62" i="33"/>
  <c r="F90" i="33"/>
  <c r="F108" i="33"/>
  <c r="F92" i="33"/>
  <c r="F71" i="33"/>
  <c r="F72" i="33"/>
  <c r="F55" i="33"/>
  <c r="F50" i="33"/>
  <c r="F20" i="33"/>
  <c r="F30" i="33"/>
  <c r="F28" i="33"/>
  <c r="F26" i="33"/>
  <c r="F268" i="33"/>
  <c r="F261" i="33"/>
  <c r="F220" i="33"/>
  <c r="F283" i="33"/>
  <c r="F297" i="33"/>
  <c r="F239" i="33"/>
  <c r="F204" i="33"/>
  <c r="F177" i="33"/>
  <c r="F110" i="33"/>
  <c r="F206" i="33"/>
  <c r="F180" i="33"/>
  <c r="F163" i="33"/>
  <c r="F152" i="33"/>
  <c r="F151" i="33"/>
  <c r="F113" i="33"/>
  <c r="F217" i="33"/>
  <c r="F208" i="33"/>
  <c r="F169" i="33"/>
  <c r="F167" i="33"/>
  <c r="F154" i="33"/>
  <c r="F99" i="33"/>
  <c r="F128" i="33"/>
  <c r="F61" i="33"/>
  <c r="F106" i="33"/>
  <c r="F44" i="33"/>
  <c r="F60" i="33"/>
  <c r="F48" i="33"/>
  <c r="F15" i="33"/>
  <c r="F39" i="33"/>
  <c r="F23" i="33"/>
  <c r="F12" i="33"/>
  <c r="F234" i="33"/>
  <c r="F271" i="33"/>
  <c r="F233" i="33"/>
  <c r="F227" i="33"/>
  <c r="F272" i="33"/>
  <c r="F216" i="33"/>
  <c r="F165" i="33"/>
  <c r="F124" i="33"/>
  <c r="F184" i="33"/>
  <c r="F115" i="33"/>
  <c r="F114" i="33"/>
  <c r="F132" i="33"/>
  <c r="F69" i="33"/>
  <c r="F59" i="33"/>
  <c r="F76" i="33"/>
  <c r="F75" i="33"/>
  <c r="F42" i="33"/>
  <c r="F301" i="33"/>
  <c r="F238" i="33"/>
  <c r="F305" i="33"/>
  <c r="F289" i="33"/>
  <c r="F265" i="33"/>
  <c r="F212" i="33"/>
  <c r="F126" i="33"/>
  <c r="F134" i="33"/>
  <c r="F123" i="33"/>
  <c r="F57" i="33"/>
  <c r="F38" i="33"/>
  <c r="F46" i="33"/>
  <c r="F18" i="33"/>
  <c r="F269" i="33"/>
  <c r="F252" i="33"/>
  <c r="F247" i="33"/>
  <c r="F236" i="33"/>
  <c r="F279" i="33"/>
  <c r="F264" i="33"/>
  <c r="F228" i="33"/>
  <c r="F226" i="33"/>
  <c r="F91" i="33"/>
  <c r="F189" i="33"/>
  <c r="F196" i="33"/>
  <c r="F198" i="33"/>
  <c r="F125" i="33"/>
  <c r="F104" i="33"/>
  <c r="F74" i="33"/>
  <c r="F148" i="33"/>
  <c r="F116" i="33"/>
  <c r="F102" i="33"/>
  <c r="F131" i="33"/>
  <c r="F32" i="33"/>
  <c r="F85" i="33"/>
  <c r="F53" i="33"/>
  <c r="F66" i="33"/>
  <c r="F68" i="33"/>
  <c r="F36" i="33"/>
  <c r="F10" i="33"/>
  <c r="F40" i="33"/>
  <c r="F24" i="33"/>
  <c r="F14" i="33"/>
  <c r="F8" i="33"/>
  <c r="F267" i="33"/>
  <c r="F276" i="33"/>
  <c r="F201" i="33"/>
  <c r="F295" i="33"/>
  <c r="F244" i="33"/>
  <c r="F129" i="33"/>
  <c r="F179" i="33"/>
  <c r="F133" i="33"/>
  <c r="F171" i="33"/>
  <c r="F120" i="33"/>
  <c r="F146" i="33"/>
  <c r="F139" i="33"/>
  <c r="F100" i="33"/>
  <c r="F253" i="33"/>
  <c r="F248" i="33"/>
  <c r="F291" i="33"/>
  <c r="F195" i="33"/>
  <c r="F210" i="33"/>
  <c r="F173" i="33"/>
  <c r="F140" i="33"/>
  <c r="F149" i="33"/>
  <c r="F209" i="33"/>
  <c r="F136" i="33"/>
  <c r="F88" i="33"/>
  <c r="F144" i="33"/>
  <c r="F112" i="33"/>
  <c r="F150" i="33"/>
  <c r="F73" i="33"/>
  <c r="F78" i="33"/>
  <c r="F31" i="33"/>
  <c r="F34" i="33"/>
  <c r="F45" i="33"/>
  <c r="F161" i="33"/>
  <c r="F56" i="33"/>
  <c r="F166" i="33"/>
  <c r="F86" i="33"/>
  <c r="F11" i="33"/>
  <c r="F158" i="33"/>
  <c r="F190" i="33"/>
  <c r="F21" i="33"/>
  <c r="F111" i="33"/>
  <c r="F29" i="33"/>
  <c r="F300" i="33"/>
  <c r="F174" i="33"/>
  <c r="F87" i="33"/>
  <c r="F199" i="33"/>
  <c r="F83" i="33"/>
  <c r="F7" i="33"/>
  <c r="F137" i="33"/>
  <c r="F37" i="33"/>
  <c r="F103" i="33"/>
  <c r="F145" i="33"/>
  <c r="F79" i="33"/>
  <c r="F95" i="33"/>
  <c r="F296" i="33"/>
  <c r="F119" i="33"/>
  <c r="F193" i="33"/>
  <c r="F47" i="33"/>
  <c r="F13" i="33"/>
  <c r="F304" i="33"/>
  <c r="F67" i="33"/>
  <c r="F182" i="33"/>
  <c r="F207" i="33"/>
  <c r="I7" i="54"/>
  <c r="I8" i="54"/>
  <c r="I12" i="54"/>
  <c r="I13" i="54"/>
  <c r="I15" i="54"/>
  <c r="I18" i="54"/>
  <c r="I21" i="54"/>
  <c r="I22" i="54"/>
  <c r="I24" i="54"/>
  <c r="I28" i="54"/>
  <c r="I29" i="54"/>
  <c r="I34" i="54"/>
  <c r="I37" i="54"/>
  <c r="I38" i="54"/>
  <c r="I39" i="54"/>
  <c r="I40" i="54"/>
  <c r="I43" i="54"/>
  <c r="I44" i="54"/>
  <c r="I45" i="54"/>
  <c r="I47" i="54"/>
  <c r="I50" i="54"/>
  <c r="I53" i="54"/>
  <c r="I54" i="54"/>
  <c r="I55" i="54"/>
  <c r="I56" i="54"/>
  <c r="I60" i="54"/>
  <c r="I61" i="54"/>
  <c r="I66" i="54"/>
  <c r="I68" i="54"/>
  <c r="I69" i="54"/>
  <c r="I70" i="54"/>
  <c r="I71" i="54"/>
  <c r="I80" i="54"/>
  <c r="I81" i="54"/>
  <c r="I84" i="54"/>
  <c r="I86" i="54"/>
  <c r="I88" i="54"/>
  <c r="I90" i="54"/>
  <c r="I97" i="54"/>
  <c r="I99" i="54"/>
  <c r="I100" i="54"/>
  <c r="I102" i="54"/>
  <c r="I103" i="54"/>
  <c r="I104" i="54"/>
  <c r="I110" i="54"/>
  <c r="I111" i="54"/>
  <c r="I112" i="54"/>
  <c r="I113" i="54"/>
  <c r="I115" i="54"/>
  <c r="I116" i="54"/>
  <c r="I118" i="54"/>
  <c r="I119" i="54"/>
  <c r="I120" i="54"/>
  <c r="I121" i="54"/>
  <c r="I124" i="54"/>
  <c r="I128" i="54"/>
  <c r="I130" i="54"/>
  <c r="I132" i="54"/>
  <c r="I133" i="54"/>
  <c r="I134" i="54"/>
  <c r="I135" i="54"/>
  <c r="I138" i="54"/>
  <c r="I141" i="54"/>
  <c r="I142" i="54"/>
  <c r="I144" i="54"/>
  <c r="I148" i="54"/>
  <c r="I149" i="54"/>
  <c r="I151" i="54"/>
  <c r="I154" i="54"/>
  <c r="I156" i="54"/>
  <c r="I158" i="54"/>
  <c r="I160" i="54"/>
  <c r="I161" i="54"/>
  <c r="I164" i="54"/>
  <c r="I165" i="54"/>
  <c r="I167" i="54"/>
  <c r="I170" i="54"/>
  <c r="I174" i="54"/>
  <c r="I176" i="54"/>
  <c r="I178" i="54"/>
  <c r="I180" i="54"/>
  <c r="I183" i="54"/>
  <c r="I184" i="54"/>
  <c r="I185" i="54"/>
  <c r="I186" i="54"/>
  <c r="I188" i="54"/>
  <c r="I189" i="54"/>
  <c r="I190" i="54"/>
  <c r="I192" i="54"/>
  <c r="I194" i="54"/>
  <c r="I196" i="54"/>
  <c r="I198" i="54"/>
  <c r="I199" i="54"/>
  <c r="I204" i="54"/>
  <c r="I206" i="54"/>
  <c r="I208" i="54"/>
  <c r="I210" i="54"/>
  <c r="I212" i="54"/>
  <c r="I213" i="54"/>
  <c r="I215" i="54"/>
  <c r="I217" i="54"/>
  <c r="I222" i="54"/>
  <c r="I224" i="54"/>
  <c r="I228" i="54"/>
  <c r="I231" i="54"/>
  <c r="I234" i="54"/>
  <c r="I238" i="54"/>
  <c r="I240" i="54"/>
  <c r="I242" i="54"/>
  <c r="I244" i="54"/>
  <c r="I245" i="54"/>
  <c r="I246" i="54"/>
  <c r="I247" i="54"/>
  <c r="I249" i="54"/>
  <c r="I250" i="54"/>
  <c r="I254" i="54"/>
  <c r="I256" i="54"/>
  <c r="I258" i="54"/>
  <c r="I263" i="54"/>
  <c r="I268" i="54"/>
  <c r="I269" i="54"/>
  <c r="I270" i="54"/>
  <c r="I272" i="54"/>
  <c r="I274" i="54"/>
  <c r="I279" i="54"/>
  <c r="I281" i="54"/>
  <c r="I283" i="54"/>
  <c r="I284" i="54"/>
  <c r="I286" i="54"/>
  <c r="I288" i="54"/>
  <c r="I290" i="54"/>
  <c r="I293" i="54"/>
  <c r="I294" i="54"/>
  <c r="I295" i="54"/>
  <c r="I298" i="54"/>
  <c r="I300" i="54"/>
  <c r="I301" i="54"/>
  <c r="I302" i="54"/>
  <c r="I304" i="54"/>
  <c r="C312" i="34"/>
  <c r="K6" i="49"/>
  <c r="F306" i="37"/>
  <c r="E306" i="13"/>
  <c r="F306" i="13" s="1"/>
  <c r="C306" i="11"/>
  <c r="H158" i="37" l="1"/>
  <c r="H161" i="37"/>
  <c r="H7" i="37"/>
  <c r="H11" i="37"/>
  <c r="H15" i="37"/>
  <c r="H19" i="37"/>
  <c r="H23" i="37"/>
  <c r="H27" i="37"/>
  <c r="H31" i="37"/>
  <c r="H35" i="37"/>
  <c r="H39" i="37"/>
  <c r="H43" i="37"/>
  <c r="H47" i="37"/>
  <c r="H51" i="37"/>
  <c r="H55" i="37"/>
  <c r="H59" i="37"/>
  <c r="H63" i="37"/>
  <c r="H76" i="37"/>
  <c r="H80" i="37"/>
  <c r="H141" i="37"/>
  <c r="H243" i="37"/>
  <c r="H247" i="37"/>
  <c r="H146" i="37"/>
  <c r="H148" i="37"/>
  <c r="H154" i="37"/>
  <c r="H157" i="37"/>
  <c r="H162" i="37"/>
  <c r="H8" i="37"/>
  <c r="H12" i="37"/>
  <c r="H16" i="37"/>
  <c r="H20" i="37"/>
  <c r="H24" i="37"/>
  <c r="H28" i="37"/>
  <c r="H32" i="37"/>
  <c r="H36" i="37"/>
  <c r="H40" i="37"/>
  <c r="H44" i="37"/>
  <c r="H48" i="37"/>
  <c r="H52" i="37"/>
  <c r="H56" i="37"/>
  <c r="H60" i="37"/>
  <c r="H64" i="37"/>
  <c r="H75" i="37"/>
  <c r="H79" i="37"/>
  <c r="H156" i="37"/>
  <c r="H164" i="37"/>
  <c r="H168" i="37"/>
  <c r="H172" i="37"/>
  <c r="H176" i="37"/>
  <c r="H180" i="37"/>
  <c r="H184" i="37"/>
  <c r="H188" i="37"/>
  <c r="H192" i="37"/>
  <c r="H196" i="37"/>
  <c r="H200" i="37"/>
  <c r="H204" i="37"/>
  <c r="H208" i="37"/>
  <c r="H212" i="37"/>
  <c r="H216" i="37"/>
  <c r="H220" i="37"/>
  <c r="H224" i="37"/>
  <c r="H228" i="37"/>
  <c r="H232" i="37"/>
  <c r="H236" i="37"/>
  <c r="H244" i="37"/>
  <c r="H248" i="37"/>
  <c r="H250" i="37"/>
  <c r="H252" i="37"/>
  <c r="H254" i="37"/>
  <c r="H256" i="37"/>
  <c r="H258" i="37"/>
  <c r="H266" i="37"/>
  <c r="H240" i="37"/>
  <c r="H251" i="37"/>
  <c r="H255" i="37"/>
  <c r="H262" i="37"/>
  <c r="H270" i="37"/>
  <c r="H274" i="37"/>
  <c r="H278" i="37"/>
  <c r="H282" i="37"/>
  <c r="H286" i="37"/>
  <c r="H290" i="37"/>
  <c r="H294" i="37"/>
  <c r="H298" i="37"/>
  <c r="H302" i="37"/>
  <c r="H303" i="37"/>
  <c r="H287" i="37"/>
  <c r="H271" i="37"/>
  <c r="H263" i="37"/>
  <c r="H304" i="37"/>
  <c r="H288" i="37"/>
  <c r="H272" i="37"/>
  <c r="H235" i="37"/>
  <c r="H219" i="37"/>
  <c r="H203" i="37"/>
  <c r="H187" i="37"/>
  <c r="H171" i="37"/>
  <c r="H153" i="37"/>
  <c r="H138" i="37"/>
  <c r="H130" i="37"/>
  <c r="H122" i="37"/>
  <c r="H114" i="37"/>
  <c r="H106" i="37"/>
  <c r="H98" i="37"/>
  <c r="H91" i="37"/>
  <c r="H83" i="37"/>
  <c r="H67" i="37"/>
  <c r="H301" i="37"/>
  <c r="H285" i="37"/>
  <c r="H239" i="37"/>
  <c r="H62" i="37"/>
  <c r="H46" i="37"/>
  <c r="H30" i="37"/>
  <c r="H14" i="37"/>
  <c r="H238" i="37"/>
  <c r="H222" i="37"/>
  <c r="H206" i="37"/>
  <c r="H190" i="37"/>
  <c r="H174" i="37"/>
  <c r="H150" i="37"/>
  <c r="H73" i="37"/>
  <c r="H237" i="37"/>
  <c r="H221" i="37"/>
  <c r="H205" i="37"/>
  <c r="H189" i="37"/>
  <c r="H173" i="37"/>
  <c r="H144" i="37"/>
  <c r="H124" i="37"/>
  <c r="H108" i="37"/>
  <c r="H92" i="37"/>
  <c r="H155" i="37"/>
  <c r="H139" i="37"/>
  <c r="H123" i="37"/>
  <c r="H107" i="37"/>
  <c r="H89" i="37"/>
  <c r="H33" i="37"/>
  <c r="H61" i="37"/>
  <c r="H29" i="37"/>
  <c r="H299" i="37"/>
  <c r="H283" i="37"/>
  <c r="H268" i="37"/>
  <c r="H260" i="37"/>
  <c r="H300" i="37"/>
  <c r="H284" i="37"/>
  <c r="H257" i="37"/>
  <c r="H231" i="37"/>
  <c r="H215" i="37"/>
  <c r="H199" i="37"/>
  <c r="H183" i="37"/>
  <c r="H167" i="37"/>
  <c r="H149" i="37"/>
  <c r="H137" i="37"/>
  <c r="H129" i="37"/>
  <c r="H121" i="37"/>
  <c r="H113" i="37"/>
  <c r="H105" i="37"/>
  <c r="H97" i="37"/>
  <c r="H88" i="37"/>
  <c r="H72" i="37"/>
  <c r="H265" i="37"/>
  <c r="H297" i="37"/>
  <c r="H281" i="37"/>
  <c r="H81" i="37"/>
  <c r="H58" i="37"/>
  <c r="H42" i="37"/>
  <c r="H26" i="37"/>
  <c r="H10" i="37"/>
  <c r="H234" i="37"/>
  <c r="H218" i="37"/>
  <c r="H202" i="37"/>
  <c r="H186" i="37"/>
  <c r="H170" i="37"/>
  <c r="H142" i="37"/>
  <c r="H69" i="37"/>
  <c r="H233" i="37"/>
  <c r="H217" i="37"/>
  <c r="H201" i="37"/>
  <c r="H185" i="37"/>
  <c r="H169" i="37"/>
  <c r="H136" i="37"/>
  <c r="H120" i="37"/>
  <c r="H104" i="37"/>
  <c r="H82" i="37"/>
  <c r="H151" i="37"/>
  <c r="H135" i="37"/>
  <c r="H119" i="37"/>
  <c r="H103" i="37"/>
  <c r="H85" i="37"/>
  <c r="H57" i="37"/>
  <c r="H25" i="37"/>
  <c r="H53" i="37"/>
  <c r="H21" i="37"/>
  <c r="H295" i="37"/>
  <c r="H279" i="37"/>
  <c r="H267" i="37"/>
  <c r="H259" i="37"/>
  <c r="H269" i="37"/>
  <c r="H296" i="37"/>
  <c r="H280" i="37"/>
  <c r="H253" i="37"/>
  <c r="H227" i="37"/>
  <c r="H211" i="37"/>
  <c r="H195" i="37"/>
  <c r="H179" i="37"/>
  <c r="H163" i="37"/>
  <c r="H145" i="37"/>
  <c r="H134" i="37"/>
  <c r="H126" i="37"/>
  <c r="H118" i="37"/>
  <c r="H110" i="37"/>
  <c r="H102" i="37"/>
  <c r="H94" i="37"/>
  <c r="H87" i="37"/>
  <c r="H71" i="37"/>
  <c r="H293" i="37"/>
  <c r="H277" i="37"/>
  <c r="H77" i="37"/>
  <c r="H54" i="37"/>
  <c r="H38" i="37"/>
  <c r="H22" i="37"/>
  <c r="H246" i="37"/>
  <c r="H230" i="37"/>
  <c r="H214" i="37"/>
  <c r="H198" i="37"/>
  <c r="H182" i="37"/>
  <c r="H166" i="37"/>
  <c r="H90" i="37"/>
  <c r="H245" i="37"/>
  <c r="H229" i="37"/>
  <c r="H213" i="37"/>
  <c r="H197" i="37"/>
  <c r="H181" i="37"/>
  <c r="H165" i="37"/>
  <c r="H132" i="37"/>
  <c r="H116" i="37"/>
  <c r="H100" i="37"/>
  <c r="H78" i="37"/>
  <c r="H147" i="37"/>
  <c r="H131" i="37"/>
  <c r="H115" i="37"/>
  <c r="H99" i="37"/>
  <c r="H74" i="37"/>
  <c r="H49" i="37"/>
  <c r="H17" i="37"/>
  <c r="H45" i="37"/>
  <c r="H13" i="37"/>
  <c r="H291" i="37"/>
  <c r="H275" i="37"/>
  <c r="H264" i="37"/>
  <c r="H261" i="37"/>
  <c r="H292" i="37"/>
  <c r="H276" i="37"/>
  <c r="H249" i="37"/>
  <c r="H223" i="37"/>
  <c r="H207" i="37"/>
  <c r="H191" i="37"/>
  <c r="H175" i="37"/>
  <c r="H160" i="37"/>
  <c r="H140" i="37"/>
  <c r="H133" i="37"/>
  <c r="H125" i="37"/>
  <c r="H117" i="37"/>
  <c r="H109" i="37"/>
  <c r="H101" i="37"/>
  <c r="H93" i="37"/>
  <c r="H84" i="37"/>
  <c r="H68" i="37"/>
  <c r="H305" i="37"/>
  <c r="H289" i="37"/>
  <c r="H273" i="37"/>
  <c r="H66" i="37"/>
  <c r="H50" i="37"/>
  <c r="H34" i="37"/>
  <c r="H18" i="37"/>
  <c r="H242" i="37"/>
  <c r="H226" i="37"/>
  <c r="H210" i="37"/>
  <c r="H194" i="37"/>
  <c r="H178" i="37"/>
  <c r="H159" i="37"/>
  <c r="H86" i="37"/>
  <c r="H241" i="37"/>
  <c r="H225" i="37"/>
  <c r="H209" i="37"/>
  <c r="H193" i="37"/>
  <c r="H177" i="37"/>
  <c r="H152" i="37"/>
  <c r="H128" i="37"/>
  <c r="H112" i="37"/>
  <c r="H96" i="37"/>
  <c r="H65" i="37"/>
  <c r="H143" i="37"/>
  <c r="H127" i="37"/>
  <c r="H111" i="37"/>
  <c r="H95" i="37"/>
  <c r="H70" i="37"/>
  <c r="H41" i="37"/>
  <c r="H9" i="37"/>
  <c r="H37" i="37"/>
  <c r="K306" i="49"/>
  <c r="E48" i="48"/>
  <c r="F48" i="48" s="1"/>
  <c r="F50" i="48" s="1"/>
  <c r="E11" i="34"/>
  <c r="D7" i="34"/>
  <c r="L6" i="49"/>
  <c r="H306" i="37"/>
  <c r="H6" i="37"/>
  <c r="I5" i="13"/>
  <c r="K306" i="11"/>
  <c r="J3" i="33"/>
  <c r="F6" i="33"/>
  <c r="I3" i="33"/>
  <c r="D306" i="37"/>
  <c r="K3" i="33"/>
  <c r="H3" i="33"/>
  <c r="G3" i="33"/>
  <c r="F306" i="11"/>
  <c r="D5" i="9"/>
  <c r="D6" i="9"/>
  <c r="E9" i="37" l="1"/>
  <c r="G9" i="37" s="1"/>
  <c r="I9" i="37" s="1"/>
  <c r="F15" i="34" s="1"/>
  <c r="F9" i="12" s="1"/>
  <c r="E13" i="37"/>
  <c r="G13" i="37" s="1"/>
  <c r="I13" i="37" s="1"/>
  <c r="F19" i="34" s="1"/>
  <c r="F13" i="12" s="1"/>
  <c r="E17" i="37"/>
  <c r="G17" i="37" s="1"/>
  <c r="I17" i="37" s="1"/>
  <c r="F23" i="34" s="1"/>
  <c r="F17" i="12" s="1"/>
  <c r="E21" i="37"/>
  <c r="G21" i="37" s="1"/>
  <c r="I21" i="37" s="1"/>
  <c r="F27" i="34" s="1"/>
  <c r="F21" i="12" s="1"/>
  <c r="E25" i="37"/>
  <c r="G25" i="37" s="1"/>
  <c r="I25" i="37" s="1"/>
  <c r="F31" i="34" s="1"/>
  <c r="F25" i="12" s="1"/>
  <c r="E29" i="37"/>
  <c r="G29" i="37" s="1"/>
  <c r="I29" i="37" s="1"/>
  <c r="F35" i="34" s="1"/>
  <c r="F29" i="12" s="1"/>
  <c r="E33" i="37"/>
  <c r="G33" i="37" s="1"/>
  <c r="I33" i="37" s="1"/>
  <c r="F39" i="34" s="1"/>
  <c r="F33" i="12" s="1"/>
  <c r="E37" i="37"/>
  <c r="G37" i="37" s="1"/>
  <c r="I37" i="37" s="1"/>
  <c r="F43" i="34" s="1"/>
  <c r="F37" i="12" s="1"/>
  <c r="E41" i="37"/>
  <c r="G41" i="37" s="1"/>
  <c r="I41" i="37" s="1"/>
  <c r="F47" i="34" s="1"/>
  <c r="F41" i="12" s="1"/>
  <c r="E45" i="37"/>
  <c r="G45" i="37" s="1"/>
  <c r="I45" i="37" s="1"/>
  <c r="F51" i="34" s="1"/>
  <c r="F45" i="12" s="1"/>
  <c r="E49" i="37"/>
  <c r="G49" i="37" s="1"/>
  <c r="I49" i="37" s="1"/>
  <c r="F55" i="34" s="1"/>
  <c r="F49" i="12" s="1"/>
  <c r="E53" i="37"/>
  <c r="G53" i="37" s="1"/>
  <c r="I53" i="37" s="1"/>
  <c r="F59" i="34" s="1"/>
  <c r="F53" i="12" s="1"/>
  <c r="E57" i="37"/>
  <c r="G57" i="37" s="1"/>
  <c r="I57" i="37" s="1"/>
  <c r="F63" i="34" s="1"/>
  <c r="F57" i="12" s="1"/>
  <c r="E61" i="37"/>
  <c r="G61" i="37" s="1"/>
  <c r="I61" i="37" s="1"/>
  <c r="F67" i="34" s="1"/>
  <c r="F61" i="12" s="1"/>
  <c r="E65" i="37"/>
  <c r="G65" i="37" s="1"/>
  <c r="I65" i="37" s="1"/>
  <c r="F71" i="34" s="1"/>
  <c r="F65" i="12" s="1"/>
  <c r="E67" i="37"/>
  <c r="G67" i="37" s="1"/>
  <c r="I67" i="37" s="1"/>
  <c r="F73" i="34" s="1"/>
  <c r="F67" i="12" s="1"/>
  <c r="E78" i="37"/>
  <c r="G78" i="37" s="1"/>
  <c r="I78" i="37" s="1"/>
  <c r="F84" i="34" s="1"/>
  <c r="F78" i="12" s="1"/>
  <c r="E82" i="37"/>
  <c r="G82" i="37" s="1"/>
  <c r="I82" i="37" s="1"/>
  <c r="F88" i="34" s="1"/>
  <c r="F82" i="12" s="1"/>
  <c r="E157" i="37"/>
  <c r="G157" i="37" s="1"/>
  <c r="I157" i="37" s="1"/>
  <c r="F163" i="34" s="1"/>
  <c r="F157" i="12" s="1"/>
  <c r="E165" i="37"/>
  <c r="G165" i="37" s="1"/>
  <c r="I165" i="37" s="1"/>
  <c r="F171" i="34" s="1"/>
  <c r="F165" i="12" s="1"/>
  <c r="E169" i="37"/>
  <c r="G169" i="37" s="1"/>
  <c r="I169" i="37" s="1"/>
  <c r="F175" i="34" s="1"/>
  <c r="F169" i="12" s="1"/>
  <c r="E173" i="37"/>
  <c r="G173" i="37" s="1"/>
  <c r="I173" i="37" s="1"/>
  <c r="F179" i="34" s="1"/>
  <c r="F173" i="12" s="1"/>
  <c r="E177" i="37"/>
  <c r="G177" i="37" s="1"/>
  <c r="I177" i="37" s="1"/>
  <c r="F183" i="34" s="1"/>
  <c r="F177" i="12" s="1"/>
  <c r="E181" i="37"/>
  <c r="G181" i="37" s="1"/>
  <c r="I181" i="37" s="1"/>
  <c r="F187" i="34" s="1"/>
  <c r="F181" i="12" s="1"/>
  <c r="E185" i="37"/>
  <c r="G185" i="37" s="1"/>
  <c r="I185" i="37" s="1"/>
  <c r="F191" i="34" s="1"/>
  <c r="F185" i="12" s="1"/>
  <c r="E189" i="37"/>
  <c r="G189" i="37" s="1"/>
  <c r="I189" i="37" s="1"/>
  <c r="F195" i="34" s="1"/>
  <c r="F189" i="12" s="1"/>
  <c r="E193" i="37"/>
  <c r="G193" i="37" s="1"/>
  <c r="I193" i="37" s="1"/>
  <c r="F199" i="34" s="1"/>
  <c r="F193" i="12" s="1"/>
  <c r="E197" i="37"/>
  <c r="G197" i="37" s="1"/>
  <c r="I197" i="37" s="1"/>
  <c r="F203" i="34" s="1"/>
  <c r="F197" i="12" s="1"/>
  <c r="E201" i="37"/>
  <c r="G201" i="37" s="1"/>
  <c r="I201" i="37" s="1"/>
  <c r="F207" i="34" s="1"/>
  <c r="F201" i="12" s="1"/>
  <c r="E205" i="37"/>
  <c r="G205" i="37" s="1"/>
  <c r="I205" i="37" s="1"/>
  <c r="F211" i="34" s="1"/>
  <c r="F205" i="12" s="1"/>
  <c r="E209" i="37"/>
  <c r="G209" i="37" s="1"/>
  <c r="I209" i="37" s="1"/>
  <c r="F215" i="34" s="1"/>
  <c r="F209" i="12" s="1"/>
  <c r="E213" i="37"/>
  <c r="G213" i="37" s="1"/>
  <c r="I213" i="37" s="1"/>
  <c r="F219" i="34" s="1"/>
  <c r="F213" i="12" s="1"/>
  <c r="E217" i="37"/>
  <c r="G217" i="37" s="1"/>
  <c r="I217" i="37" s="1"/>
  <c r="F223" i="34" s="1"/>
  <c r="F217" i="12" s="1"/>
  <c r="E221" i="37"/>
  <c r="G221" i="37" s="1"/>
  <c r="I221" i="37" s="1"/>
  <c r="F227" i="34" s="1"/>
  <c r="F221" i="12" s="1"/>
  <c r="E225" i="37"/>
  <c r="G225" i="37" s="1"/>
  <c r="I225" i="37" s="1"/>
  <c r="F231" i="34" s="1"/>
  <c r="F225" i="12" s="1"/>
  <c r="E229" i="37"/>
  <c r="G229" i="37" s="1"/>
  <c r="I229" i="37" s="1"/>
  <c r="F235" i="34" s="1"/>
  <c r="F229" i="12" s="1"/>
  <c r="E233" i="37"/>
  <c r="G233" i="37" s="1"/>
  <c r="I233" i="37" s="1"/>
  <c r="F239" i="34" s="1"/>
  <c r="F233" i="12" s="1"/>
  <c r="E237" i="37"/>
  <c r="G237" i="37" s="1"/>
  <c r="I237" i="37" s="1"/>
  <c r="F243" i="34" s="1"/>
  <c r="F237" i="12" s="1"/>
  <c r="E241" i="37"/>
  <c r="G241" i="37" s="1"/>
  <c r="I241" i="37" s="1"/>
  <c r="F247" i="34" s="1"/>
  <c r="F241" i="12" s="1"/>
  <c r="E245" i="37"/>
  <c r="G245" i="37" s="1"/>
  <c r="I245" i="37" s="1"/>
  <c r="F251" i="34" s="1"/>
  <c r="F245" i="12" s="1"/>
  <c r="E69" i="37"/>
  <c r="G69" i="37" s="1"/>
  <c r="I69" i="37" s="1"/>
  <c r="F75" i="34" s="1"/>
  <c r="F69" i="12" s="1"/>
  <c r="E73" i="37"/>
  <c r="G73" i="37" s="1"/>
  <c r="I73" i="37" s="1"/>
  <c r="F79" i="34" s="1"/>
  <c r="F73" i="12" s="1"/>
  <c r="E75" i="37"/>
  <c r="G75" i="37" s="1"/>
  <c r="I75" i="37" s="1"/>
  <c r="F81" i="34" s="1"/>
  <c r="F75" i="12" s="1"/>
  <c r="E86" i="37"/>
  <c r="G86" i="37" s="1"/>
  <c r="I86" i="37" s="1"/>
  <c r="F92" i="34" s="1"/>
  <c r="F86" i="12" s="1"/>
  <c r="E90" i="37"/>
  <c r="G90" i="37" s="1"/>
  <c r="I90" i="37" s="1"/>
  <c r="F96" i="34" s="1"/>
  <c r="F90" i="12" s="1"/>
  <c r="E156" i="37"/>
  <c r="G156" i="37" s="1"/>
  <c r="I156" i="37" s="1"/>
  <c r="F162" i="34" s="1"/>
  <c r="F156" i="12" s="1"/>
  <c r="E159" i="37"/>
  <c r="G159" i="37" s="1"/>
  <c r="I159" i="37" s="1"/>
  <c r="F165" i="34" s="1"/>
  <c r="F159" i="12" s="1"/>
  <c r="E10" i="37"/>
  <c r="G10" i="37" s="1"/>
  <c r="I10" i="37" s="1"/>
  <c r="F16" i="34" s="1"/>
  <c r="F10" i="12" s="1"/>
  <c r="E14" i="37"/>
  <c r="G14" i="37" s="1"/>
  <c r="I14" i="37" s="1"/>
  <c r="F20" i="34" s="1"/>
  <c r="F14" i="12" s="1"/>
  <c r="E18" i="37"/>
  <c r="G18" i="37" s="1"/>
  <c r="I18" i="37" s="1"/>
  <c r="F24" i="34" s="1"/>
  <c r="F18" i="12" s="1"/>
  <c r="E22" i="37"/>
  <c r="G22" i="37" s="1"/>
  <c r="I22" i="37" s="1"/>
  <c r="F28" i="34" s="1"/>
  <c r="F22" i="12" s="1"/>
  <c r="E26" i="37"/>
  <c r="G26" i="37" s="1"/>
  <c r="I26" i="37" s="1"/>
  <c r="F32" i="34" s="1"/>
  <c r="F26" i="12" s="1"/>
  <c r="E30" i="37"/>
  <c r="G30" i="37" s="1"/>
  <c r="I30" i="37" s="1"/>
  <c r="F36" i="34" s="1"/>
  <c r="F30" i="12" s="1"/>
  <c r="E34" i="37"/>
  <c r="G34" i="37" s="1"/>
  <c r="I34" i="37" s="1"/>
  <c r="F40" i="34" s="1"/>
  <c r="F34" i="12" s="1"/>
  <c r="E38" i="37"/>
  <c r="G38" i="37" s="1"/>
  <c r="I38" i="37" s="1"/>
  <c r="F44" i="34" s="1"/>
  <c r="F38" i="12" s="1"/>
  <c r="E42" i="37"/>
  <c r="G42" i="37" s="1"/>
  <c r="I42" i="37" s="1"/>
  <c r="F48" i="34" s="1"/>
  <c r="F42" i="12" s="1"/>
  <c r="E46" i="37"/>
  <c r="G46" i="37" s="1"/>
  <c r="I46" i="37" s="1"/>
  <c r="F52" i="34" s="1"/>
  <c r="F46" i="12" s="1"/>
  <c r="E50" i="37"/>
  <c r="G50" i="37" s="1"/>
  <c r="I50" i="37" s="1"/>
  <c r="F56" i="34" s="1"/>
  <c r="F50" i="12" s="1"/>
  <c r="E54" i="37"/>
  <c r="G54" i="37" s="1"/>
  <c r="I54" i="37" s="1"/>
  <c r="F60" i="34" s="1"/>
  <c r="F54" i="12" s="1"/>
  <c r="E58" i="37"/>
  <c r="G58" i="37" s="1"/>
  <c r="I58" i="37" s="1"/>
  <c r="F64" i="34" s="1"/>
  <c r="F58" i="12" s="1"/>
  <c r="E62" i="37"/>
  <c r="G62" i="37" s="1"/>
  <c r="I62" i="37" s="1"/>
  <c r="F68" i="34" s="1"/>
  <c r="F62" i="12" s="1"/>
  <c r="E66" i="37"/>
  <c r="G66" i="37" s="1"/>
  <c r="I66" i="37" s="1"/>
  <c r="F72" i="34" s="1"/>
  <c r="F66" i="12" s="1"/>
  <c r="E77" i="37"/>
  <c r="G77" i="37" s="1"/>
  <c r="I77" i="37" s="1"/>
  <c r="F83" i="34" s="1"/>
  <c r="F77" i="12" s="1"/>
  <c r="E81" i="37"/>
  <c r="G81" i="37" s="1"/>
  <c r="I81" i="37" s="1"/>
  <c r="F87" i="34" s="1"/>
  <c r="F81" i="12" s="1"/>
  <c r="E83" i="37"/>
  <c r="G83" i="37" s="1"/>
  <c r="I83" i="37" s="1"/>
  <c r="F89" i="34" s="1"/>
  <c r="F83" i="12" s="1"/>
  <c r="E93" i="37"/>
  <c r="G93" i="37" s="1"/>
  <c r="I93" i="37" s="1"/>
  <c r="F99" i="34" s="1"/>
  <c r="F93" i="12" s="1"/>
  <c r="E97" i="37"/>
  <c r="G97" i="37" s="1"/>
  <c r="I97" i="37" s="1"/>
  <c r="F103" i="34" s="1"/>
  <c r="F97" i="12" s="1"/>
  <c r="E101" i="37"/>
  <c r="G101" i="37" s="1"/>
  <c r="I101" i="37" s="1"/>
  <c r="F107" i="34" s="1"/>
  <c r="F101" i="12" s="1"/>
  <c r="E105" i="37"/>
  <c r="G105" i="37" s="1"/>
  <c r="I105" i="37" s="1"/>
  <c r="F111" i="34" s="1"/>
  <c r="F105" i="12" s="1"/>
  <c r="E109" i="37"/>
  <c r="G109" i="37" s="1"/>
  <c r="I109" i="37" s="1"/>
  <c r="F115" i="34" s="1"/>
  <c r="F109" i="12" s="1"/>
  <c r="E113" i="37"/>
  <c r="G113" i="37" s="1"/>
  <c r="I113" i="37" s="1"/>
  <c r="F119" i="34" s="1"/>
  <c r="F113" i="12" s="1"/>
  <c r="E117" i="37"/>
  <c r="G117" i="37" s="1"/>
  <c r="I117" i="37" s="1"/>
  <c r="F123" i="34" s="1"/>
  <c r="F117" i="12" s="1"/>
  <c r="E121" i="37"/>
  <c r="G121" i="37" s="1"/>
  <c r="I121" i="37" s="1"/>
  <c r="F127" i="34" s="1"/>
  <c r="F121" i="12" s="1"/>
  <c r="E125" i="37"/>
  <c r="G125" i="37" s="1"/>
  <c r="I125" i="37" s="1"/>
  <c r="F131" i="34" s="1"/>
  <c r="F125" i="12" s="1"/>
  <c r="E129" i="37"/>
  <c r="G129" i="37" s="1"/>
  <c r="I129" i="37" s="1"/>
  <c r="F135" i="34" s="1"/>
  <c r="F129" i="12" s="1"/>
  <c r="E133" i="37"/>
  <c r="G133" i="37" s="1"/>
  <c r="I133" i="37" s="1"/>
  <c r="F139" i="34" s="1"/>
  <c r="F133" i="12" s="1"/>
  <c r="E137" i="37"/>
  <c r="G137" i="37" s="1"/>
  <c r="I137" i="37" s="1"/>
  <c r="F143" i="34" s="1"/>
  <c r="F137" i="12" s="1"/>
  <c r="E145" i="37"/>
  <c r="G145" i="37" s="1"/>
  <c r="I145" i="37" s="1"/>
  <c r="F151" i="34" s="1"/>
  <c r="F145" i="12" s="1"/>
  <c r="E153" i="37"/>
  <c r="G153" i="37" s="1"/>
  <c r="I153" i="37" s="1"/>
  <c r="F159" i="34" s="1"/>
  <c r="F153" i="12" s="1"/>
  <c r="E161" i="37"/>
  <c r="G161" i="37" s="1"/>
  <c r="I161" i="37" s="1"/>
  <c r="F167" i="34" s="1"/>
  <c r="F161" i="12" s="1"/>
  <c r="E258" i="37"/>
  <c r="G258" i="37" s="1"/>
  <c r="I258" i="37" s="1"/>
  <c r="F264" i="34" s="1"/>
  <c r="F258" i="12" s="1"/>
  <c r="E70" i="37"/>
  <c r="G70" i="37" s="1"/>
  <c r="I70" i="37" s="1"/>
  <c r="F76" i="34" s="1"/>
  <c r="F70" i="12" s="1"/>
  <c r="E74" i="37"/>
  <c r="G74" i="37" s="1"/>
  <c r="I74" i="37" s="1"/>
  <c r="F80" i="34" s="1"/>
  <c r="F74" i="12" s="1"/>
  <c r="E85" i="37"/>
  <c r="G85" i="37" s="1"/>
  <c r="I85" i="37" s="1"/>
  <c r="F91" i="34" s="1"/>
  <c r="F85" i="12" s="1"/>
  <c r="E89" i="37"/>
  <c r="G89" i="37" s="1"/>
  <c r="I89" i="37" s="1"/>
  <c r="F95" i="34" s="1"/>
  <c r="F89" i="12" s="1"/>
  <c r="E95" i="37"/>
  <c r="G95" i="37" s="1"/>
  <c r="I95" i="37" s="1"/>
  <c r="F101" i="34" s="1"/>
  <c r="F95" i="12" s="1"/>
  <c r="E99" i="37"/>
  <c r="G99" i="37" s="1"/>
  <c r="I99" i="37" s="1"/>
  <c r="F105" i="34" s="1"/>
  <c r="F99" i="12" s="1"/>
  <c r="E103" i="37"/>
  <c r="G103" i="37" s="1"/>
  <c r="I103" i="37" s="1"/>
  <c r="F109" i="34" s="1"/>
  <c r="F103" i="12" s="1"/>
  <c r="E107" i="37"/>
  <c r="G107" i="37" s="1"/>
  <c r="I107" i="37" s="1"/>
  <c r="F113" i="34" s="1"/>
  <c r="F107" i="12" s="1"/>
  <c r="E111" i="37"/>
  <c r="G111" i="37" s="1"/>
  <c r="I111" i="37" s="1"/>
  <c r="F117" i="34" s="1"/>
  <c r="F111" i="12" s="1"/>
  <c r="E115" i="37"/>
  <c r="G115" i="37" s="1"/>
  <c r="I115" i="37" s="1"/>
  <c r="F121" i="34" s="1"/>
  <c r="F115" i="12" s="1"/>
  <c r="E119" i="37"/>
  <c r="G119" i="37" s="1"/>
  <c r="I119" i="37" s="1"/>
  <c r="F125" i="34" s="1"/>
  <c r="F119" i="12" s="1"/>
  <c r="E123" i="37"/>
  <c r="G123" i="37" s="1"/>
  <c r="I123" i="37" s="1"/>
  <c r="F129" i="34" s="1"/>
  <c r="F123" i="12" s="1"/>
  <c r="E127" i="37"/>
  <c r="G127" i="37" s="1"/>
  <c r="I127" i="37" s="1"/>
  <c r="F133" i="34" s="1"/>
  <c r="F127" i="12" s="1"/>
  <c r="E131" i="37"/>
  <c r="G131" i="37" s="1"/>
  <c r="I131" i="37" s="1"/>
  <c r="F137" i="34" s="1"/>
  <c r="F131" i="12" s="1"/>
  <c r="E135" i="37"/>
  <c r="G135" i="37" s="1"/>
  <c r="I135" i="37" s="1"/>
  <c r="F141" i="34" s="1"/>
  <c r="F135" i="12" s="1"/>
  <c r="E139" i="37"/>
  <c r="G139" i="37" s="1"/>
  <c r="I139" i="37" s="1"/>
  <c r="F145" i="34" s="1"/>
  <c r="F139" i="12" s="1"/>
  <c r="E141" i="37"/>
  <c r="G141" i="37" s="1"/>
  <c r="I141" i="37" s="1"/>
  <c r="F147" i="34" s="1"/>
  <c r="F141" i="12" s="1"/>
  <c r="E143" i="37"/>
  <c r="G143" i="37" s="1"/>
  <c r="I143" i="37" s="1"/>
  <c r="F149" i="34" s="1"/>
  <c r="F143" i="12" s="1"/>
  <c r="E147" i="37"/>
  <c r="G147" i="37" s="1"/>
  <c r="I147" i="37" s="1"/>
  <c r="F153" i="34" s="1"/>
  <c r="F147" i="12" s="1"/>
  <c r="E149" i="37"/>
  <c r="G149" i="37" s="1"/>
  <c r="I149" i="37" s="1"/>
  <c r="F155" i="34" s="1"/>
  <c r="F149" i="12" s="1"/>
  <c r="E151" i="37"/>
  <c r="G151" i="37" s="1"/>
  <c r="I151" i="37" s="1"/>
  <c r="F157" i="34" s="1"/>
  <c r="F151" i="12" s="1"/>
  <c r="E155" i="37"/>
  <c r="G155" i="37" s="1"/>
  <c r="I155" i="37" s="1"/>
  <c r="F161" i="34" s="1"/>
  <c r="F155" i="12" s="1"/>
  <c r="E160" i="37"/>
  <c r="G160" i="37" s="1"/>
  <c r="I160" i="37" s="1"/>
  <c r="F166" i="34" s="1"/>
  <c r="F160" i="12" s="1"/>
  <c r="E163" i="37"/>
  <c r="G163" i="37" s="1"/>
  <c r="I163" i="37" s="1"/>
  <c r="F169" i="34" s="1"/>
  <c r="F163" i="12" s="1"/>
  <c r="E167" i="37"/>
  <c r="G167" i="37" s="1"/>
  <c r="I167" i="37" s="1"/>
  <c r="F173" i="34" s="1"/>
  <c r="F167" i="12" s="1"/>
  <c r="E171" i="37"/>
  <c r="G171" i="37" s="1"/>
  <c r="I171" i="37" s="1"/>
  <c r="F177" i="34" s="1"/>
  <c r="F171" i="12" s="1"/>
  <c r="E175" i="37"/>
  <c r="G175" i="37" s="1"/>
  <c r="I175" i="37" s="1"/>
  <c r="F181" i="34" s="1"/>
  <c r="F175" i="12" s="1"/>
  <c r="E179" i="37"/>
  <c r="G179" i="37" s="1"/>
  <c r="I179" i="37" s="1"/>
  <c r="F185" i="34" s="1"/>
  <c r="F179" i="12" s="1"/>
  <c r="E183" i="37"/>
  <c r="G183" i="37" s="1"/>
  <c r="I183" i="37" s="1"/>
  <c r="F189" i="34" s="1"/>
  <c r="F183" i="12" s="1"/>
  <c r="E187" i="37"/>
  <c r="G187" i="37" s="1"/>
  <c r="I187" i="37" s="1"/>
  <c r="F193" i="34" s="1"/>
  <c r="F187" i="12" s="1"/>
  <c r="E191" i="37"/>
  <c r="G191" i="37" s="1"/>
  <c r="I191" i="37" s="1"/>
  <c r="F197" i="34" s="1"/>
  <c r="F191" i="12" s="1"/>
  <c r="E195" i="37"/>
  <c r="G195" i="37" s="1"/>
  <c r="I195" i="37" s="1"/>
  <c r="F201" i="34" s="1"/>
  <c r="F195" i="12" s="1"/>
  <c r="E199" i="37"/>
  <c r="G199" i="37" s="1"/>
  <c r="I199" i="37" s="1"/>
  <c r="F205" i="34" s="1"/>
  <c r="F199" i="12" s="1"/>
  <c r="E203" i="37"/>
  <c r="G203" i="37" s="1"/>
  <c r="I203" i="37" s="1"/>
  <c r="F209" i="34" s="1"/>
  <c r="F203" i="12" s="1"/>
  <c r="E207" i="37"/>
  <c r="G207" i="37" s="1"/>
  <c r="I207" i="37" s="1"/>
  <c r="F213" i="34" s="1"/>
  <c r="F207" i="12" s="1"/>
  <c r="E211" i="37"/>
  <c r="G211" i="37" s="1"/>
  <c r="I211" i="37" s="1"/>
  <c r="F217" i="34" s="1"/>
  <c r="F211" i="12" s="1"/>
  <c r="E215" i="37"/>
  <c r="G215" i="37" s="1"/>
  <c r="I215" i="37" s="1"/>
  <c r="F221" i="34" s="1"/>
  <c r="F215" i="12" s="1"/>
  <c r="E219" i="37"/>
  <c r="G219" i="37" s="1"/>
  <c r="I219" i="37" s="1"/>
  <c r="F225" i="34" s="1"/>
  <c r="F219" i="12" s="1"/>
  <c r="E223" i="37"/>
  <c r="G223" i="37" s="1"/>
  <c r="I223" i="37" s="1"/>
  <c r="F229" i="34" s="1"/>
  <c r="F223" i="12" s="1"/>
  <c r="E227" i="37"/>
  <c r="G227" i="37" s="1"/>
  <c r="I227" i="37" s="1"/>
  <c r="F233" i="34" s="1"/>
  <c r="F227" i="12" s="1"/>
  <c r="E231" i="37"/>
  <c r="G231" i="37" s="1"/>
  <c r="I231" i="37" s="1"/>
  <c r="F237" i="34" s="1"/>
  <c r="F231" i="12" s="1"/>
  <c r="E235" i="37"/>
  <c r="G235" i="37" s="1"/>
  <c r="I235" i="37" s="1"/>
  <c r="F241" i="34" s="1"/>
  <c r="F235" i="12" s="1"/>
  <c r="E262" i="37"/>
  <c r="G262" i="37" s="1"/>
  <c r="I262" i="37" s="1"/>
  <c r="F268" i="34" s="1"/>
  <c r="F262" i="12" s="1"/>
  <c r="E265" i="37"/>
  <c r="G265" i="37" s="1"/>
  <c r="I265" i="37" s="1"/>
  <c r="F271" i="34" s="1"/>
  <c r="F265" i="12" s="1"/>
  <c r="E270" i="37"/>
  <c r="G270" i="37" s="1"/>
  <c r="I270" i="37" s="1"/>
  <c r="F276" i="34" s="1"/>
  <c r="F270" i="12" s="1"/>
  <c r="E247" i="37"/>
  <c r="G247" i="37" s="1"/>
  <c r="I247" i="37" s="1"/>
  <c r="F253" i="34" s="1"/>
  <c r="F247" i="12" s="1"/>
  <c r="E249" i="37"/>
  <c r="G249" i="37" s="1"/>
  <c r="I249" i="37" s="1"/>
  <c r="F255" i="34" s="1"/>
  <c r="F249" i="12" s="1"/>
  <c r="E253" i="37"/>
  <c r="G253" i="37" s="1"/>
  <c r="I253" i="37" s="1"/>
  <c r="F259" i="34" s="1"/>
  <c r="F253" i="12" s="1"/>
  <c r="E257" i="37"/>
  <c r="G257" i="37" s="1"/>
  <c r="I257" i="37" s="1"/>
  <c r="F263" i="34" s="1"/>
  <c r="F257" i="12" s="1"/>
  <c r="E259" i="37"/>
  <c r="G259" i="37" s="1"/>
  <c r="I259" i="37" s="1"/>
  <c r="F265" i="34" s="1"/>
  <c r="F259" i="12" s="1"/>
  <c r="E267" i="37"/>
  <c r="G267" i="37" s="1"/>
  <c r="I267" i="37" s="1"/>
  <c r="F273" i="34" s="1"/>
  <c r="F267" i="12" s="1"/>
  <c r="E243" i="37"/>
  <c r="G243" i="37" s="1"/>
  <c r="I243" i="37" s="1"/>
  <c r="F249" i="34" s="1"/>
  <c r="F243" i="12" s="1"/>
  <c r="E261" i="37"/>
  <c r="G261" i="37" s="1"/>
  <c r="I261" i="37" s="1"/>
  <c r="F267" i="34" s="1"/>
  <c r="F261" i="12" s="1"/>
  <c r="E266" i="37"/>
  <c r="G266" i="37" s="1"/>
  <c r="I266" i="37" s="1"/>
  <c r="F272" i="34" s="1"/>
  <c r="F266" i="12" s="1"/>
  <c r="E269" i="37"/>
  <c r="G269" i="37" s="1"/>
  <c r="I269" i="37" s="1"/>
  <c r="F275" i="34" s="1"/>
  <c r="F269" i="12" s="1"/>
  <c r="E239" i="37"/>
  <c r="G239" i="37" s="1"/>
  <c r="I239" i="37" s="1"/>
  <c r="F245" i="34" s="1"/>
  <c r="F239" i="12" s="1"/>
  <c r="E263" i="37"/>
  <c r="G263" i="37" s="1"/>
  <c r="I263" i="37" s="1"/>
  <c r="F269" i="34" s="1"/>
  <c r="F263" i="12" s="1"/>
  <c r="E271" i="37"/>
  <c r="G271" i="37" s="1"/>
  <c r="I271" i="37" s="1"/>
  <c r="F277" i="34" s="1"/>
  <c r="F271" i="12" s="1"/>
  <c r="E273" i="37"/>
  <c r="G273" i="37" s="1"/>
  <c r="I273" i="37" s="1"/>
  <c r="F279" i="34" s="1"/>
  <c r="F273" i="12" s="1"/>
  <c r="E275" i="37"/>
  <c r="G275" i="37" s="1"/>
  <c r="I275" i="37" s="1"/>
  <c r="F281" i="34" s="1"/>
  <c r="F275" i="12" s="1"/>
  <c r="E277" i="37"/>
  <c r="G277" i="37" s="1"/>
  <c r="I277" i="37" s="1"/>
  <c r="F283" i="34" s="1"/>
  <c r="F277" i="12" s="1"/>
  <c r="E279" i="37"/>
  <c r="G279" i="37" s="1"/>
  <c r="I279" i="37" s="1"/>
  <c r="F285" i="34" s="1"/>
  <c r="F279" i="12" s="1"/>
  <c r="E281" i="37"/>
  <c r="G281" i="37" s="1"/>
  <c r="I281" i="37" s="1"/>
  <c r="F287" i="34" s="1"/>
  <c r="F281" i="12" s="1"/>
  <c r="E283" i="37"/>
  <c r="G283" i="37" s="1"/>
  <c r="I283" i="37" s="1"/>
  <c r="F289" i="34" s="1"/>
  <c r="F283" i="12" s="1"/>
  <c r="E285" i="37"/>
  <c r="G285" i="37" s="1"/>
  <c r="I285" i="37" s="1"/>
  <c r="F291" i="34" s="1"/>
  <c r="F285" i="12" s="1"/>
  <c r="E287" i="37"/>
  <c r="G287" i="37" s="1"/>
  <c r="I287" i="37" s="1"/>
  <c r="F293" i="34" s="1"/>
  <c r="F287" i="12" s="1"/>
  <c r="E289" i="37"/>
  <c r="G289" i="37" s="1"/>
  <c r="I289" i="37" s="1"/>
  <c r="F295" i="34" s="1"/>
  <c r="F289" i="12" s="1"/>
  <c r="E291" i="37"/>
  <c r="G291" i="37" s="1"/>
  <c r="I291" i="37" s="1"/>
  <c r="F297" i="34" s="1"/>
  <c r="F291" i="12" s="1"/>
  <c r="E293" i="37"/>
  <c r="G293" i="37" s="1"/>
  <c r="I293" i="37" s="1"/>
  <c r="F299" i="34" s="1"/>
  <c r="F293" i="12" s="1"/>
  <c r="E295" i="37"/>
  <c r="G295" i="37" s="1"/>
  <c r="I295" i="37" s="1"/>
  <c r="F301" i="34" s="1"/>
  <c r="F295" i="12" s="1"/>
  <c r="E297" i="37"/>
  <c r="G297" i="37" s="1"/>
  <c r="I297" i="37" s="1"/>
  <c r="F303" i="34" s="1"/>
  <c r="F297" i="12" s="1"/>
  <c r="E299" i="37"/>
  <c r="G299" i="37" s="1"/>
  <c r="I299" i="37" s="1"/>
  <c r="F305" i="34" s="1"/>
  <c r="F299" i="12" s="1"/>
  <c r="E301" i="37"/>
  <c r="G301" i="37" s="1"/>
  <c r="I301" i="37" s="1"/>
  <c r="F307" i="34" s="1"/>
  <c r="F301" i="12" s="1"/>
  <c r="E303" i="37"/>
  <c r="G303" i="37" s="1"/>
  <c r="I303" i="37" s="1"/>
  <c r="F309" i="34" s="1"/>
  <c r="F303" i="12" s="1"/>
  <c r="E305" i="37"/>
  <c r="G305" i="37" s="1"/>
  <c r="I305" i="37" s="1"/>
  <c r="F311" i="34" s="1"/>
  <c r="F305" i="12" s="1"/>
  <c r="E31" i="37"/>
  <c r="G31" i="37" s="1"/>
  <c r="I31" i="37" s="1"/>
  <c r="F37" i="34" s="1"/>
  <c r="F31" i="12" s="1"/>
  <c r="E19" i="37"/>
  <c r="G19" i="37" s="1"/>
  <c r="I19" i="37" s="1"/>
  <c r="F25" i="34" s="1"/>
  <c r="F19" i="12" s="1"/>
  <c r="E27" i="37"/>
  <c r="G27" i="37" s="1"/>
  <c r="I27" i="37" s="1"/>
  <c r="F33" i="34" s="1"/>
  <c r="F27" i="12" s="1"/>
  <c r="E59" i="37"/>
  <c r="G59" i="37" s="1"/>
  <c r="I59" i="37" s="1"/>
  <c r="F65" i="34" s="1"/>
  <c r="F59" i="12" s="1"/>
  <c r="E11" i="37"/>
  <c r="G11" i="37" s="1"/>
  <c r="I11" i="37" s="1"/>
  <c r="F17" i="34" s="1"/>
  <c r="F11" i="12" s="1"/>
  <c r="E35" i="37"/>
  <c r="G35" i="37" s="1"/>
  <c r="I35" i="37" s="1"/>
  <c r="F41" i="34" s="1"/>
  <c r="F35" i="12" s="1"/>
  <c r="E43" i="37"/>
  <c r="G43" i="37" s="1"/>
  <c r="I43" i="37" s="1"/>
  <c r="F49" i="34" s="1"/>
  <c r="F43" i="12" s="1"/>
  <c r="E47" i="37"/>
  <c r="G47" i="37" s="1"/>
  <c r="I47" i="37" s="1"/>
  <c r="F53" i="34" s="1"/>
  <c r="F47" i="12" s="1"/>
  <c r="E55" i="37"/>
  <c r="G55" i="37" s="1"/>
  <c r="I55" i="37" s="1"/>
  <c r="F61" i="34" s="1"/>
  <c r="F55" i="12" s="1"/>
  <c r="E15" i="37"/>
  <c r="G15" i="37" s="1"/>
  <c r="I15" i="37" s="1"/>
  <c r="F21" i="34" s="1"/>
  <c r="F15" i="12" s="1"/>
  <c r="E63" i="37"/>
  <c r="G63" i="37" s="1"/>
  <c r="I63" i="37" s="1"/>
  <c r="F69" i="34" s="1"/>
  <c r="F63" i="12" s="1"/>
  <c r="E51" i="37"/>
  <c r="G51" i="37" s="1"/>
  <c r="I51" i="37" s="1"/>
  <c r="F57" i="34" s="1"/>
  <c r="F51" i="12" s="1"/>
  <c r="E23" i="37"/>
  <c r="G23" i="37" s="1"/>
  <c r="I23" i="37" s="1"/>
  <c r="F29" i="34" s="1"/>
  <c r="F23" i="12" s="1"/>
  <c r="E39" i="37"/>
  <c r="G39" i="37" s="1"/>
  <c r="I39" i="37" s="1"/>
  <c r="F45" i="34" s="1"/>
  <c r="F39" i="12" s="1"/>
  <c r="E302" i="37"/>
  <c r="G302" i="37" s="1"/>
  <c r="I302" i="37" s="1"/>
  <c r="F308" i="34" s="1"/>
  <c r="F302" i="12" s="1"/>
  <c r="E184" i="37"/>
  <c r="G184" i="37" s="1"/>
  <c r="I184" i="37" s="1"/>
  <c r="F190" i="34" s="1"/>
  <c r="F184" i="12" s="1"/>
  <c r="E168" i="37"/>
  <c r="G168" i="37" s="1"/>
  <c r="I168" i="37" s="1"/>
  <c r="F174" i="34" s="1"/>
  <c r="F168" i="12" s="1"/>
  <c r="E246" i="37"/>
  <c r="G246" i="37" s="1"/>
  <c r="I246" i="37" s="1"/>
  <c r="F252" i="34" s="1"/>
  <c r="F246" i="12" s="1"/>
  <c r="E218" i="37"/>
  <c r="G218" i="37" s="1"/>
  <c r="I218" i="37" s="1"/>
  <c r="F224" i="34" s="1"/>
  <c r="F218" i="12" s="1"/>
  <c r="E294" i="37"/>
  <c r="G294" i="37" s="1"/>
  <c r="I294" i="37" s="1"/>
  <c r="F300" i="34" s="1"/>
  <c r="F294" i="12" s="1"/>
  <c r="E152" i="37"/>
  <c r="G152" i="37" s="1"/>
  <c r="I152" i="37" s="1"/>
  <c r="F158" i="34" s="1"/>
  <c r="F152" i="12" s="1"/>
  <c r="E120" i="37"/>
  <c r="G120" i="37" s="1"/>
  <c r="I120" i="37" s="1"/>
  <c r="F126" i="34" s="1"/>
  <c r="F120" i="12" s="1"/>
  <c r="E200" i="37"/>
  <c r="G200" i="37" s="1"/>
  <c r="I200" i="37" s="1"/>
  <c r="F206" i="34" s="1"/>
  <c r="F200" i="12" s="1"/>
  <c r="E112" i="37"/>
  <c r="G112" i="37" s="1"/>
  <c r="I112" i="37" s="1"/>
  <c r="F118" i="34" s="1"/>
  <c r="F112" i="12" s="1"/>
  <c r="E226" i="37"/>
  <c r="G226" i="37" s="1"/>
  <c r="I226" i="37" s="1"/>
  <c r="F232" i="34" s="1"/>
  <c r="F226" i="12" s="1"/>
  <c r="E234" i="37"/>
  <c r="G234" i="37" s="1"/>
  <c r="I234" i="37" s="1"/>
  <c r="F240" i="34" s="1"/>
  <c r="F234" i="12" s="1"/>
  <c r="E298" i="37"/>
  <c r="G298" i="37" s="1"/>
  <c r="I298" i="37" s="1"/>
  <c r="F304" i="34" s="1"/>
  <c r="F298" i="12" s="1"/>
  <c r="E128" i="37"/>
  <c r="G128" i="37" s="1"/>
  <c r="I128" i="37" s="1"/>
  <c r="F134" i="34" s="1"/>
  <c r="F128" i="12" s="1"/>
  <c r="E304" i="37"/>
  <c r="G304" i="37" s="1"/>
  <c r="I304" i="37" s="1"/>
  <c r="F310" i="34" s="1"/>
  <c r="F304" i="12" s="1"/>
  <c r="E296" i="37"/>
  <c r="G296" i="37" s="1"/>
  <c r="I296" i="37" s="1"/>
  <c r="F302" i="34" s="1"/>
  <c r="F296" i="12" s="1"/>
  <c r="E238" i="37"/>
  <c r="G238" i="37" s="1"/>
  <c r="I238" i="37" s="1"/>
  <c r="F244" i="34" s="1"/>
  <c r="F238" i="12" s="1"/>
  <c r="E144" i="37"/>
  <c r="G144" i="37" s="1"/>
  <c r="I144" i="37" s="1"/>
  <c r="F150" i="34" s="1"/>
  <c r="F144" i="12" s="1"/>
  <c r="E230" i="37"/>
  <c r="G230" i="37" s="1"/>
  <c r="I230" i="37" s="1"/>
  <c r="F236" i="34" s="1"/>
  <c r="F230" i="12" s="1"/>
  <c r="E102" i="37"/>
  <c r="G102" i="37" s="1"/>
  <c r="I102" i="37" s="1"/>
  <c r="F108" i="34" s="1"/>
  <c r="F102" i="12" s="1"/>
  <c r="E192" i="37"/>
  <c r="G192" i="37" s="1"/>
  <c r="I192" i="37" s="1"/>
  <c r="F198" i="34" s="1"/>
  <c r="F192" i="12" s="1"/>
  <c r="E300" i="37"/>
  <c r="G300" i="37" s="1"/>
  <c r="I300" i="37" s="1"/>
  <c r="F306" i="34" s="1"/>
  <c r="F300" i="12" s="1"/>
  <c r="E136" i="37"/>
  <c r="G136" i="37" s="1"/>
  <c r="I136" i="37" s="1"/>
  <c r="F142" i="34" s="1"/>
  <c r="F136" i="12" s="1"/>
  <c r="E176" i="37"/>
  <c r="G176" i="37" s="1"/>
  <c r="I176" i="37" s="1"/>
  <c r="F182" i="34" s="1"/>
  <c r="F176" i="12" s="1"/>
  <c r="E7" i="37"/>
  <c r="G7" i="37" s="1"/>
  <c r="I7" i="37" s="1"/>
  <c r="F13" i="34" s="1"/>
  <c r="F7" i="12" s="1"/>
  <c r="E110" i="37"/>
  <c r="G110" i="37" s="1"/>
  <c r="I110" i="37" s="1"/>
  <c r="F116" i="34" s="1"/>
  <c r="F110" i="12" s="1"/>
  <c r="E64" i="37"/>
  <c r="G64" i="37" s="1"/>
  <c r="I64" i="37" s="1"/>
  <c r="F70" i="34" s="1"/>
  <c r="F64" i="12" s="1"/>
  <c r="E250" i="37"/>
  <c r="G250" i="37" s="1"/>
  <c r="I250" i="37" s="1"/>
  <c r="F256" i="34" s="1"/>
  <c r="F250" i="12" s="1"/>
  <c r="E288" i="37"/>
  <c r="G288" i="37" s="1"/>
  <c r="I288" i="37" s="1"/>
  <c r="F294" i="34" s="1"/>
  <c r="F288" i="12" s="1"/>
  <c r="E180" i="37"/>
  <c r="G180" i="37" s="1"/>
  <c r="I180" i="37" s="1"/>
  <c r="F186" i="34" s="1"/>
  <c r="F180" i="12" s="1"/>
  <c r="E48" i="37"/>
  <c r="G48" i="37" s="1"/>
  <c r="I48" i="37" s="1"/>
  <c r="F54" i="34" s="1"/>
  <c r="F48" i="12" s="1"/>
  <c r="E148" i="37"/>
  <c r="G148" i="37" s="1"/>
  <c r="I148" i="37" s="1"/>
  <c r="F154" i="34" s="1"/>
  <c r="F148" i="12" s="1"/>
  <c r="E140" i="37"/>
  <c r="G140" i="37" s="1"/>
  <c r="I140" i="37" s="1"/>
  <c r="F146" i="34" s="1"/>
  <c r="F140" i="12" s="1"/>
  <c r="E68" i="37"/>
  <c r="G68" i="37" s="1"/>
  <c r="I68" i="37" s="1"/>
  <c r="F74" i="34" s="1"/>
  <c r="F68" i="12" s="1"/>
  <c r="E24" i="37"/>
  <c r="G24" i="37" s="1"/>
  <c r="I24" i="37" s="1"/>
  <c r="F30" i="34" s="1"/>
  <c r="F24" i="12" s="1"/>
  <c r="E72" i="37"/>
  <c r="G72" i="37" s="1"/>
  <c r="I72" i="37" s="1"/>
  <c r="F78" i="34" s="1"/>
  <c r="F72" i="12" s="1"/>
  <c r="E106" i="37"/>
  <c r="G106" i="37" s="1"/>
  <c r="I106" i="37" s="1"/>
  <c r="F112" i="34" s="1"/>
  <c r="F106" i="12" s="1"/>
  <c r="E282" i="37"/>
  <c r="G282" i="37" s="1"/>
  <c r="I282" i="37" s="1"/>
  <c r="F288" i="34" s="1"/>
  <c r="F282" i="12" s="1"/>
  <c r="E36" i="37"/>
  <c r="G36" i="37" s="1"/>
  <c r="I36" i="37" s="1"/>
  <c r="F42" i="34" s="1"/>
  <c r="F36" i="12" s="1"/>
  <c r="E208" i="37"/>
  <c r="G208" i="37" s="1"/>
  <c r="I208" i="37" s="1"/>
  <c r="F214" i="34" s="1"/>
  <c r="F208" i="12" s="1"/>
  <c r="E98" i="37"/>
  <c r="G98" i="37" s="1"/>
  <c r="I98" i="37" s="1"/>
  <c r="F104" i="34" s="1"/>
  <c r="F98" i="12" s="1"/>
  <c r="E194" i="37"/>
  <c r="G194" i="37" s="1"/>
  <c r="I194" i="37" s="1"/>
  <c r="F200" i="34" s="1"/>
  <c r="F194" i="12" s="1"/>
  <c r="E158" i="37"/>
  <c r="G158" i="37" s="1"/>
  <c r="I158" i="37" s="1"/>
  <c r="F164" i="34" s="1"/>
  <c r="F158" i="12" s="1"/>
  <c r="E116" i="37"/>
  <c r="G116" i="37" s="1"/>
  <c r="I116" i="37" s="1"/>
  <c r="F122" i="34" s="1"/>
  <c r="F116" i="12" s="1"/>
  <c r="E172" i="37"/>
  <c r="G172" i="37" s="1"/>
  <c r="I172" i="37" s="1"/>
  <c r="F178" i="34" s="1"/>
  <c r="F172" i="12" s="1"/>
  <c r="E132" i="37"/>
  <c r="G132" i="37" s="1"/>
  <c r="I132" i="37" s="1"/>
  <c r="F138" i="34" s="1"/>
  <c r="F132" i="12" s="1"/>
  <c r="E220" i="37"/>
  <c r="G220" i="37" s="1"/>
  <c r="I220" i="37" s="1"/>
  <c r="F226" i="34" s="1"/>
  <c r="F220" i="12" s="1"/>
  <c r="E142" i="37"/>
  <c r="G142" i="37" s="1"/>
  <c r="I142" i="37" s="1"/>
  <c r="F148" i="34" s="1"/>
  <c r="F142" i="12" s="1"/>
  <c r="E134" i="37"/>
  <c r="G134" i="37" s="1"/>
  <c r="I134" i="37" s="1"/>
  <c r="F140" i="34" s="1"/>
  <c r="F134" i="12" s="1"/>
  <c r="E174" i="37"/>
  <c r="G174" i="37" s="1"/>
  <c r="I174" i="37" s="1"/>
  <c r="F180" i="34" s="1"/>
  <c r="F174" i="12" s="1"/>
  <c r="E154" i="37"/>
  <c r="G154" i="37" s="1"/>
  <c r="I154" i="37" s="1"/>
  <c r="F160" i="34" s="1"/>
  <c r="F154" i="12" s="1"/>
  <c r="E255" i="37"/>
  <c r="G255" i="37" s="1"/>
  <c r="I255" i="37" s="1"/>
  <c r="F261" i="34" s="1"/>
  <c r="F255" i="12" s="1"/>
  <c r="E274" i="37"/>
  <c r="G274" i="37" s="1"/>
  <c r="I274" i="37" s="1"/>
  <c r="F280" i="34" s="1"/>
  <c r="F274" i="12" s="1"/>
  <c r="E124" i="37"/>
  <c r="G124" i="37" s="1"/>
  <c r="I124" i="37" s="1"/>
  <c r="F130" i="34" s="1"/>
  <c r="F124" i="12" s="1"/>
  <c r="E190" i="37"/>
  <c r="G190" i="37" s="1"/>
  <c r="I190" i="37" s="1"/>
  <c r="F196" i="34" s="1"/>
  <c r="F190" i="12" s="1"/>
  <c r="E216" i="37"/>
  <c r="G216" i="37" s="1"/>
  <c r="I216" i="37" s="1"/>
  <c r="F222" i="34" s="1"/>
  <c r="F216" i="12" s="1"/>
  <c r="E84" i="37"/>
  <c r="G84" i="37" s="1"/>
  <c r="I84" i="37" s="1"/>
  <c r="F90" i="34" s="1"/>
  <c r="F84" i="12" s="1"/>
  <c r="E224" i="37"/>
  <c r="G224" i="37" s="1"/>
  <c r="I224" i="37" s="1"/>
  <c r="F230" i="34" s="1"/>
  <c r="F224" i="12" s="1"/>
  <c r="E80" i="37"/>
  <c r="G80" i="37" s="1"/>
  <c r="I80" i="37" s="1"/>
  <c r="F86" i="34" s="1"/>
  <c r="F80" i="12" s="1"/>
  <c r="E268" i="37"/>
  <c r="G268" i="37" s="1"/>
  <c r="I268" i="37" s="1"/>
  <c r="F274" i="34" s="1"/>
  <c r="F268" i="12" s="1"/>
  <c r="E118" i="37"/>
  <c r="G118" i="37" s="1"/>
  <c r="I118" i="37" s="1"/>
  <c r="F124" i="34" s="1"/>
  <c r="F118" i="12" s="1"/>
  <c r="E210" i="37"/>
  <c r="G210" i="37" s="1"/>
  <c r="I210" i="37" s="1"/>
  <c r="F216" i="34" s="1"/>
  <c r="F210" i="12" s="1"/>
  <c r="E130" i="37"/>
  <c r="G130" i="37" s="1"/>
  <c r="I130" i="37" s="1"/>
  <c r="F136" i="34" s="1"/>
  <c r="F130" i="12" s="1"/>
  <c r="E122" i="37"/>
  <c r="G122" i="37" s="1"/>
  <c r="I122" i="37" s="1"/>
  <c r="F128" i="34" s="1"/>
  <c r="F122" i="12" s="1"/>
  <c r="E94" i="37"/>
  <c r="G94" i="37" s="1"/>
  <c r="I94" i="37" s="1"/>
  <c r="F100" i="34" s="1"/>
  <c r="F94" i="12" s="1"/>
  <c r="E138" i="37"/>
  <c r="G138" i="37" s="1"/>
  <c r="I138" i="37" s="1"/>
  <c r="F144" i="34" s="1"/>
  <c r="F138" i="12" s="1"/>
  <c r="E52" i="37"/>
  <c r="G52" i="37" s="1"/>
  <c r="I52" i="37" s="1"/>
  <c r="F58" i="34" s="1"/>
  <c r="F52" i="12" s="1"/>
  <c r="E290" i="37"/>
  <c r="G290" i="37" s="1"/>
  <c r="I290" i="37" s="1"/>
  <c r="F296" i="34" s="1"/>
  <c r="F290" i="12" s="1"/>
  <c r="E88" i="37"/>
  <c r="G88" i="37" s="1"/>
  <c r="I88" i="37" s="1"/>
  <c r="F94" i="34" s="1"/>
  <c r="F88" i="12" s="1"/>
  <c r="E162" i="37"/>
  <c r="G162" i="37" s="1"/>
  <c r="I162" i="37" s="1"/>
  <c r="F168" i="34" s="1"/>
  <c r="F162" i="12" s="1"/>
  <c r="E256" i="37"/>
  <c r="G256" i="37" s="1"/>
  <c r="I256" i="37" s="1"/>
  <c r="F262" i="34" s="1"/>
  <c r="F256" i="12" s="1"/>
  <c r="E91" i="37"/>
  <c r="G91" i="37" s="1"/>
  <c r="I91" i="37" s="1"/>
  <c r="F97" i="34" s="1"/>
  <c r="F91" i="12" s="1"/>
  <c r="E166" i="37"/>
  <c r="G166" i="37" s="1"/>
  <c r="I166" i="37" s="1"/>
  <c r="F172" i="34" s="1"/>
  <c r="F166" i="12" s="1"/>
  <c r="E8" i="37"/>
  <c r="G8" i="37" s="1"/>
  <c r="I8" i="37" s="1"/>
  <c r="F14" i="34" s="1"/>
  <c r="F8" i="12" s="1"/>
  <c r="E272" i="37"/>
  <c r="G272" i="37" s="1"/>
  <c r="I272" i="37" s="1"/>
  <c r="F278" i="34" s="1"/>
  <c r="F272" i="12" s="1"/>
  <c r="E100" i="37"/>
  <c r="G100" i="37" s="1"/>
  <c r="I100" i="37" s="1"/>
  <c r="F106" i="34" s="1"/>
  <c r="F100" i="12" s="1"/>
  <c r="E202" i="37"/>
  <c r="G202" i="37" s="1"/>
  <c r="I202" i="37" s="1"/>
  <c r="F208" i="34" s="1"/>
  <c r="F202" i="12" s="1"/>
  <c r="E60" i="37"/>
  <c r="G60" i="37" s="1"/>
  <c r="I60" i="37" s="1"/>
  <c r="F66" i="34" s="1"/>
  <c r="F60" i="12" s="1"/>
  <c r="E206" i="37"/>
  <c r="G206" i="37" s="1"/>
  <c r="I206" i="37" s="1"/>
  <c r="F212" i="34" s="1"/>
  <c r="F206" i="12" s="1"/>
  <c r="E252" i="37"/>
  <c r="G252" i="37" s="1"/>
  <c r="I252" i="37" s="1"/>
  <c r="F258" i="34" s="1"/>
  <c r="F252" i="12" s="1"/>
  <c r="E126" i="37"/>
  <c r="G126" i="37" s="1"/>
  <c r="I126" i="37" s="1"/>
  <c r="F132" i="34" s="1"/>
  <c r="F126" i="12" s="1"/>
  <c r="E32" i="37"/>
  <c r="G32" i="37" s="1"/>
  <c r="I32" i="37" s="1"/>
  <c r="F38" i="34" s="1"/>
  <c r="F32" i="12" s="1"/>
  <c r="E292" i="37"/>
  <c r="G292" i="37" s="1"/>
  <c r="I292" i="37" s="1"/>
  <c r="F298" i="34" s="1"/>
  <c r="F292" i="12" s="1"/>
  <c r="E248" i="37"/>
  <c r="G248" i="37" s="1"/>
  <c r="I248" i="37" s="1"/>
  <c r="F254" i="34" s="1"/>
  <c r="F248" i="12" s="1"/>
  <c r="E164" i="37"/>
  <c r="G164" i="37" s="1"/>
  <c r="I164" i="37" s="1"/>
  <c r="F170" i="34" s="1"/>
  <c r="F164" i="12" s="1"/>
  <c r="E232" i="37"/>
  <c r="G232" i="37" s="1"/>
  <c r="I232" i="37" s="1"/>
  <c r="F238" i="34" s="1"/>
  <c r="F232" i="12" s="1"/>
  <c r="E178" i="37"/>
  <c r="G178" i="37" s="1"/>
  <c r="I178" i="37" s="1"/>
  <c r="F184" i="34" s="1"/>
  <c r="F178" i="12" s="1"/>
  <c r="E240" i="37"/>
  <c r="G240" i="37" s="1"/>
  <c r="I240" i="37" s="1"/>
  <c r="F246" i="34" s="1"/>
  <c r="F240" i="12" s="1"/>
  <c r="E196" i="37"/>
  <c r="G196" i="37" s="1"/>
  <c r="I196" i="37" s="1"/>
  <c r="F202" i="34" s="1"/>
  <c r="F196" i="12" s="1"/>
  <c r="E260" i="37"/>
  <c r="G260" i="37" s="1"/>
  <c r="I260" i="37" s="1"/>
  <c r="F266" i="34" s="1"/>
  <c r="F260" i="12" s="1"/>
  <c r="E16" i="37"/>
  <c r="G16" i="37" s="1"/>
  <c r="I16" i="37" s="1"/>
  <c r="F22" i="34" s="1"/>
  <c r="F16" i="12" s="1"/>
  <c r="E96" i="37"/>
  <c r="G96" i="37" s="1"/>
  <c r="I96" i="37" s="1"/>
  <c r="F102" i="34" s="1"/>
  <c r="F96" i="12" s="1"/>
  <c r="E254" i="37"/>
  <c r="G254" i="37" s="1"/>
  <c r="I254" i="37" s="1"/>
  <c r="F260" i="34" s="1"/>
  <c r="F254" i="12" s="1"/>
  <c r="E108" i="37"/>
  <c r="G108" i="37" s="1"/>
  <c r="I108" i="37" s="1"/>
  <c r="F114" i="34" s="1"/>
  <c r="F108" i="12" s="1"/>
  <c r="E276" i="37"/>
  <c r="G276" i="37" s="1"/>
  <c r="I276" i="37" s="1"/>
  <c r="F282" i="34" s="1"/>
  <c r="F276" i="12" s="1"/>
  <c r="E186" i="37"/>
  <c r="G186" i="37" s="1"/>
  <c r="I186" i="37" s="1"/>
  <c r="F192" i="34" s="1"/>
  <c r="F186" i="12" s="1"/>
  <c r="E212" i="37"/>
  <c r="G212" i="37" s="1"/>
  <c r="I212" i="37" s="1"/>
  <c r="F218" i="34" s="1"/>
  <c r="F212" i="12" s="1"/>
  <c r="E12" i="37"/>
  <c r="G12" i="37" s="1"/>
  <c r="I12" i="37" s="1"/>
  <c r="F18" i="34" s="1"/>
  <c r="F12" i="12" s="1"/>
  <c r="E286" i="37"/>
  <c r="G286" i="37" s="1"/>
  <c r="I286" i="37" s="1"/>
  <c r="F292" i="34" s="1"/>
  <c r="F286" i="12" s="1"/>
  <c r="E188" i="37"/>
  <c r="G188" i="37" s="1"/>
  <c r="I188" i="37" s="1"/>
  <c r="F194" i="34" s="1"/>
  <c r="F188" i="12" s="1"/>
  <c r="E228" i="37"/>
  <c r="G228" i="37" s="1"/>
  <c r="I228" i="37" s="1"/>
  <c r="F234" i="34" s="1"/>
  <c r="F228" i="12" s="1"/>
  <c r="E44" i="37"/>
  <c r="G44" i="37" s="1"/>
  <c r="I44" i="37" s="1"/>
  <c r="F50" i="34" s="1"/>
  <c r="F44" i="12" s="1"/>
  <c r="E264" i="37"/>
  <c r="G264" i="37" s="1"/>
  <c r="I264" i="37" s="1"/>
  <c r="F270" i="34" s="1"/>
  <c r="F264" i="12" s="1"/>
  <c r="E76" i="37"/>
  <c r="G76" i="37" s="1"/>
  <c r="I76" i="37" s="1"/>
  <c r="F82" i="34" s="1"/>
  <c r="F76" i="12" s="1"/>
  <c r="E87" i="37"/>
  <c r="G87" i="37" s="1"/>
  <c r="I87" i="37" s="1"/>
  <c r="F93" i="34" s="1"/>
  <c r="F87" i="12" s="1"/>
  <c r="E79" i="37"/>
  <c r="G79" i="37" s="1"/>
  <c r="I79" i="37" s="1"/>
  <c r="F85" i="34" s="1"/>
  <c r="F79" i="12" s="1"/>
  <c r="E150" i="37"/>
  <c r="G150" i="37" s="1"/>
  <c r="I150" i="37" s="1"/>
  <c r="F156" i="34" s="1"/>
  <c r="F150" i="12" s="1"/>
  <c r="E40" i="37"/>
  <c r="G40" i="37" s="1"/>
  <c r="I40" i="37" s="1"/>
  <c r="F46" i="34" s="1"/>
  <c r="F40" i="12" s="1"/>
  <c r="E236" i="37"/>
  <c r="G236" i="37" s="1"/>
  <c r="I236" i="37" s="1"/>
  <c r="F242" i="34" s="1"/>
  <c r="F236" i="12" s="1"/>
  <c r="E198" i="37"/>
  <c r="G198" i="37" s="1"/>
  <c r="I198" i="37" s="1"/>
  <c r="F204" i="34" s="1"/>
  <c r="F198" i="12" s="1"/>
  <c r="E92" i="37"/>
  <c r="G92" i="37" s="1"/>
  <c r="I92" i="37" s="1"/>
  <c r="F98" i="34" s="1"/>
  <c r="F92" i="12" s="1"/>
  <c r="E146" i="37"/>
  <c r="G146" i="37" s="1"/>
  <c r="I146" i="37" s="1"/>
  <c r="F152" i="34" s="1"/>
  <c r="F146" i="12" s="1"/>
  <c r="E244" i="37"/>
  <c r="G244" i="37" s="1"/>
  <c r="I244" i="37" s="1"/>
  <c r="F250" i="34" s="1"/>
  <c r="F244" i="12" s="1"/>
  <c r="E284" i="37"/>
  <c r="G284" i="37" s="1"/>
  <c r="I284" i="37" s="1"/>
  <c r="F290" i="34" s="1"/>
  <c r="F284" i="12" s="1"/>
  <c r="E182" i="37"/>
  <c r="G182" i="37" s="1"/>
  <c r="I182" i="37" s="1"/>
  <c r="F188" i="34" s="1"/>
  <c r="F182" i="12" s="1"/>
  <c r="E71" i="37"/>
  <c r="G71" i="37" s="1"/>
  <c r="I71" i="37" s="1"/>
  <c r="F77" i="34" s="1"/>
  <c r="F71" i="12" s="1"/>
  <c r="E222" i="37"/>
  <c r="G222" i="37" s="1"/>
  <c r="I222" i="37" s="1"/>
  <c r="F228" i="34" s="1"/>
  <c r="F222" i="12" s="1"/>
  <c r="E114" i="37"/>
  <c r="G114" i="37" s="1"/>
  <c r="I114" i="37" s="1"/>
  <c r="F120" i="34" s="1"/>
  <c r="F114" i="12" s="1"/>
  <c r="E214" i="37"/>
  <c r="G214" i="37" s="1"/>
  <c r="I214" i="37" s="1"/>
  <c r="F220" i="34" s="1"/>
  <c r="F214" i="12" s="1"/>
  <c r="E28" i="37"/>
  <c r="G28" i="37" s="1"/>
  <c r="I28" i="37" s="1"/>
  <c r="F34" i="34" s="1"/>
  <c r="F28" i="12" s="1"/>
  <c r="E278" i="37"/>
  <c r="G278" i="37" s="1"/>
  <c r="I278" i="37" s="1"/>
  <c r="F284" i="34" s="1"/>
  <c r="F278" i="12" s="1"/>
  <c r="E20" i="37"/>
  <c r="G20" i="37" s="1"/>
  <c r="I20" i="37" s="1"/>
  <c r="F26" i="34" s="1"/>
  <c r="F20" i="12" s="1"/>
  <c r="E56" i="37"/>
  <c r="G56" i="37" s="1"/>
  <c r="I56" i="37" s="1"/>
  <c r="F62" i="34" s="1"/>
  <c r="F56" i="12" s="1"/>
  <c r="E104" i="37"/>
  <c r="G104" i="37" s="1"/>
  <c r="I104" i="37" s="1"/>
  <c r="F110" i="34" s="1"/>
  <c r="F104" i="12" s="1"/>
  <c r="E170" i="37"/>
  <c r="G170" i="37" s="1"/>
  <c r="I170" i="37" s="1"/>
  <c r="F176" i="34" s="1"/>
  <c r="F170" i="12" s="1"/>
  <c r="E204" i="37"/>
  <c r="G204" i="37" s="1"/>
  <c r="I204" i="37" s="1"/>
  <c r="F210" i="34" s="1"/>
  <c r="F204" i="12" s="1"/>
  <c r="E280" i="37"/>
  <c r="G280" i="37" s="1"/>
  <c r="I280" i="37" s="1"/>
  <c r="F286" i="34" s="1"/>
  <c r="F280" i="12" s="1"/>
  <c r="E251" i="37"/>
  <c r="G251" i="37" s="1"/>
  <c r="I251" i="37" s="1"/>
  <c r="F257" i="34" s="1"/>
  <c r="F251" i="12" s="1"/>
  <c r="E242" i="37"/>
  <c r="G242" i="37" s="1"/>
  <c r="I242" i="37" s="1"/>
  <c r="F248" i="34" s="1"/>
  <c r="F242" i="12" s="1"/>
  <c r="G8" i="33"/>
  <c r="G18" i="33"/>
  <c r="G34" i="33"/>
  <c r="G26" i="33"/>
  <c r="G42" i="33"/>
  <c r="G68" i="33"/>
  <c r="G72" i="33"/>
  <c r="G92" i="33"/>
  <c r="G100" i="33"/>
  <c r="G108" i="33"/>
  <c r="G196" i="33"/>
  <c r="G169" i="33"/>
  <c r="G134" i="33"/>
  <c r="G163" i="33"/>
  <c r="G214" i="33"/>
  <c r="G208" i="33"/>
  <c r="G118" i="33"/>
  <c r="G297" i="33"/>
  <c r="G305" i="33"/>
  <c r="G222" i="33"/>
  <c r="G302" i="33"/>
  <c r="G269" i="33"/>
  <c r="G266" i="33"/>
  <c r="G252" i="33"/>
  <c r="G248" i="33"/>
  <c r="G236" i="33"/>
  <c r="G218" i="33"/>
  <c r="G185" i="33"/>
  <c r="G246" i="33"/>
  <c r="G301" i="33"/>
  <c r="G293" i="33"/>
  <c r="G272" i="33"/>
  <c r="G262" i="33"/>
  <c r="G128" i="33"/>
  <c r="G124" i="33"/>
  <c r="G291" i="33"/>
  <c r="G275" i="33"/>
  <c r="G259" i="33"/>
  <c r="G247" i="33"/>
  <c r="G239" i="33"/>
  <c r="G231" i="33"/>
  <c r="G223" i="33"/>
  <c r="G215" i="33"/>
  <c r="G206" i="33"/>
  <c r="G184" i="33"/>
  <c r="G171" i="33"/>
  <c r="G167" i="33"/>
  <c r="G154" i="33"/>
  <c r="G115" i="33"/>
  <c r="G99" i="33"/>
  <c r="G130" i="33"/>
  <c r="G104" i="33"/>
  <c r="G88" i="33"/>
  <c r="G74" i="33"/>
  <c r="G176" i="33"/>
  <c r="G148" i="33"/>
  <c r="G123" i="33"/>
  <c r="G121" i="33"/>
  <c r="G116" i="33"/>
  <c r="G102" i="33"/>
  <c r="G191" i="33"/>
  <c r="G175" i="33"/>
  <c r="G159" i="33"/>
  <c r="G150" i="33"/>
  <c r="G131" i="33"/>
  <c r="G97" i="33"/>
  <c r="G57" i="33"/>
  <c r="G59" i="33"/>
  <c r="G125" i="33"/>
  <c r="G117" i="33"/>
  <c r="G109" i="33"/>
  <c r="G101" i="33"/>
  <c r="G81" i="33"/>
  <c r="G76" i="33"/>
  <c r="G75" i="33"/>
  <c r="G290" i="33"/>
  <c r="G276" i="33"/>
  <c r="G268" i="33"/>
  <c r="G261" i="33"/>
  <c r="G258" i="33"/>
  <c r="G225" i="33"/>
  <c r="G295" i="33"/>
  <c r="G244" i="33"/>
  <c r="G233" i="33"/>
  <c r="G230" i="33"/>
  <c r="G289" i="33"/>
  <c r="G286" i="33"/>
  <c r="G265" i="33"/>
  <c r="G264" i="33"/>
  <c r="G254" i="33"/>
  <c r="G228" i="33"/>
  <c r="G177" i="33"/>
  <c r="G129" i="33"/>
  <c r="G210" i="33"/>
  <c r="G205" i="33"/>
  <c r="G165" i="33"/>
  <c r="G144" i="33"/>
  <c r="G140" i="33"/>
  <c r="G91" i="33"/>
  <c r="G211" i="33"/>
  <c r="G279" i="33"/>
  <c r="G263" i="33"/>
  <c r="G201" i="33"/>
  <c r="G195" i="33"/>
  <c r="G172" i="33"/>
  <c r="G157" i="33"/>
  <c r="G152" i="33"/>
  <c r="G149" i="33"/>
  <c r="G219" i="33"/>
  <c r="G198" i="33"/>
  <c r="G142" i="33"/>
  <c r="G113" i="33"/>
  <c r="G197" i="33"/>
  <c r="G164" i="33"/>
  <c r="G153" i="33"/>
  <c r="G139" i="33"/>
  <c r="G192" i="33"/>
  <c r="G132" i="33"/>
  <c r="G89" i="33"/>
  <c r="G61" i="33"/>
  <c r="G32" i="33"/>
  <c r="G143" i="33"/>
  <c r="G135" i="33"/>
  <c r="G106" i="33"/>
  <c r="G54" i="33"/>
  <c r="G49" i="33"/>
  <c r="G38" i="33"/>
  <c r="G66" i="33"/>
  <c r="G44" i="33"/>
  <c r="G84" i="33"/>
  <c r="G78" i="33"/>
  <c r="G48" i="33"/>
  <c r="G36" i="33"/>
  <c r="G46" i="33"/>
  <c r="G12" i="33"/>
  <c r="G43" i="33"/>
  <c r="G299" i="33"/>
  <c r="G224" i="33"/>
  <c r="G285" i="33"/>
  <c r="G284" i="33"/>
  <c r="G277" i="33"/>
  <c r="G274" i="33"/>
  <c r="G260" i="33"/>
  <c r="G237" i="33"/>
  <c r="G234" i="33"/>
  <c r="G303" i="33"/>
  <c r="G257" i="33"/>
  <c r="G245" i="33"/>
  <c r="G217" i="33"/>
  <c r="G186" i="33"/>
  <c r="G181" i="33"/>
  <c r="G283" i="33"/>
  <c r="G251" i="33"/>
  <c r="G235" i="33"/>
  <c r="G200" i="33"/>
  <c r="G179" i="33"/>
  <c r="G156" i="33"/>
  <c r="G120" i="33"/>
  <c r="G160" i="33"/>
  <c r="G122" i="33"/>
  <c r="G69" i="33"/>
  <c r="G93" i="33"/>
  <c r="G70" i="33"/>
  <c r="G53" i="33"/>
  <c r="G22" i="33"/>
  <c r="G77" i="33"/>
  <c r="G73" i="33"/>
  <c r="G27" i="33"/>
  <c r="G39" i="33"/>
  <c r="G23" i="33"/>
  <c r="G17" i="33"/>
  <c r="G15" i="33"/>
  <c r="G288" i="33"/>
  <c r="G110" i="33"/>
  <c r="G213" i="33"/>
  <c r="G138" i="33"/>
  <c r="G60" i="33"/>
  <c r="G242" i="33"/>
  <c r="G250" i="33"/>
  <c r="G240" i="33"/>
  <c r="G168" i="33"/>
  <c r="G189" i="33"/>
  <c r="G180" i="33"/>
  <c r="G151" i="33"/>
  <c r="G209" i="33"/>
  <c r="G202" i="33"/>
  <c r="G127" i="33"/>
  <c r="G65" i="33"/>
  <c r="G62" i="33"/>
  <c r="G10" i="33"/>
  <c r="G40" i="33"/>
  <c r="G24" i="33"/>
  <c r="G33" i="33"/>
  <c r="G294" i="33"/>
  <c r="G282" i="33"/>
  <c r="G238" i="33"/>
  <c r="G249" i="33"/>
  <c r="G232" i="33"/>
  <c r="G241" i="33"/>
  <c r="G281" i="33"/>
  <c r="G280" i="33"/>
  <c r="G273" i="33"/>
  <c r="G270" i="33"/>
  <c r="G256" i="33"/>
  <c r="G212" i="33"/>
  <c r="G173" i="33"/>
  <c r="G112" i="33"/>
  <c r="G271" i="33"/>
  <c r="G203" i="33"/>
  <c r="G187" i="33"/>
  <c r="G133" i="33"/>
  <c r="G126" i="33"/>
  <c r="G216" i="33"/>
  <c r="G136" i="33"/>
  <c r="G80" i="33"/>
  <c r="G96" i="33"/>
  <c r="G141" i="33"/>
  <c r="G94" i="33"/>
  <c r="G162" i="33"/>
  <c r="G71" i="33"/>
  <c r="G58" i="33"/>
  <c r="G82" i="33"/>
  <c r="G63" i="33"/>
  <c r="G28" i="33"/>
  <c r="G19" i="33"/>
  <c r="G41" i="33"/>
  <c r="G25" i="33"/>
  <c r="G292" i="33"/>
  <c r="G253" i="33"/>
  <c r="G220" i="33"/>
  <c r="G278" i="33"/>
  <c r="G267" i="33"/>
  <c r="G243" i="33"/>
  <c r="G227" i="33"/>
  <c r="G183" i="33"/>
  <c r="G170" i="33"/>
  <c r="G178" i="33"/>
  <c r="G147" i="33"/>
  <c r="G105" i="33"/>
  <c r="G64" i="33"/>
  <c r="G90" i="33"/>
  <c r="G16" i="33"/>
  <c r="G50" i="33"/>
  <c r="G52" i="33"/>
  <c r="G35" i="33"/>
  <c r="G31" i="33"/>
  <c r="G9" i="33"/>
  <c r="G221" i="33"/>
  <c r="G298" i="33"/>
  <c r="G229" i="33"/>
  <c r="G226" i="33"/>
  <c r="G155" i="33"/>
  <c r="G188" i="33"/>
  <c r="G107" i="33"/>
  <c r="G287" i="33"/>
  <c r="G255" i="33"/>
  <c r="G204" i="33"/>
  <c r="G146" i="33"/>
  <c r="G114" i="33"/>
  <c r="G194" i="33"/>
  <c r="G51" i="33"/>
  <c r="G98" i="33"/>
  <c r="G85" i="33"/>
  <c r="G55" i="33"/>
  <c r="G20" i="33"/>
  <c r="G30" i="33"/>
  <c r="G14" i="33"/>
  <c r="G45" i="33"/>
  <c r="G13" i="33"/>
  <c r="G86" i="33"/>
  <c r="G137" i="33"/>
  <c r="G21" i="33"/>
  <c r="G145" i="33"/>
  <c r="G29" i="33"/>
  <c r="G193" i="33"/>
  <c r="G67" i="33"/>
  <c r="G182" i="33"/>
  <c r="G300" i="33"/>
  <c r="G174" i="33"/>
  <c r="G207" i="33"/>
  <c r="G37" i="33"/>
  <c r="G87" i="33"/>
  <c r="G199" i="33"/>
  <c r="G83" i="33"/>
  <c r="G7" i="33"/>
  <c r="G103" i="33"/>
  <c r="G79" i="33"/>
  <c r="G95" i="33"/>
  <c r="G166" i="33"/>
  <c r="G296" i="33"/>
  <c r="G161" i="33"/>
  <c r="G47" i="33"/>
  <c r="G158" i="33"/>
  <c r="G304" i="33"/>
  <c r="G190" i="33"/>
  <c r="G11" i="33"/>
  <c r="G119" i="33"/>
  <c r="G111" i="33"/>
  <c r="G56" i="33"/>
  <c r="I9" i="33"/>
  <c r="I49" i="33"/>
  <c r="I46" i="33"/>
  <c r="I24" i="33"/>
  <c r="I40" i="33"/>
  <c r="I50" i="33"/>
  <c r="I66" i="33"/>
  <c r="I82" i="33"/>
  <c r="I89" i="33"/>
  <c r="I93" i="33"/>
  <c r="I97" i="33"/>
  <c r="I101" i="33"/>
  <c r="I105" i="33"/>
  <c r="I70" i="33"/>
  <c r="I150" i="33"/>
  <c r="I159" i="33"/>
  <c r="I175" i="33"/>
  <c r="I191" i="33"/>
  <c r="I90" i="33"/>
  <c r="I243" i="33"/>
  <c r="I255" i="33"/>
  <c r="I287" i="33"/>
  <c r="I98" i="33"/>
  <c r="I202" i="33"/>
  <c r="I106" i="33"/>
  <c r="I116" i="33"/>
  <c r="I132" i="33"/>
  <c r="I148" i="33"/>
  <c r="I167" i="33"/>
  <c r="I254" i="33"/>
  <c r="I258" i="33"/>
  <c r="I262" i="33"/>
  <c r="I266" i="33"/>
  <c r="I270" i="33"/>
  <c r="I274" i="33"/>
  <c r="I278" i="33"/>
  <c r="I282" i="33"/>
  <c r="I286" i="33"/>
  <c r="I290" i="33"/>
  <c r="I294" i="33"/>
  <c r="I298" i="33"/>
  <c r="I302" i="33"/>
  <c r="I152" i="33"/>
  <c r="I183" i="33"/>
  <c r="I210" i="33"/>
  <c r="I223" i="33"/>
  <c r="I251" i="33"/>
  <c r="I275" i="33"/>
  <c r="I295" i="33"/>
  <c r="I303" i="33"/>
  <c r="I242" i="33"/>
  <c r="I293" i="33"/>
  <c r="I285" i="33"/>
  <c r="I284" i="33"/>
  <c r="I277" i="33"/>
  <c r="I252" i="33"/>
  <c r="I248" i="33"/>
  <c r="I237" i="33"/>
  <c r="I230" i="33"/>
  <c r="I281" i="33"/>
  <c r="I280" i="33"/>
  <c r="I273" i="33"/>
  <c r="I257" i="33"/>
  <c r="I240" i="33"/>
  <c r="I229" i="33"/>
  <c r="I291" i="33"/>
  <c r="I259" i="33"/>
  <c r="I227" i="33"/>
  <c r="I217" i="33"/>
  <c r="I155" i="33"/>
  <c r="I205" i="33"/>
  <c r="I173" i="33"/>
  <c r="I107" i="33"/>
  <c r="I211" i="33"/>
  <c r="I181" i="33"/>
  <c r="I153" i="33"/>
  <c r="I213" i="33"/>
  <c r="I203" i="33"/>
  <c r="I201" i="33"/>
  <c r="I187" i="33"/>
  <c r="I185" i="33"/>
  <c r="I177" i="33"/>
  <c r="I172" i="33"/>
  <c r="I163" i="33"/>
  <c r="I219" i="33"/>
  <c r="I126" i="33"/>
  <c r="I198" i="33"/>
  <c r="I197" i="33"/>
  <c r="I184" i="33"/>
  <c r="I154" i="33"/>
  <c r="I120" i="33"/>
  <c r="I80" i="33"/>
  <c r="I139" i="33"/>
  <c r="I194" i="33"/>
  <c r="I144" i="33"/>
  <c r="I141" i="33"/>
  <c r="I112" i="33"/>
  <c r="I138" i="33"/>
  <c r="I122" i="33"/>
  <c r="I64" i="33"/>
  <c r="I143" i="33"/>
  <c r="I135" i="33"/>
  <c r="I85" i="33"/>
  <c r="I16" i="33"/>
  <c r="I108" i="33"/>
  <c r="I92" i="33"/>
  <c r="I71" i="33"/>
  <c r="I22" i="33"/>
  <c r="I72" i="33"/>
  <c r="I276" i="33"/>
  <c r="I269" i="33"/>
  <c r="I253" i="33"/>
  <c r="I236" i="33"/>
  <c r="I218" i="33"/>
  <c r="I238" i="33"/>
  <c r="I305" i="33"/>
  <c r="I297" i="33"/>
  <c r="I272" i="33"/>
  <c r="I228" i="33"/>
  <c r="I283" i="33"/>
  <c r="I247" i="33"/>
  <c r="I204" i="33"/>
  <c r="I195" i="33"/>
  <c r="I188" i="33"/>
  <c r="I179" i="33"/>
  <c r="I124" i="33"/>
  <c r="I189" i="33"/>
  <c r="I151" i="33"/>
  <c r="I149" i="33"/>
  <c r="I133" i="33"/>
  <c r="I279" i="33"/>
  <c r="I214" i="33"/>
  <c r="I208" i="33"/>
  <c r="I171" i="33"/>
  <c r="I169" i="33"/>
  <c r="I156" i="33"/>
  <c r="I136" i="33"/>
  <c r="I99" i="33"/>
  <c r="I130" i="33"/>
  <c r="I104" i="33"/>
  <c r="I88" i="33"/>
  <c r="I128" i="33"/>
  <c r="I94" i="33"/>
  <c r="I134" i="33"/>
  <c r="I118" i="33"/>
  <c r="I78" i="33"/>
  <c r="I57" i="33"/>
  <c r="I127" i="33"/>
  <c r="I76" i="33"/>
  <c r="I65" i="33"/>
  <c r="I77" i="33"/>
  <c r="I63" i="33"/>
  <c r="I55" i="33"/>
  <c r="I75" i="33"/>
  <c r="I73" i="33"/>
  <c r="I52" i="33"/>
  <c r="I30" i="33"/>
  <c r="I19" i="33"/>
  <c r="I41" i="33"/>
  <c r="I33" i="33"/>
  <c r="I25" i="33"/>
  <c r="I164" i="33"/>
  <c r="I292" i="33"/>
  <c r="I249" i="33"/>
  <c r="I246" i="33"/>
  <c r="I232" i="33"/>
  <c r="I241" i="33"/>
  <c r="I264" i="33"/>
  <c r="I226" i="33"/>
  <c r="I212" i="33"/>
  <c r="I267" i="33"/>
  <c r="I165" i="33"/>
  <c r="I140" i="33"/>
  <c r="I91" i="33"/>
  <c r="I216" i="33"/>
  <c r="I196" i="33"/>
  <c r="I170" i="33"/>
  <c r="I271" i="33"/>
  <c r="I209" i="33"/>
  <c r="I146" i="33"/>
  <c r="I114" i="33"/>
  <c r="I96" i="33"/>
  <c r="I74" i="33"/>
  <c r="I102" i="33"/>
  <c r="I192" i="33"/>
  <c r="I131" i="33"/>
  <c r="I84" i="33"/>
  <c r="I68" i="33"/>
  <c r="I20" i="33"/>
  <c r="I10" i="33"/>
  <c r="I14" i="33"/>
  <c r="I43" i="33"/>
  <c r="I42" i="33"/>
  <c r="I26" i="33"/>
  <c r="I8" i="33"/>
  <c r="I224" i="33"/>
  <c r="I225" i="33"/>
  <c r="I299" i="33"/>
  <c r="I206" i="33"/>
  <c r="I186" i="33"/>
  <c r="I142" i="33"/>
  <c r="I160" i="33"/>
  <c r="I51" i="33"/>
  <c r="I53" i="33"/>
  <c r="I28" i="33"/>
  <c r="I17" i="33"/>
  <c r="I222" i="33"/>
  <c r="I268" i="33"/>
  <c r="I256" i="33"/>
  <c r="I235" i="33"/>
  <c r="I110" i="33"/>
  <c r="I176" i="33"/>
  <c r="I59" i="33"/>
  <c r="I44" i="33"/>
  <c r="I48" i="33"/>
  <c r="I27" i="33"/>
  <c r="I23" i="33"/>
  <c r="I15" i="33"/>
  <c r="I234" i="33"/>
  <c r="I220" i="33"/>
  <c r="I221" i="33"/>
  <c r="I244" i="33"/>
  <c r="I233" i="33"/>
  <c r="I288" i="33"/>
  <c r="I263" i="33"/>
  <c r="I168" i="33"/>
  <c r="I129" i="33"/>
  <c r="I215" i="33"/>
  <c r="I231" i="33"/>
  <c r="I115" i="33"/>
  <c r="I121" i="33"/>
  <c r="I147" i="33"/>
  <c r="I69" i="33"/>
  <c r="I61" i="33"/>
  <c r="I125" i="33"/>
  <c r="I109" i="33"/>
  <c r="I100" i="33"/>
  <c r="I81" i="33"/>
  <c r="I38" i="33"/>
  <c r="I62" i="33"/>
  <c r="I35" i="33"/>
  <c r="I31" i="33"/>
  <c r="I301" i="33"/>
  <c r="I260" i="33"/>
  <c r="I250" i="33"/>
  <c r="I289" i="33"/>
  <c r="I265" i="33"/>
  <c r="I239" i="33"/>
  <c r="I200" i="33"/>
  <c r="I178" i="33"/>
  <c r="I123" i="33"/>
  <c r="I12" i="33"/>
  <c r="I34" i="33"/>
  <c r="I261" i="33"/>
  <c r="I245" i="33"/>
  <c r="I180" i="33"/>
  <c r="I157" i="33"/>
  <c r="I113" i="33"/>
  <c r="I162" i="33"/>
  <c r="I32" i="33"/>
  <c r="I54" i="33"/>
  <c r="I117" i="33"/>
  <c r="I58" i="33"/>
  <c r="I60" i="33"/>
  <c r="I36" i="33"/>
  <c r="I39" i="33"/>
  <c r="I18" i="33"/>
  <c r="I87" i="33"/>
  <c r="I199" i="33"/>
  <c r="I83" i="33"/>
  <c r="I7" i="33"/>
  <c r="I37" i="33"/>
  <c r="I103" i="33"/>
  <c r="I79" i="33"/>
  <c r="I95" i="33"/>
  <c r="I182" i="33"/>
  <c r="I296" i="33"/>
  <c r="I161" i="33"/>
  <c r="I158" i="33"/>
  <c r="I119" i="33"/>
  <c r="I137" i="33"/>
  <c r="I145" i="33"/>
  <c r="I56" i="33"/>
  <c r="I300" i="33"/>
  <c r="I174" i="33"/>
  <c r="I207" i="33"/>
  <c r="I45" i="33"/>
  <c r="I86" i="33"/>
  <c r="I47" i="33"/>
  <c r="I11" i="33"/>
  <c r="I13" i="33"/>
  <c r="I304" i="33"/>
  <c r="I190" i="33"/>
  <c r="I21" i="33"/>
  <c r="I111" i="33"/>
  <c r="I29" i="33"/>
  <c r="I67" i="33"/>
  <c r="I166" i="33"/>
  <c r="I193" i="33"/>
  <c r="H15" i="33"/>
  <c r="H23" i="33"/>
  <c r="H31" i="33"/>
  <c r="H39" i="33"/>
  <c r="H25" i="33"/>
  <c r="H41" i="33"/>
  <c r="H17" i="33"/>
  <c r="H33" i="33"/>
  <c r="H60" i="33"/>
  <c r="H75" i="33"/>
  <c r="H85" i="33"/>
  <c r="H127" i="33"/>
  <c r="H143" i="33"/>
  <c r="H117" i="33"/>
  <c r="H162" i="33"/>
  <c r="H178" i="33"/>
  <c r="H194" i="33"/>
  <c r="H63" i="33"/>
  <c r="H135" i="33"/>
  <c r="H109" i="33"/>
  <c r="H125" i="33"/>
  <c r="H141" i="33"/>
  <c r="H192" i="33"/>
  <c r="H157" i="33"/>
  <c r="H170" i="33"/>
  <c r="H176" i="33"/>
  <c r="H203" i="33"/>
  <c r="H213" i="33"/>
  <c r="H154" i="33"/>
  <c r="H160" i="33"/>
  <c r="H299" i="33"/>
  <c r="H292" i="33"/>
  <c r="H269" i="33"/>
  <c r="H260" i="33"/>
  <c r="H238" i="33"/>
  <c r="H225" i="33"/>
  <c r="H232" i="33"/>
  <c r="H305" i="33"/>
  <c r="H297" i="33"/>
  <c r="H288" i="33"/>
  <c r="H265" i="33"/>
  <c r="H256" i="33"/>
  <c r="H211" i="33"/>
  <c r="H204" i="33"/>
  <c r="H195" i="33"/>
  <c r="H155" i="33"/>
  <c r="H129" i="33"/>
  <c r="H287" i="33"/>
  <c r="H271" i="33"/>
  <c r="H255" i="33"/>
  <c r="H239" i="33"/>
  <c r="H223" i="33"/>
  <c r="H188" i="33"/>
  <c r="H179" i="33"/>
  <c r="H110" i="33"/>
  <c r="H302" i="33"/>
  <c r="H286" i="33"/>
  <c r="H270" i="33"/>
  <c r="H254" i="33"/>
  <c r="H187" i="33"/>
  <c r="H113" i="33"/>
  <c r="H215" i="33"/>
  <c r="H208" i="33"/>
  <c r="H173" i="33"/>
  <c r="H169" i="33"/>
  <c r="H167" i="33"/>
  <c r="H156" i="33"/>
  <c r="H139" i="33"/>
  <c r="H104" i="33"/>
  <c r="H88" i="33"/>
  <c r="H134" i="33"/>
  <c r="H94" i="33"/>
  <c r="H57" i="33"/>
  <c r="H51" i="33"/>
  <c r="H98" i="33"/>
  <c r="H76" i="33"/>
  <c r="H70" i="33"/>
  <c r="H65" i="33"/>
  <c r="H38" i="33"/>
  <c r="H97" i="33"/>
  <c r="H82" i="33"/>
  <c r="H77" i="33"/>
  <c r="H55" i="33"/>
  <c r="H301" i="33"/>
  <c r="H284" i="33"/>
  <c r="H261" i="33"/>
  <c r="H252" i="33"/>
  <c r="H248" i="33"/>
  <c r="H234" i="33"/>
  <c r="H303" i="33"/>
  <c r="H233" i="33"/>
  <c r="H289" i="33"/>
  <c r="H280" i="33"/>
  <c r="H257" i="33"/>
  <c r="H240" i="33"/>
  <c r="H226" i="33"/>
  <c r="H216" i="33"/>
  <c r="H283" i="33"/>
  <c r="H267" i="33"/>
  <c r="H251" i="33"/>
  <c r="H235" i="33"/>
  <c r="H219" i="33"/>
  <c r="H124" i="33"/>
  <c r="H107" i="33"/>
  <c r="H298" i="33"/>
  <c r="H290" i="33"/>
  <c r="H274" i="33"/>
  <c r="H258" i="33"/>
  <c r="H217" i="33"/>
  <c r="H196" i="33"/>
  <c r="H209" i="33"/>
  <c r="H126" i="33"/>
  <c r="H202" i="33"/>
  <c r="H171" i="33"/>
  <c r="H164" i="33"/>
  <c r="H120" i="33"/>
  <c r="H191" i="33"/>
  <c r="H159" i="33"/>
  <c r="H146" i="33"/>
  <c r="H114" i="33"/>
  <c r="H148" i="33"/>
  <c r="H144" i="33"/>
  <c r="H116" i="33"/>
  <c r="H112" i="33"/>
  <c r="H150" i="33"/>
  <c r="H69" i="33"/>
  <c r="H32" i="33"/>
  <c r="H90" i="33"/>
  <c r="H59" i="33"/>
  <c r="H54" i="33"/>
  <c r="H100" i="33"/>
  <c r="H71" i="33"/>
  <c r="H58" i="33"/>
  <c r="H53" i="33"/>
  <c r="H93" i="33"/>
  <c r="H62" i="33"/>
  <c r="H48" i="33"/>
  <c r="H50" i="33"/>
  <c r="H10" i="33"/>
  <c r="H42" i="33"/>
  <c r="H49" i="33"/>
  <c r="H43" i="33"/>
  <c r="H35" i="33"/>
  <c r="H27" i="33"/>
  <c r="H218" i="33"/>
  <c r="H221" i="33"/>
  <c r="H295" i="33"/>
  <c r="H244" i="33"/>
  <c r="H230" i="33"/>
  <c r="H281" i="33"/>
  <c r="H272" i="33"/>
  <c r="H228" i="33"/>
  <c r="H168" i="33"/>
  <c r="H279" i="33"/>
  <c r="H247" i="33"/>
  <c r="H205" i="33"/>
  <c r="H294" i="33"/>
  <c r="H262" i="33"/>
  <c r="H183" i="33"/>
  <c r="H149" i="33"/>
  <c r="H130" i="33"/>
  <c r="H123" i="33"/>
  <c r="H118" i="33"/>
  <c r="H64" i="33"/>
  <c r="H16" i="33"/>
  <c r="H81" i="33"/>
  <c r="H36" i="33"/>
  <c r="H40" i="33"/>
  <c r="H24" i="33"/>
  <c r="H18" i="33"/>
  <c r="H245" i="33"/>
  <c r="H177" i="33"/>
  <c r="H263" i="33"/>
  <c r="H214" i="33"/>
  <c r="H278" i="33"/>
  <c r="H121" i="33"/>
  <c r="H101" i="33"/>
  <c r="H30" i="33"/>
  <c r="H14" i="33"/>
  <c r="H285" i="33"/>
  <c r="H246" i="33"/>
  <c r="H273" i="33"/>
  <c r="H291" i="33"/>
  <c r="H227" i="33"/>
  <c r="H165" i="33"/>
  <c r="H266" i="33"/>
  <c r="H201" i="33"/>
  <c r="H163" i="33"/>
  <c r="H184" i="33"/>
  <c r="H80" i="33"/>
  <c r="H96" i="33"/>
  <c r="H74" i="33"/>
  <c r="H102" i="33"/>
  <c r="H147" i="33"/>
  <c r="H89" i="33"/>
  <c r="H66" i="33"/>
  <c r="H12" i="33"/>
  <c r="H242" i="33"/>
  <c r="H276" i="33"/>
  <c r="H253" i="33"/>
  <c r="H250" i="33"/>
  <c r="H229" i="33"/>
  <c r="H275" i="33"/>
  <c r="H243" i="33"/>
  <c r="H210" i="33"/>
  <c r="H200" i="33"/>
  <c r="H181" i="33"/>
  <c r="H282" i="33"/>
  <c r="H180" i="33"/>
  <c r="H151" i="33"/>
  <c r="H142" i="33"/>
  <c r="H186" i="33"/>
  <c r="H132" i="33"/>
  <c r="H138" i="33"/>
  <c r="H92" i="33"/>
  <c r="H105" i="33"/>
  <c r="H78" i="33"/>
  <c r="H20" i="33"/>
  <c r="H34" i="33"/>
  <c r="H222" i="33"/>
  <c r="H293" i="33"/>
  <c r="H277" i="33"/>
  <c r="H268" i="33"/>
  <c r="H237" i="33"/>
  <c r="H212" i="33"/>
  <c r="H231" i="33"/>
  <c r="H140" i="33"/>
  <c r="H206" i="33"/>
  <c r="H152" i="33"/>
  <c r="H136" i="33"/>
  <c r="H99" i="33"/>
  <c r="H131" i="33"/>
  <c r="H106" i="33"/>
  <c r="H108" i="33"/>
  <c r="H84" i="33"/>
  <c r="H44" i="33"/>
  <c r="H73" i="33"/>
  <c r="H52" i="33"/>
  <c r="H46" i="33"/>
  <c r="H19" i="33"/>
  <c r="H224" i="33"/>
  <c r="H236" i="33"/>
  <c r="H220" i="33"/>
  <c r="H249" i="33"/>
  <c r="H241" i="33"/>
  <c r="H264" i="33"/>
  <c r="H259" i="33"/>
  <c r="H91" i="33"/>
  <c r="H153" i="33"/>
  <c r="H189" i="33"/>
  <c r="H185" i="33"/>
  <c r="H172" i="33"/>
  <c r="H133" i="33"/>
  <c r="H198" i="33"/>
  <c r="H197" i="33"/>
  <c r="H115" i="33"/>
  <c r="H175" i="33"/>
  <c r="H128" i="33"/>
  <c r="H122" i="33"/>
  <c r="H61" i="33"/>
  <c r="H22" i="33"/>
  <c r="H72" i="33"/>
  <c r="H68" i="33"/>
  <c r="H28" i="33"/>
  <c r="H26" i="33"/>
  <c r="H8" i="33"/>
  <c r="H9" i="33"/>
  <c r="H13" i="33"/>
  <c r="H21" i="33"/>
  <c r="H29" i="33"/>
  <c r="H161" i="33"/>
  <c r="H79" i="33"/>
  <c r="H95" i="33"/>
  <c r="H296" i="33"/>
  <c r="H45" i="33"/>
  <c r="H86" i="33"/>
  <c r="H111" i="33"/>
  <c r="H193" i="33"/>
  <c r="H174" i="33"/>
  <c r="H47" i="33"/>
  <c r="H304" i="33"/>
  <c r="H119" i="33"/>
  <c r="H56" i="33"/>
  <c r="H67" i="33"/>
  <c r="H207" i="33"/>
  <c r="H87" i="33"/>
  <c r="H11" i="33"/>
  <c r="H199" i="33"/>
  <c r="H83" i="33"/>
  <c r="H7" i="33"/>
  <c r="H103" i="33"/>
  <c r="H182" i="33"/>
  <c r="H158" i="33"/>
  <c r="H190" i="33"/>
  <c r="H37" i="33"/>
  <c r="H137" i="33"/>
  <c r="H145" i="33"/>
  <c r="H166" i="33"/>
  <c r="H300" i="33"/>
  <c r="K8" i="33"/>
  <c r="K14" i="33"/>
  <c r="K30" i="33"/>
  <c r="K72" i="33"/>
  <c r="K55" i="33"/>
  <c r="K84" i="33"/>
  <c r="K68" i="33"/>
  <c r="K122" i="33"/>
  <c r="K138" i="33"/>
  <c r="K92" i="33"/>
  <c r="K100" i="33"/>
  <c r="K108" i="33"/>
  <c r="K159" i="33"/>
  <c r="K194" i="33"/>
  <c r="K165" i="33"/>
  <c r="K208" i="33"/>
  <c r="K114" i="33"/>
  <c r="K130" i="33"/>
  <c r="K146" i="33"/>
  <c r="K175" i="33"/>
  <c r="K200" i="33"/>
  <c r="K214" i="33"/>
  <c r="K178" i="33"/>
  <c r="K162" i="33"/>
  <c r="K191" i="33"/>
  <c r="K297" i="33"/>
  <c r="K305" i="33"/>
  <c r="K242" i="33"/>
  <c r="K292" i="33"/>
  <c r="K284" i="33"/>
  <c r="K277" i="33"/>
  <c r="K260" i="33"/>
  <c r="K253" i="33"/>
  <c r="K237" i="33"/>
  <c r="K234" i="33"/>
  <c r="K303" i="33"/>
  <c r="K293" i="33"/>
  <c r="K280" i="33"/>
  <c r="K273" i="33"/>
  <c r="K256" i="33"/>
  <c r="K240" i="33"/>
  <c r="K229" i="33"/>
  <c r="K226" i="33"/>
  <c r="K195" i="33"/>
  <c r="K177" i="33"/>
  <c r="K168" i="33"/>
  <c r="K179" i="33"/>
  <c r="K107" i="33"/>
  <c r="K279" i="33"/>
  <c r="K263" i="33"/>
  <c r="K203" i="33"/>
  <c r="K180" i="33"/>
  <c r="K157" i="33"/>
  <c r="K152" i="33"/>
  <c r="K151" i="33"/>
  <c r="K149" i="33"/>
  <c r="K133" i="33"/>
  <c r="K209" i="33"/>
  <c r="K142" i="33"/>
  <c r="K298" i="33"/>
  <c r="K202" i="33"/>
  <c r="K80" i="33"/>
  <c r="K160" i="33"/>
  <c r="K118" i="33"/>
  <c r="K147" i="33"/>
  <c r="K69" i="33"/>
  <c r="K64" i="33"/>
  <c r="K61" i="33"/>
  <c r="K32" i="33"/>
  <c r="K90" i="33"/>
  <c r="K71" i="33"/>
  <c r="K53" i="33"/>
  <c r="K63" i="33"/>
  <c r="K44" i="33"/>
  <c r="K105" i="33"/>
  <c r="K89" i="33"/>
  <c r="K222" i="33"/>
  <c r="K269" i="33"/>
  <c r="K252" i="33"/>
  <c r="K248" i="33"/>
  <c r="K236" i="33"/>
  <c r="K220" i="33"/>
  <c r="K221" i="33"/>
  <c r="K246" i="33"/>
  <c r="K272" i="33"/>
  <c r="K265" i="33"/>
  <c r="K212" i="33"/>
  <c r="K204" i="33"/>
  <c r="K173" i="33"/>
  <c r="K153" i="33"/>
  <c r="K110" i="33"/>
  <c r="K283" i="33"/>
  <c r="K267" i="33"/>
  <c r="K251" i="33"/>
  <c r="K243" i="33"/>
  <c r="K235" i="33"/>
  <c r="K227" i="33"/>
  <c r="K215" i="33"/>
  <c r="K206" i="33"/>
  <c r="K185" i="33"/>
  <c r="K183" i="33"/>
  <c r="K170" i="33"/>
  <c r="K294" i="33"/>
  <c r="K286" i="33"/>
  <c r="K278" i="33"/>
  <c r="K270" i="33"/>
  <c r="K262" i="33"/>
  <c r="K254" i="33"/>
  <c r="K196" i="33"/>
  <c r="K184" i="33"/>
  <c r="K181" i="33"/>
  <c r="K120" i="33"/>
  <c r="K115" i="33"/>
  <c r="K99" i="33"/>
  <c r="K104" i="33"/>
  <c r="K88" i="33"/>
  <c r="K74" i="33"/>
  <c r="K176" i="33"/>
  <c r="K144" i="33"/>
  <c r="K134" i="33"/>
  <c r="K123" i="33"/>
  <c r="K121" i="33"/>
  <c r="K112" i="33"/>
  <c r="K102" i="33"/>
  <c r="K148" i="33"/>
  <c r="K131" i="33"/>
  <c r="K125" i="33"/>
  <c r="K117" i="33"/>
  <c r="K109" i="33"/>
  <c r="K81" i="33"/>
  <c r="K22" i="33"/>
  <c r="K101" i="33"/>
  <c r="K75" i="33"/>
  <c r="K20" i="33"/>
  <c r="K24" i="33"/>
  <c r="K28" i="33"/>
  <c r="K35" i="33"/>
  <c r="K250" i="33"/>
  <c r="K289" i="33"/>
  <c r="K129" i="33"/>
  <c r="K210" i="33"/>
  <c r="K188" i="33"/>
  <c r="K124" i="33"/>
  <c r="K211" i="33"/>
  <c r="K271" i="33"/>
  <c r="K187" i="33"/>
  <c r="K126" i="33"/>
  <c r="K136" i="33"/>
  <c r="K150" i="33"/>
  <c r="K57" i="33"/>
  <c r="K51" i="33"/>
  <c r="K98" i="33"/>
  <c r="K85" i="33"/>
  <c r="K59" i="33"/>
  <c r="K127" i="33"/>
  <c r="K65" i="33"/>
  <c r="K97" i="33"/>
  <c r="K78" i="33"/>
  <c r="K62" i="33"/>
  <c r="K36" i="33"/>
  <c r="K26" i="33"/>
  <c r="K33" i="33"/>
  <c r="K9" i="33"/>
  <c r="K264" i="33"/>
  <c r="K189" i="33"/>
  <c r="K255" i="33"/>
  <c r="K201" i="33"/>
  <c r="K172" i="33"/>
  <c r="K219" i="33"/>
  <c r="K169" i="33"/>
  <c r="K94" i="33"/>
  <c r="K76" i="33"/>
  <c r="K41" i="33"/>
  <c r="K25" i="33"/>
  <c r="K276" i="33"/>
  <c r="K295" i="33"/>
  <c r="K233" i="33"/>
  <c r="K205" i="33"/>
  <c r="K186" i="33"/>
  <c r="K239" i="33"/>
  <c r="K213" i="33"/>
  <c r="K290" i="33"/>
  <c r="K258" i="33"/>
  <c r="K135" i="33"/>
  <c r="K50" i="33"/>
  <c r="K49" i="33"/>
  <c r="K299" i="33"/>
  <c r="K224" i="33"/>
  <c r="K268" i="33"/>
  <c r="K261" i="33"/>
  <c r="K218" i="33"/>
  <c r="K225" i="33"/>
  <c r="K301" i="33"/>
  <c r="K257" i="33"/>
  <c r="K245" i="33"/>
  <c r="K217" i="33"/>
  <c r="K216" i="33"/>
  <c r="K140" i="33"/>
  <c r="K291" i="33"/>
  <c r="K259" i="33"/>
  <c r="K247" i="33"/>
  <c r="K231" i="33"/>
  <c r="K163" i="33"/>
  <c r="K302" i="33"/>
  <c r="K282" i="33"/>
  <c r="K266" i="33"/>
  <c r="K167" i="33"/>
  <c r="K156" i="33"/>
  <c r="K154" i="33"/>
  <c r="K139" i="33"/>
  <c r="K192" i="33"/>
  <c r="K128" i="33"/>
  <c r="K116" i="33"/>
  <c r="K52" i="33"/>
  <c r="K143" i="33"/>
  <c r="K106" i="33"/>
  <c r="K54" i="33"/>
  <c r="K16" i="33"/>
  <c r="K70" i="33"/>
  <c r="K77" i="33"/>
  <c r="K93" i="33"/>
  <c r="K73" i="33"/>
  <c r="K60" i="33"/>
  <c r="K10" i="33"/>
  <c r="K46" i="33"/>
  <c r="K43" i="33"/>
  <c r="K27" i="33"/>
  <c r="K42" i="33"/>
  <c r="K18" i="33"/>
  <c r="K39" i="33"/>
  <c r="K23" i="33"/>
  <c r="K17" i="33"/>
  <c r="K15" i="33"/>
  <c r="K285" i="33"/>
  <c r="K238" i="33"/>
  <c r="K249" i="33"/>
  <c r="K232" i="33"/>
  <c r="K241" i="33"/>
  <c r="K228" i="33"/>
  <c r="K155" i="33"/>
  <c r="K91" i="33"/>
  <c r="K287" i="33"/>
  <c r="K198" i="33"/>
  <c r="K113" i="33"/>
  <c r="K197" i="33"/>
  <c r="K164" i="33"/>
  <c r="K96" i="33"/>
  <c r="K141" i="33"/>
  <c r="K58" i="33"/>
  <c r="K38" i="33"/>
  <c r="K82" i="33"/>
  <c r="K66" i="33"/>
  <c r="K48" i="33"/>
  <c r="K40" i="33"/>
  <c r="K19" i="33"/>
  <c r="K34" i="33"/>
  <c r="K244" i="33"/>
  <c r="K230" i="33"/>
  <c r="K288" i="33"/>
  <c r="K281" i="33"/>
  <c r="K275" i="33"/>
  <c r="K223" i="33"/>
  <c r="K274" i="33"/>
  <c r="K171" i="33"/>
  <c r="K132" i="33"/>
  <c r="K12" i="33"/>
  <c r="K31" i="33"/>
  <c r="K87" i="33"/>
  <c r="K11" i="33"/>
  <c r="K158" i="33"/>
  <c r="K199" i="33"/>
  <c r="K83" i="33"/>
  <c r="K7" i="33"/>
  <c r="K119" i="33"/>
  <c r="K190" i="33"/>
  <c r="K103" i="33"/>
  <c r="K111" i="33"/>
  <c r="K193" i="33"/>
  <c r="K79" i="33"/>
  <c r="K95" i="33"/>
  <c r="K182" i="33"/>
  <c r="K296" i="33"/>
  <c r="K174" i="33"/>
  <c r="K304" i="33"/>
  <c r="K67" i="33"/>
  <c r="K166" i="33"/>
  <c r="K300" i="33"/>
  <c r="K37" i="33"/>
  <c r="K45" i="33"/>
  <c r="K13" i="33"/>
  <c r="K86" i="33"/>
  <c r="K137" i="33"/>
  <c r="K21" i="33"/>
  <c r="K145" i="33"/>
  <c r="K29" i="33"/>
  <c r="K47" i="33"/>
  <c r="K56" i="33"/>
  <c r="K161" i="33"/>
  <c r="K207" i="33"/>
  <c r="J17" i="33"/>
  <c r="J25" i="33"/>
  <c r="J33" i="33"/>
  <c r="J41" i="33"/>
  <c r="J9" i="33"/>
  <c r="J15" i="33"/>
  <c r="J31" i="33"/>
  <c r="J49" i="33"/>
  <c r="J52" i="33"/>
  <c r="J23" i="33"/>
  <c r="J39" i="33"/>
  <c r="J73" i="33"/>
  <c r="J84" i="33"/>
  <c r="J89" i="33"/>
  <c r="J97" i="33"/>
  <c r="J105" i="33"/>
  <c r="J127" i="33"/>
  <c r="J135" i="33"/>
  <c r="J143" i="33"/>
  <c r="J58" i="33"/>
  <c r="J77" i="33"/>
  <c r="J93" i="33"/>
  <c r="J101" i="33"/>
  <c r="J109" i="33"/>
  <c r="J125" i="33"/>
  <c r="J131" i="33"/>
  <c r="J147" i="33"/>
  <c r="J160" i="33"/>
  <c r="J176" i="33"/>
  <c r="J192" i="33"/>
  <c r="J117" i="33"/>
  <c r="J150" i="33"/>
  <c r="J159" i="33"/>
  <c r="J175" i="33"/>
  <c r="J191" i="33"/>
  <c r="J211" i="33"/>
  <c r="J258" i="33"/>
  <c r="J274" i="33"/>
  <c r="J290" i="33"/>
  <c r="J171" i="33"/>
  <c r="J184" i="33"/>
  <c r="J215" i="33"/>
  <c r="J139" i="33"/>
  <c r="J201" i="33"/>
  <c r="J197" i="33"/>
  <c r="J123" i="33"/>
  <c r="J254" i="33"/>
  <c r="J262" i="33"/>
  <c r="J266" i="33"/>
  <c r="J270" i="33"/>
  <c r="J278" i="33"/>
  <c r="J282" i="33"/>
  <c r="J286" i="33"/>
  <c r="J294" i="33"/>
  <c r="J302" i="33"/>
  <c r="J298" i="33"/>
  <c r="J301" i="33"/>
  <c r="J276" i="33"/>
  <c r="J268" i="33"/>
  <c r="J261" i="33"/>
  <c r="J234" i="33"/>
  <c r="J220" i="33"/>
  <c r="J187" i="33"/>
  <c r="J295" i="33"/>
  <c r="J244" i="33"/>
  <c r="J233" i="33"/>
  <c r="J289" i="33"/>
  <c r="J265" i="33"/>
  <c r="J264" i="33"/>
  <c r="J228" i="33"/>
  <c r="J226" i="33"/>
  <c r="J212" i="33"/>
  <c r="J210" i="33"/>
  <c r="J186" i="33"/>
  <c r="J165" i="33"/>
  <c r="J140" i="33"/>
  <c r="J91" i="33"/>
  <c r="J189" i="33"/>
  <c r="J196" i="33"/>
  <c r="J151" i="33"/>
  <c r="J133" i="33"/>
  <c r="J198" i="33"/>
  <c r="J162" i="33"/>
  <c r="J126" i="33"/>
  <c r="J287" i="33"/>
  <c r="J279" i="33"/>
  <c r="J271" i="33"/>
  <c r="J263" i="33"/>
  <c r="J255" i="33"/>
  <c r="J243" i="33"/>
  <c r="J227" i="33"/>
  <c r="J205" i="33"/>
  <c r="J136" i="33"/>
  <c r="J115" i="33"/>
  <c r="J146" i="33"/>
  <c r="J114" i="33"/>
  <c r="J132" i="33"/>
  <c r="J128" i="33"/>
  <c r="J121" i="33"/>
  <c r="J69" i="33"/>
  <c r="J106" i="33"/>
  <c r="J59" i="33"/>
  <c r="J100" i="33"/>
  <c r="J53" i="33"/>
  <c r="J66" i="33"/>
  <c r="J78" i="33"/>
  <c r="J299" i="33"/>
  <c r="J224" i="33"/>
  <c r="J222" i="33"/>
  <c r="J250" i="33"/>
  <c r="J225" i="33"/>
  <c r="J249" i="33"/>
  <c r="J246" i="33"/>
  <c r="J232" i="33"/>
  <c r="J241" i="33"/>
  <c r="J288" i="33"/>
  <c r="J245" i="33"/>
  <c r="J209" i="33"/>
  <c r="J219" i="33"/>
  <c r="J129" i="33"/>
  <c r="J214" i="33"/>
  <c r="J200" i="33"/>
  <c r="J181" i="33"/>
  <c r="J180" i="33"/>
  <c r="J172" i="33"/>
  <c r="J163" i="33"/>
  <c r="J113" i="33"/>
  <c r="J239" i="33"/>
  <c r="J223" i="33"/>
  <c r="J167" i="33"/>
  <c r="J154" i="33"/>
  <c r="J96" i="33"/>
  <c r="J94" i="33"/>
  <c r="J138" i="33"/>
  <c r="J122" i="33"/>
  <c r="J57" i="33"/>
  <c r="J51" i="33"/>
  <c r="J98" i="33"/>
  <c r="J85" i="33"/>
  <c r="J16" i="33"/>
  <c r="J70" i="33"/>
  <c r="J22" i="33"/>
  <c r="J82" i="33"/>
  <c r="J68" i="33"/>
  <c r="J60" i="33"/>
  <c r="J40" i="33"/>
  <c r="J14" i="33"/>
  <c r="J18" i="33"/>
  <c r="J35" i="33"/>
  <c r="J19" i="33"/>
  <c r="J242" i="33"/>
  <c r="J253" i="33"/>
  <c r="J248" i="33"/>
  <c r="J238" i="33"/>
  <c r="J305" i="33"/>
  <c r="J280" i="33"/>
  <c r="J273" i="33"/>
  <c r="J256" i="33"/>
  <c r="J217" i="33"/>
  <c r="J173" i="33"/>
  <c r="J203" i="33"/>
  <c r="J142" i="33"/>
  <c r="J283" i="33"/>
  <c r="J267" i="33"/>
  <c r="J251" i="33"/>
  <c r="J80" i="33"/>
  <c r="J88" i="33"/>
  <c r="J144" i="33"/>
  <c r="J134" i="33"/>
  <c r="J112" i="33"/>
  <c r="J141" i="33"/>
  <c r="J71" i="33"/>
  <c r="J38" i="33"/>
  <c r="J72" i="33"/>
  <c r="J63" i="33"/>
  <c r="J46" i="33"/>
  <c r="J28" i="33"/>
  <c r="J34" i="33"/>
  <c r="J43" i="33"/>
  <c r="J229" i="33"/>
  <c r="J185" i="33"/>
  <c r="J157" i="33"/>
  <c r="J149" i="33"/>
  <c r="J291" i="33"/>
  <c r="J259" i="33"/>
  <c r="J213" i="33"/>
  <c r="J156" i="33"/>
  <c r="J74" i="33"/>
  <c r="J148" i="33"/>
  <c r="J92" i="33"/>
  <c r="J55" i="33"/>
  <c r="J65" i="33"/>
  <c r="J36" i="33"/>
  <c r="J10" i="33"/>
  <c r="J26" i="33"/>
  <c r="J8" i="33"/>
  <c r="J293" i="33"/>
  <c r="J284" i="33"/>
  <c r="J260" i="33"/>
  <c r="J237" i="33"/>
  <c r="J218" i="33"/>
  <c r="J124" i="33"/>
  <c r="J168" i="33"/>
  <c r="J155" i="33"/>
  <c r="J120" i="33"/>
  <c r="J130" i="33"/>
  <c r="J108" i="33"/>
  <c r="J75" i="33"/>
  <c r="J42" i="33"/>
  <c r="J292" i="33"/>
  <c r="J285" i="33"/>
  <c r="J230" i="33"/>
  <c r="J297" i="33"/>
  <c r="J204" i="33"/>
  <c r="J177" i="33"/>
  <c r="J188" i="33"/>
  <c r="J179" i="33"/>
  <c r="J110" i="33"/>
  <c r="J206" i="33"/>
  <c r="J183" i="33"/>
  <c r="J170" i="33"/>
  <c r="J152" i="33"/>
  <c r="J247" i="33"/>
  <c r="J208" i="33"/>
  <c r="J178" i="33"/>
  <c r="J169" i="33"/>
  <c r="J99" i="33"/>
  <c r="J64" i="33"/>
  <c r="J90" i="33"/>
  <c r="J44" i="33"/>
  <c r="J48" i="33"/>
  <c r="J50" i="33"/>
  <c r="J30" i="33"/>
  <c r="J12" i="33"/>
  <c r="J269" i="33"/>
  <c r="J252" i="33"/>
  <c r="J236" i="33"/>
  <c r="J221" i="33"/>
  <c r="J281" i="33"/>
  <c r="J257" i="33"/>
  <c r="J240" i="33"/>
  <c r="J195" i="33"/>
  <c r="J107" i="33"/>
  <c r="J153" i="33"/>
  <c r="J194" i="33"/>
  <c r="J275" i="33"/>
  <c r="J235" i="33"/>
  <c r="J202" i="33"/>
  <c r="J104" i="33"/>
  <c r="J116" i="33"/>
  <c r="J102" i="33"/>
  <c r="J61" i="33"/>
  <c r="J32" i="33"/>
  <c r="J54" i="33"/>
  <c r="J81" i="33"/>
  <c r="J62" i="33"/>
  <c r="J20" i="33"/>
  <c r="J24" i="33"/>
  <c r="J277" i="33"/>
  <c r="J303" i="33"/>
  <c r="J272" i="33"/>
  <c r="J216" i="33"/>
  <c r="J231" i="33"/>
  <c r="J164" i="33"/>
  <c r="J118" i="33"/>
  <c r="J76" i="33"/>
  <c r="J27" i="33"/>
  <c r="J47" i="33"/>
  <c r="J304" i="33"/>
  <c r="J137" i="33"/>
  <c r="J145" i="33"/>
  <c r="J56" i="33"/>
  <c r="J67" i="33"/>
  <c r="J166" i="33"/>
  <c r="J300" i="33"/>
  <c r="J207" i="33"/>
  <c r="J111" i="33"/>
  <c r="J29" i="33"/>
  <c r="J11" i="33"/>
  <c r="J199" i="33"/>
  <c r="J103" i="33"/>
  <c r="J79" i="33"/>
  <c r="J95" i="33"/>
  <c r="J193" i="33"/>
  <c r="J45" i="33"/>
  <c r="J13" i="33"/>
  <c r="J119" i="33"/>
  <c r="J21" i="33"/>
  <c r="J161" i="33"/>
  <c r="J87" i="33"/>
  <c r="J83" i="33"/>
  <c r="J7" i="33"/>
  <c r="J182" i="33"/>
  <c r="J296" i="33"/>
  <c r="J158" i="33"/>
  <c r="J86" i="33"/>
  <c r="J190" i="33"/>
  <c r="J37" i="33"/>
  <c r="J174" i="33"/>
  <c r="F59" i="48"/>
  <c r="L306" i="49"/>
  <c r="H5" i="25"/>
  <c r="H6" i="33"/>
  <c r="J6" i="33"/>
  <c r="K6" i="33"/>
  <c r="G6" i="33"/>
  <c r="L306" i="11"/>
  <c r="G306" i="11"/>
  <c r="E6" i="37"/>
  <c r="G6" i="37" s="1"/>
  <c r="I6" i="33"/>
  <c r="L292" i="33" l="1"/>
  <c r="M292" i="33" s="1"/>
  <c r="L271" i="33"/>
  <c r="M271" i="33" s="1"/>
  <c r="L15" i="33"/>
  <c r="M15" i="33" s="1"/>
  <c r="L284" i="33"/>
  <c r="M284" i="33" s="1"/>
  <c r="L48" i="33"/>
  <c r="M48" i="33" s="1"/>
  <c r="L177" i="33"/>
  <c r="M177" i="33" s="1"/>
  <c r="L233" i="33"/>
  <c r="M233" i="33" s="1"/>
  <c r="L154" i="33"/>
  <c r="M154" i="33" s="1"/>
  <c r="L169" i="33"/>
  <c r="M169" i="33" s="1"/>
  <c r="L26" i="33"/>
  <c r="M26" i="33" s="1"/>
  <c r="L11" i="33"/>
  <c r="M11" i="33" s="1"/>
  <c r="L95" i="33"/>
  <c r="M95" i="33" s="1"/>
  <c r="L194" i="33"/>
  <c r="M194" i="33" s="1"/>
  <c r="L113" i="33"/>
  <c r="M113" i="33" s="1"/>
  <c r="L272" i="33"/>
  <c r="M272" i="33" s="1"/>
  <c r="L222" i="33"/>
  <c r="M222" i="33" s="1"/>
  <c r="L92" i="33"/>
  <c r="M92" i="33" s="1"/>
  <c r="G98" i="9" s="1"/>
  <c r="L17" i="33"/>
  <c r="M17" i="33" s="1"/>
  <c r="L135" i="33"/>
  <c r="M135" i="33" s="1"/>
  <c r="L91" i="33"/>
  <c r="M91" i="33" s="1"/>
  <c r="L244" i="33"/>
  <c r="M244" i="33" s="1"/>
  <c r="L116" i="33"/>
  <c r="M116" i="33" s="1"/>
  <c r="L83" i="33"/>
  <c r="M83" i="33" s="1"/>
  <c r="L45" i="33"/>
  <c r="M45" i="33" s="1"/>
  <c r="L240" i="33"/>
  <c r="M240" i="33" s="1"/>
  <c r="L122" i="33"/>
  <c r="M122" i="33" s="1"/>
  <c r="L66" i="33"/>
  <c r="M66" i="33" s="1"/>
  <c r="L195" i="33"/>
  <c r="M195" i="33" s="1"/>
  <c r="L101" i="33"/>
  <c r="M101" i="33" s="1"/>
  <c r="G107" i="9" s="1"/>
  <c r="L102" i="33"/>
  <c r="M102" i="33" s="1"/>
  <c r="L148" i="33"/>
  <c r="M148" i="33" s="1"/>
  <c r="L47" i="33"/>
  <c r="M47" i="33" s="1"/>
  <c r="L207" i="33"/>
  <c r="M207" i="33" s="1"/>
  <c r="L21" i="33"/>
  <c r="M21" i="33" s="1"/>
  <c r="L55" i="33"/>
  <c r="M55" i="33" s="1"/>
  <c r="L71" i="33"/>
  <c r="M71" i="33" s="1"/>
  <c r="L126" i="33"/>
  <c r="M126" i="33" s="1"/>
  <c r="L281" i="33"/>
  <c r="M281" i="33" s="1"/>
  <c r="L65" i="33"/>
  <c r="M65" i="33" s="1"/>
  <c r="G71" i="9" s="1"/>
  <c r="L151" i="33"/>
  <c r="M151" i="33" s="1"/>
  <c r="L138" i="33"/>
  <c r="M138" i="33" s="1"/>
  <c r="L27" i="33"/>
  <c r="M27" i="33" s="1"/>
  <c r="L179" i="33"/>
  <c r="M179" i="33" s="1"/>
  <c r="L245" i="33"/>
  <c r="M245" i="33" s="1"/>
  <c r="G251" i="9" s="1"/>
  <c r="L237" i="33"/>
  <c r="M237" i="33" s="1"/>
  <c r="G243" i="9" s="1"/>
  <c r="L43" i="33"/>
  <c r="M43" i="33" s="1"/>
  <c r="L106" i="33"/>
  <c r="M106" i="33" s="1"/>
  <c r="G112" i="9" s="1"/>
  <c r="L61" i="33"/>
  <c r="M61" i="33" s="1"/>
  <c r="L139" i="33"/>
  <c r="M139" i="33" s="1"/>
  <c r="L211" i="33"/>
  <c r="M211" i="33" s="1"/>
  <c r="L165" i="33"/>
  <c r="M165" i="33" s="1"/>
  <c r="G171" i="9" s="1"/>
  <c r="L265" i="33"/>
  <c r="M265" i="33" s="1"/>
  <c r="L258" i="33"/>
  <c r="M258" i="33" s="1"/>
  <c r="L290" i="33"/>
  <c r="M290" i="33" s="1"/>
  <c r="L59" i="33"/>
  <c r="M59" i="33" s="1"/>
  <c r="G65" i="9" s="1"/>
  <c r="L150" i="33"/>
  <c r="M150" i="33" s="1"/>
  <c r="L104" i="33"/>
  <c r="M104" i="33" s="1"/>
  <c r="L206" i="33"/>
  <c r="M206" i="33" s="1"/>
  <c r="L239" i="33"/>
  <c r="M239" i="33" s="1"/>
  <c r="L291" i="33"/>
  <c r="M291" i="33" s="1"/>
  <c r="L185" i="33"/>
  <c r="M185" i="33" s="1"/>
  <c r="L252" i="33"/>
  <c r="M252" i="33" s="1"/>
  <c r="G258" i="9" s="1"/>
  <c r="L208" i="33"/>
  <c r="M208" i="33" s="1"/>
  <c r="G214" i="9" s="1"/>
  <c r="L67" i="33"/>
  <c r="M67" i="33" s="1"/>
  <c r="L221" i="33"/>
  <c r="M221" i="33" s="1"/>
  <c r="L64" i="33"/>
  <c r="M64" i="33" s="1"/>
  <c r="G70" i="9" s="1"/>
  <c r="L170" i="33"/>
  <c r="M170" i="33" s="1"/>
  <c r="G176" i="9" s="1"/>
  <c r="L28" i="33"/>
  <c r="M28" i="33" s="1"/>
  <c r="L96" i="33"/>
  <c r="M96" i="33" s="1"/>
  <c r="L256" i="33"/>
  <c r="M256" i="33" s="1"/>
  <c r="L238" i="33"/>
  <c r="M238" i="33" s="1"/>
  <c r="G244" i="9" s="1"/>
  <c r="L149" i="33"/>
  <c r="M149" i="33" s="1"/>
  <c r="L190" i="33"/>
  <c r="M190" i="33" s="1"/>
  <c r="L161" i="33"/>
  <c r="M161" i="33" s="1"/>
  <c r="L199" i="33"/>
  <c r="M199" i="33" s="1"/>
  <c r="L174" i="33"/>
  <c r="M174" i="33" s="1"/>
  <c r="L137" i="33"/>
  <c r="M137" i="33" s="1"/>
  <c r="L85" i="33"/>
  <c r="M85" i="33" s="1"/>
  <c r="L114" i="33"/>
  <c r="M114" i="33" s="1"/>
  <c r="G120" i="9" s="1"/>
  <c r="L226" i="33"/>
  <c r="M226" i="33" s="1"/>
  <c r="L50" i="33"/>
  <c r="M50" i="33" s="1"/>
  <c r="L183" i="33"/>
  <c r="M183" i="33" s="1"/>
  <c r="L278" i="33"/>
  <c r="M278" i="33" s="1"/>
  <c r="L63" i="33"/>
  <c r="M63" i="33" s="1"/>
  <c r="L80" i="33"/>
  <c r="M80" i="33" s="1"/>
  <c r="L133" i="33"/>
  <c r="M133" i="33" s="1"/>
  <c r="L270" i="33"/>
  <c r="M270" i="33" s="1"/>
  <c r="G276" i="9" s="1"/>
  <c r="L241" i="33"/>
  <c r="M241" i="33" s="1"/>
  <c r="L40" i="33"/>
  <c r="M40" i="33" s="1"/>
  <c r="G46" i="9" s="1"/>
  <c r="L180" i="33"/>
  <c r="M180" i="33" s="1"/>
  <c r="L250" i="33"/>
  <c r="M250" i="33" s="1"/>
  <c r="G256" i="9" s="1"/>
  <c r="L73" i="33"/>
  <c r="M73" i="33" s="1"/>
  <c r="L70" i="33"/>
  <c r="M70" i="33" s="1"/>
  <c r="L160" i="33"/>
  <c r="M160" i="33" s="1"/>
  <c r="L200" i="33"/>
  <c r="M200" i="33" s="1"/>
  <c r="G206" i="9" s="1"/>
  <c r="L181" i="33"/>
  <c r="M181" i="33" s="1"/>
  <c r="L257" i="33"/>
  <c r="M257" i="33" s="1"/>
  <c r="L260" i="33"/>
  <c r="M260" i="33" s="1"/>
  <c r="L285" i="33"/>
  <c r="M285" i="33" s="1"/>
  <c r="G291" i="9" s="1"/>
  <c r="L12" i="33"/>
  <c r="M12" i="33" s="1"/>
  <c r="L78" i="33"/>
  <c r="M78" i="33" s="1"/>
  <c r="L38" i="33"/>
  <c r="M38" i="33" s="1"/>
  <c r="L89" i="33"/>
  <c r="M89" i="33" s="1"/>
  <c r="L153" i="33"/>
  <c r="M153" i="33" s="1"/>
  <c r="L142" i="33"/>
  <c r="M142" i="33" s="1"/>
  <c r="L152" i="33"/>
  <c r="M152" i="33" s="1"/>
  <c r="L205" i="33"/>
  <c r="M205" i="33" s="1"/>
  <c r="G211" i="9" s="1"/>
  <c r="L228" i="33"/>
  <c r="M228" i="33" s="1"/>
  <c r="L286" i="33"/>
  <c r="M286" i="33" s="1"/>
  <c r="L261" i="33"/>
  <c r="M261" i="33" s="1"/>
  <c r="L75" i="33"/>
  <c r="M75" i="33" s="1"/>
  <c r="G81" i="9" s="1"/>
  <c r="L109" i="33"/>
  <c r="M109" i="33" s="1"/>
  <c r="L57" i="33"/>
  <c r="M57" i="33" s="1"/>
  <c r="L159" i="33"/>
  <c r="M159" i="33" s="1"/>
  <c r="L176" i="33"/>
  <c r="M176" i="33" s="1"/>
  <c r="G182" i="9" s="1"/>
  <c r="L130" i="33"/>
  <c r="M130" i="33" s="1"/>
  <c r="G136" i="9" s="1"/>
  <c r="L167" i="33"/>
  <c r="M167" i="33" s="1"/>
  <c r="L215" i="33"/>
  <c r="M215" i="33" s="1"/>
  <c r="L247" i="33"/>
  <c r="M247" i="33" s="1"/>
  <c r="G253" i="9" s="1"/>
  <c r="L124" i="33"/>
  <c r="M124" i="33" s="1"/>
  <c r="L293" i="33"/>
  <c r="M293" i="33" s="1"/>
  <c r="G299" i="9" s="1"/>
  <c r="L218" i="33"/>
  <c r="M218" i="33" s="1"/>
  <c r="L266" i="33"/>
  <c r="M266" i="33" s="1"/>
  <c r="G272" i="9" s="1"/>
  <c r="L305" i="33"/>
  <c r="M305" i="33" s="1"/>
  <c r="L214" i="33"/>
  <c r="M214" i="33" s="1"/>
  <c r="L196" i="33"/>
  <c r="M196" i="33" s="1"/>
  <c r="L72" i="33"/>
  <c r="M72" i="33" s="1"/>
  <c r="G78" i="9" s="1"/>
  <c r="L34" i="33"/>
  <c r="M34" i="33" s="1"/>
  <c r="L111" i="33"/>
  <c r="M111" i="33" s="1"/>
  <c r="L304" i="33"/>
  <c r="M304" i="33" s="1"/>
  <c r="L296" i="33"/>
  <c r="M296" i="33" s="1"/>
  <c r="G302" i="9" s="1"/>
  <c r="L103" i="33"/>
  <c r="M103" i="33" s="1"/>
  <c r="L87" i="33"/>
  <c r="M87" i="33" s="1"/>
  <c r="L300" i="33"/>
  <c r="M300" i="33" s="1"/>
  <c r="L29" i="33"/>
  <c r="M29" i="33" s="1"/>
  <c r="L86" i="33"/>
  <c r="M86" i="33" s="1"/>
  <c r="L30" i="33"/>
  <c r="M30" i="33" s="1"/>
  <c r="L98" i="33"/>
  <c r="M98" i="33" s="1"/>
  <c r="L146" i="33"/>
  <c r="M146" i="33" s="1"/>
  <c r="G152" i="9" s="1"/>
  <c r="L107" i="33"/>
  <c r="M107" i="33" s="1"/>
  <c r="L229" i="33"/>
  <c r="M229" i="33" s="1"/>
  <c r="L31" i="33"/>
  <c r="M31" i="33" s="1"/>
  <c r="L16" i="33"/>
  <c r="M16" i="33" s="1"/>
  <c r="G22" i="9" s="1"/>
  <c r="L147" i="33"/>
  <c r="M147" i="33" s="1"/>
  <c r="L227" i="33"/>
  <c r="M227" i="33" s="1"/>
  <c r="L220" i="33"/>
  <c r="M220" i="33" s="1"/>
  <c r="L41" i="33"/>
  <c r="M41" i="33" s="1"/>
  <c r="G47" i="9" s="1"/>
  <c r="L82" i="33"/>
  <c r="M82" i="33" s="1"/>
  <c r="L94" i="33"/>
  <c r="M94" i="33" s="1"/>
  <c r="L136" i="33"/>
  <c r="M136" i="33" s="1"/>
  <c r="L187" i="33"/>
  <c r="M187" i="33" s="1"/>
  <c r="G193" i="9" s="1"/>
  <c r="L173" i="33"/>
  <c r="M173" i="33" s="1"/>
  <c r="L273" i="33"/>
  <c r="M273" i="33" s="1"/>
  <c r="L232" i="33"/>
  <c r="M232" i="33" s="1"/>
  <c r="L294" i="33"/>
  <c r="M294" i="33" s="1"/>
  <c r="G300" i="9" s="1"/>
  <c r="L10" i="33"/>
  <c r="M10" i="33" s="1"/>
  <c r="L202" i="33"/>
  <c r="M202" i="33" s="1"/>
  <c r="L189" i="33"/>
  <c r="M189" i="33" s="1"/>
  <c r="L242" i="33"/>
  <c r="M242" i="33" s="1"/>
  <c r="L110" i="33"/>
  <c r="M110" i="33" s="1"/>
  <c r="L23" i="33"/>
  <c r="M23" i="33" s="1"/>
  <c r="L77" i="33"/>
  <c r="M77" i="33" s="1"/>
  <c r="L93" i="33"/>
  <c r="M93" i="33" s="1"/>
  <c r="G99" i="9" s="1"/>
  <c r="L120" i="33"/>
  <c r="M120" i="33" s="1"/>
  <c r="G126" i="9" s="1"/>
  <c r="L235" i="33"/>
  <c r="M235" i="33" s="1"/>
  <c r="L186" i="33"/>
  <c r="M186" i="33" s="1"/>
  <c r="L303" i="33"/>
  <c r="M303" i="33" s="1"/>
  <c r="G309" i="9" s="1"/>
  <c r="L274" i="33"/>
  <c r="M274" i="33" s="1"/>
  <c r="L224" i="33"/>
  <c r="M224" i="33" s="1"/>
  <c r="L46" i="33"/>
  <c r="M46" i="33" s="1"/>
  <c r="L84" i="33"/>
  <c r="M84" i="33" s="1"/>
  <c r="G90" i="9" s="1"/>
  <c r="L49" i="33"/>
  <c r="M49" i="33" s="1"/>
  <c r="L143" i="33"/>
  <c r="M143" i="33" s="1"/>
  <c r="L132" i="33"/>
  <c r="M132" i="33" s="1"/>
  <c r="L164" i="33"/>
  <c r="M164" i="33" s="1"/>
  <c r="G170" i="9" s="1"/>
  <c r="L198" i="33"/>
  <c r="M198" i="33" s="1"/>
  <c r="L157" i="33"/>
  <c r="M157" i="33" s="1"/>
  <c r="L263" i="33"/>
  <c r="M263" i="33" s="1"/>
  <c r="L140" i="33"/>
  <c r="M140" i="33" s="1"/>
  <c r="G146" i="9" s="1"/>
  <c r="L210" i="33"/>
  <c r="M210" i="33" s="1"/>
  <c r="L254" i="33"/>
  <c r="M254" i="33" s="1"/>
  <c r="G260" i="9" s="1"/>
  <c r="L289" i="33"/>
  <c r="M289" i="33" s="1"/>
  <c r="L295" i="33"/>
  <c r="M295" i="33" s="1"/>
  <c r="G301" i="9" s="1"/>
  <c r="L268" i="33"/>
  <c r="M268" i="33" s="1"/>
  <c r="G274" i="9" s="1"/>
  <c r="L76" i="33"/>
  <c r="M76" i="33" s="1"/>
  <c r="L117" i="33"/>
  <c r="M117" i="33" s="1"/>
  <c r="L97" i="33"/>
  <c r="M97" i="33" s="1"/>
  <c r="G103" i="9" s="1"/>
  <c r="L175" i="33"/>
  <c r="M175" i="33" s="1"/>
  <c r="L121" i="33"/>
  <c r="M121" i="33" s="1"/>
  <c r="G127" i="9" s="1"/>
  <c r="L74" i="33"/>
  <c r="M74" i="33" s="1"/>
  <c r="L99" i="33"/>
  <c r="M99" i="33" s="1"/>
  <c r="G105" i="9" s="1"/>
  <c r="L171" i="33"/>
  <c r="M171" i="33" s="1"/>
  <c r="L223" i="33"/>
  <c r="M223" i="33" s="1"/>
  <c r="G229" i="9" s="1"/>
  <c r="L259" i="33"/>
  <c r="M259" i="33" s="1"/>
  <c r="G265" i="9" s="1"/>
  <c r="L128" i="33"/>
  <c r="M128" i="33" s="1"/>
  <c r="L301" i="33"/>
  <c r="M301" i="33" s="1"/>
  <c r="L236" i="33"/>
  <c r="M236" i="33" s="1"/>
  <c r="G242" i="9" s="1"/>
  <c r="L269" i="33"/>
  <c r="M269" i="33" s="1"/>
  <c r="G275" i="9" s="1"/>
  <c r="L297" i="33"/>
  <c r="M297" i="33" s="1"/>
  <c r="G303" i="9" s="1"/>
  <c r="L163" i="33"/>
  <c r="M163" i="33" s="1"/>
  <c r="L108" i="33"/>
  <c r="M108" i="33" s="1"/>
  <c r="L68" i="33"/>
  <c r="M68" i="33" s="1"/>
  <c r="L18" i="33"/>
  <c r="M18" i="33" s="1"/>
  <c r="G24" i="9" s="1"/>
  <c r="L255" i="33"/>
  <c r="M255" i="33" s="1"/>
  <c r="G261" i="9" s="1"/>
  <c r="L155" i="33"/>
  <c r="M155" i="33" s="1"/>
  <c r="L52" i="33"/>
  <c r="M52" i="33" s="1"/>
  <c r="L267" i="33"/>
  <c r="M267" i="33" s="1"/>
  <c r="G273" i="9" s="1"/>
  <c r="L24" i="33"/>
  <c r="M24" i="33" s="1"/>
  <c r="G30" i="9" s="1"/>
  <c r="L53" i="33"/>
  <c r="M53" i="33" s="1"/>
  <c r="G59" i="9" s="1"/>
  <c r="L283" i="33"/>
  <c r="M283" i="33" s="1"/>
  <c r="L56" i="33"/>
  <c r="M56" i="33" s="1"/>
  <c r="G62" i="9" s="1"/>
  <c r="L79" i="33"/>
  <c r="M79" i="33" s="1"/>
  <c r="L193" i="33"/>
  <c r="M193" i="33" s="1"/>
  <c r="L14" i="33"/>
  <c r="M14" i="33" s="1"/>
  <c r="L287" i="33"/>
  <c r="M287" i="33" s="1"/>
  <c r="G293" i="9" s="1"/>
  <c r="L9" i="33"/>
  <c r="M9" i="33" s="1"/>
  <c r="G15" i="9" s="1"/>
  <c r="L105" i="33"/>
  <c r="M105" i="33" s="1"/>
  <c r="L25" i="33"/>
  <c r="M25" i="33" s="1"/>
  <c r="L162" i="33"/>
  <c r="M162" i="33" s="1"/>
  <c r="G168" i="9" s="1"/>
  <c r="L112" i="33"/>
  <c r="M112" i="33" s="1"/>
  <c r="L282" i="33"/>
  <c r="M282" i="33" s="1"/>
  <c r="L127" i="33"/>
  <c r="M127" i="33" s="1"/>
  <c r="L213" i="33"/>
  <c r="M213" i="33" s="1"/>
  <c r="L201" i="33"/>
  <c r="M201" i="33" s="1"/>
  <c r="G207" i="9" s="1"/>
  <c r="L119" i="33"/>
  <c r="M119" i="33" s="1"/>
  <c r="G125" i="9" s="1"/>
  <c r="L158" i="33"/>
  <c r="M158" i="33" s="1"/>
  <c r="L166" i="33"/>
  <c r="M166" i="33" s="1"/>
  <c r="G172" i="9" s="1"/>
  <c r="L7" i="33"/>
  <c r="M7" i="33" s="1"/>
  <c r="L37" i="33"/>
  <c r="M37" i="33" s="1"/>
  <c r="L182" i="33"/>
  <c r="M182" i="33" s="1"/>
  <c r="L145" i="33"/>
  <c r="M145" i="33" s="1"/>
  <c r="G151" i="9" s="1"/>
  <c r="L13" i="33"/>
  <c r="M13" i="33" s="1"/>
  <c r="G19" i="9" s="1"/>
  <c r="L20" i="33"/>
  <c r="M20" i="33" s="1"/>
  <c r="G26" i="9" s="1"/>
  <c r="L51" i="33"/>
  <c r="M51" i="33" s="1"/>
  <c r="L204" i="33"/>
  <c r="M204" i="33" s="1"/>
  <c r="G210" i="9" s="1"/>
  <c r="L188" i="33"/>
  <c r="M188" i="33" s="1"/>
  <c r="L298" i="33"/>
  <c r="M298" i="33" s="1"/>
  <c r="L35" i="33"/>
  <c r="M35" i="33" s="1"/>
  <c r="L90" i="33"/>
  <c r="M90" i="33" s="1"/>
  <c r="L178" i="33"/>
  <c r="M178" i="33" s="1"/>
  <c r="G184" i="9" s="1"/>
  <c r="L243" i="33"/>
  <c r="M243" i="33" s="1"/>
  <c r="G249" i="9" s="1"/>
  <c r="L253" i="33"/>
  <c r="M253" i="33" s="1"/>
  <c r="L19" i="33"/>
  <c r="M19" i="33" s="1"/>
  <c r="G25" i="9" s="1"/>
  <c r="L58" i="33"/>
  <c r="M58" i="33" s="1"/>
  <c r="G64" i="9" s="1"/>
  <c r="L141" i="33"/>
  <c r="M141" i="33" s="1"/>
  <c r="L216" i="33"/>
  <c r="M216" i="33" s="1"/>
  <c r="L203" i="33"/>
  <c r="M203" i="33" s="1"/>
  <c r="G209" i="9" s="1"/>
  <c r="L212" i="33"/>
  <c r="M212" i="33" s="1"/>
  <c r="L280" i="33"/>
  <c r="M280" i="33" s="1"/>
  <c r="G286" i="9" s="1"/>
  <c r="L249" i="33"/>
  <c r="M249" i="33" s="1"/>
  <c r="L33" i="33"/>
  <c r="M33" i="33" s="1"/>
  <c r="L62" i="33"/>
  <c r="M62" i="33" s="1"/>
  <c r="G68" i="9" s="1"/>
  <c r="L209" i="33"/>
  <c r="M209" i="33" s="1"/>
  <c r="L168" i="33"/>
  <c r="M168" i="33" s="1"/>
  <c r="L60" i="33"/>
  <c r="M60" i="33" s="1"/>
  <c r="L288" i="33"/>
  <c r="M288" i="33" s="1"/>
  <c r="G294" i="9" s="1"/>
  <c r="L39" i="33"/>
  <c r="M39" i="33" s="1"/>
  <c r="L22" i="33"/>
  <c r="M22" i="33" s="1"/>
  <c r="G28" i="9" s="1"/>
  <c r="L69" i="33"/>
  <c r="M69" i="33" s="1"/>
  <c r="G75" i="9" s="1"/>
  <c r="L156" i="33"/>
  <c r="M156" i="33" s="1"/>
  <c r="L251" i="33"/>
  <c r="M251" i="33" s="1"/>
  <c r="G257" i="9" s="1"/>
  <c r="L217" i="33"/>
  <c r="M217" i="33" s="1"/>
  <c r="L234" i="33"/>
  <c r="M234" i="33" s="1"/>
  <c r="G240" i="9" s="1"/>
  <c r="L277" i="33"/>
  <c r="M277" i="33" s="1"/>
  <c r="L299" i="33"/>
  <c r="M299" i="33" s="1"/>
  <c r="L36" i="33"/>
  <c r="M36" i="33" s="1"/>
  <c r="G42" i="9" s="1"/>
  <c r="L44" i="33"/>
  <c r="M44" i="33" s="1"/>
  <c r="G50" i="9" s="1"/>
  <c r="L54" i="33"/>
  <c r="M54" i="33" s="1"/>
  <c r="G60" i="9" s="1"/>
  <c r="L32" i="33"/>
  <c r="M32" i="33" s="1"/>
  <c r="L192" i="33"/>
  <c r="M192" i="33" s="1"/>
  <c r="L197" i="33"/>
  <c r="M197" i="33" s="1"/>
  <c r="G203" i="9" s="1"/>
  <c r="L219" i="33"/>
  <c r="M219" i="33" s="1"/>
  <c r="G225" i="9" s="1"/>
  <c r="L172" i="33"/>
  <c r="M172" i="33" s="1"/>
  <c r="G178" i="9" s="1"/>
  <c r="L279" i="33"/>
  <c r="M279" i="33" s="1"/>
  <c r="L144" i="33"/>
  <c r="M144" i="33" s="1"/>
  <c r="L129" i="33"/>
  <c r="M129" i="33" s="1"/>
  <c r="G135" i="9" s="1"/>
  <c r="L264" i="33"/>
  <c r="M264" i="33" s="1"/>
  <c r="L230" i="33"/>
  <c r="M230" i="33" s="1"/>
  <c r="L225" i="33"/>
  <c r="M225" i="33" s="1"/>
  <c r="G231" i="9" s="1"/>
  <c r="L276" i="33"/>
  <c r="M276" i="33" s="1"/>
  <c r="G282" i="9" s="1"/>
  <c r="L81" i="33"/>
  <c r="M81" i="33" s="1"/>
  <c r="L125" i="33"/>
  <c r="M125" i="33" s="1"/>
  <c r="L131" i="33"/>
  <c r="M131" i="33" s="1"/>
  <c r="G137" i="9" s="1"/>
  <c r="L191" i="33"/>
  <c r="M191" i="33" s="1"/>
  <c r="G197" i="9" s="1"/>
  <c r="L123" i="33"/>
  <c r="M123" i="33" s="1"/>
  <c r="G129" i="9" s="1"/>
  <c r="L88" i="33"/>
  <c r="M88" i="33" s="1"/>
  <c r="L115" i="33"/>
  <c r="M115" i="33" s="1"/>
  <c r="G121" i="9" s="1"/>
  <c r="L184" i="33"/>
  <c r="M184" i="33" s="1"/>
  <c r="G190" i="9" s="1"/>
  <c r="L231" i="33"/>
  <c r="M231" i="33" s="1"/>
  <c r="G237" i="9" s="1"/>
  <c r="L275" i="33"/>
  <c r="M275" i="33" s="1"/>
  <c r="L262" i="33"/>
  <c r="M262" i="33" s="1"/>
  <c r="G268" i="9" s="1"/>
  <c r="L246" i="33"/>
  <c r="M246" i="33" s="1"/>
  <c r="G252" i="9" s="1"/>
  <c r="L248" i="33"/>
  <c r="M248" i="33" s="1"/>
  <c r="G254" i="9" s="1"/>
  <c r="L302" i="33"/>
  <c r="M302" i="33" s="1"/>
  <c r="L118" i="33"/>
  <c r="M118" i="33" s="1"/>
  <c r="G124" i="9" s="1"/>
  <c r="L134" i="33"/>
  <c r="M134" i="33" s="1"/>
  <c r="G140" i="9" s="1"/>
  <c r="L100" i="33"/>
  <c r="M100" i="33" s="1"/>
  <c r="G106" i="9" s="1"/>
  <c r="L42" i="33"/>
  <c r="M42" i="33" s="1"/>
  <c r="L8" i="33"/>
  <c r="M8" i="33" s="1"/>
  <c r="G14" i="9" s="1"/>
  <c r="G208" i="9"/>
  <c r="G215" i="9"/>
  <c r="G33" i="9"/>
  <c r="G48" i="9"/>
  <c r="G149" i="9"/>
  <c r="G308" i="9"/>
  <c r="G54" i="9"/>
  <c r="G133" i="9"/>
  <c r="G173" i="9"/>
  <c r="G239" i="9"/>
  <c r="G297" i="9"/>
  <c r="G281" i="9"/>
  <c r="G72" i="9"/>
  <c r="G188" i="9"/>
  <c r="G216" i="9"/>
  <c r="G32" i="9"/>
  <c r="G85" i="9"/>
  <c r="G180" i="9"/>
  <c r="G311" i="9"/>
  <c r="G20" i="9"/>
  <c r="G40" i="9"/>
  <c r="G31" i="9"/>
  <c r="G102" i="9"/>
  <c r="G45" i="9"/>
  <c r="G263" i="9"/>
  <c r="G16" i="9"/>
  <c r="G87" i="9"/>
  <c r="G189" i="9"/>
  <c r="G285" i="9"/>
  <c r="G44" i="9"/>
  <c r="G100" i="9"/>
  <c r="G138" i="9"/>
  <c r="G148" i="9"/>
  <c r="G187" i="9"/>
  <c r="G179" i="9"/>
  <c r="G230" i="9"/>
  <c r="G262" i="9"/>
  <c r="G307" i="9"/>
  <c r="G305" i="9"/>
  <c r="G66" i="9"/>
  <c r="G73" i="9"/>
  <c r="G94" i="9"/>
  <c r="G150" i="9"/>
  <c r="G142" i="9"/>
  <c r="G181" i="9"/>
  <c r="G192" i="9"/>
  <c r="G196" i="9"/>
  <c r="G183" i="9"/>
  <c r="G267" i="9"/>
  <c r="G122" i="9"/>
  <c r="G248" i="9"/>
  <c r="G88" i="9"/>
  <c r="G77" i="9"/>
  <c r="G145" i="9"/>
  <c r="G130" i="9"/>
  <c r="G153" i="9"/>
  <c r="G266" i="9"/>
  <c r="G177" i="9"/>
  <c r="G269" i="9"/>
  <c r="G198" i="9"/>
  <c r="G218" i="9"/>
  <c r="G227" i="9"/>
  <c r="G34" i="9"/>
  <c r="G80" i="9"/>
  <c r="G58" i="9"/>
  <c r="G167" i="9"/>
  <c r="G108" i="9"/>
  <c r="G228" i="9"/>
  <c r="G55" i="9"/>
  <c r="G37" i="9"/>
  <c r="G56" i="9"/>
  <c r="G157" i="9"/>
  <c r="G185" i="9"/>
  <c r="G162" i="9"/>
  <c r="G280" i="9"/>
  <c r="G61" i="9"/>
  <c r="G141" i="9"/>
  <c r="G164" i="9"/>
  <c r="G288" i="9"/>
  <c r="G241" i="9"/>
  <c r="G226" i="9"/>
  <c r="G115" i="9"/>
  <c r="G186" i="9"/>
  <c r="G96" i="9"/>
  <c r="G18" i="9"/>
  <c r="G74" i="9"/>
  <c r="G111" i="9"/>
  <c r="G35" i="9"/>
  <c r="G23" i="9"/>
  <c r="G41" i="9"/>
  <c r="G83" i="9"/>
  <c r="G158" i="9"/>
  <c r="G290" i="9"/>
  <c r="G174" i="9"/>
  <c r="G53" i="9"/>
  <c r="G200" i="9"/>
  <c r="G21" i="9"/>
  <c r="G49" i="9"/>
  <c r="G57" i="9"/>
  <c r="G166" i="9"/>
  <c r="G212" i="9"/>
  <c r="G234" i="9"/>
  <c r="G38" i="9"/>
  <c r="G84" i="9"/>
  <c r="G134" i="9"/>
  <c r="G222" i="9"/>
  <c r="G283" i="9"/>
  <c r="G52" i="9"/>
  <c r="G101" i="9"/>
  <c r="G156" i="9"/>
  <c r="G118" i="9"/>
  <c r="G161" i="9"/>
  <c r="G119" i="9"/>
  <c r="G245" i="9"/>
  <c r="G277" i="9"/>
  <c r="G223" i="9"/>
  <c r="G217" i="9"/>
  <c r="G163" i="9"/>
  <c r="G264" i="9"/>
  <c r="G296" i="9"/>
  <c r="G292" i="9"/>
  <c r="G67" i="9"/>
  <c r="G79" i="9"/>
  <c r="G128" i="9"/>
  <c r="G165" i="9"/>
  <c r="G204" i="9"/>
  <c r="G201" i="9"/>
  <c r="G205" i="9"/>
  <c r="G295" i="9"/>
  <c r="G131" i="9"/>
  <c r="G284" i="9"/>
  <c r="G104" i="9"/>
  <c r="G82" i="9"/>
  <c r="G154" i="9"/>
  <c r="G191" i="9"/>
  <c r="G199" i="9"/>
  <c r="G279" i="9"/>
  <c r="G232" i="9"/>
  <c r="G13" i="9"/>
  <c r="G219" i="9"/>
  <c r="G155" i="9"/>
  <c r="G92" i="9"/>
  <c r="G289" i="9"/>
  <c r="G63" i="9"/>
  <c r="G247" i="9"/>
  <c r="G271" i="9"/>
  <c r="G43" i="9"/>
  <c r="G89" i="9"/>
  <c r="G194" i="9"/>
  <c r="G17" i="9"/>
  <c r="G95" i="9"/>
  <c r="G304" i="9"/>
  <c r="G27" i="9"/>
  <c r="G36" i="9"/>
  <c r="G114" i="9"/>
  <c r="G221" i="9"/>
  <c r="G39" i="9"/>
  <c r="G51" i="9"/>
  <c r="G29" i="9"/>
  <c r="G144" i="9"/>
  <c r="G278" i="9"/>
  <c r="G255" i="9"/>
  <c r="G69" i="9"/>
  <c r="G109" i="9"/>
  <c r="G169" i="9"/>
  <c r="G110" i="9"/>
  <c r="G143" i="9"/>
  <c r="G175" i="9"/>
  <c r="G147" i="9"/>
  <c r="G246" i="9"/>
  <c r="G298" i="9"/>
  <c r="G220" i="9"/>
  <c r="G270" i="9"/>
  <c r="G306" i="9"/>
  <c r="G76" i="9"/>
  <c r="G86" i="9"/>
  <c r="G91" i="9"/>
  <c r="G160" i="9"/>
  <c r="G159" i="9"/>
  <c r="G213" i="9"/>
  <c r="G224" i="9"/>
  <c r="G259" i="9"/>
  <c r="G250" i="9"/>
  <c r="G310" i="9"/>
  <c r="G93" i="9"/>
  <c r="G117" i="9"/>
  <c r="G116" i="9"/>
  <c r="G132" i="9"/>
  <c r="G97" i="9"/>
  <c r="G195" i="9"/>
  <c r="G235" i="9"/>
  <c r="G287" i="9"/>
  <c r="G236" i="9"/>
  <c r="G238" i="9"/>
  <c r="G233" i="9"/>
  <c r="G123" i="9"/>
  <c r="G202" i="9"/>
  <c r="G113" i="9"/>
  <c r="G139" i="9"/>
  <c r="H305" i="25"/>
  <c r="I6" i="54"/>
  <c r="I306" i="54" s="1"/>
  <c r="K39" i="40"/>
  <c r="K40" i="40" s="1"/>
  <c r="H40" i="40" s="1"/>
  <c r="L6" i="33"/>
  <c r="M6" i="33" s="1"/>
  <c r="I6" i="37"/>
  <c r="F30" i="48" l="1"/>
  <c r="B18" i="48"/>
  <c r="G306" i="37"/>
  <c r="C41" i="40"/>
  <c r="M5" i="11" s="1"/>
  <c r="F12" i="34"/>
  <c r="F6" i="12" s="1"/>
  <c r="I306" i="37"/>
  <c r="M306" i="33"/>
  <c r="C7" i="9" s="1"/>
  <c r="C8" i="9" s="1"/>
  <c r="G12" i="9"/>
  <c r="M212" i="11" l="1"/>
  <c r="M208" i="11"/>
  <c r="M204" i="11"/>
  <c r="M200" i="11"/>
  <c r="M196" i="11"/>
  <c r="M192" i="11"/>
  <c r="M188" i="11"/>
  <c r="M184" i="11"/>
  <c r="M209" i="11"/>
  <c r="M201" i="11"/>
  <c r="M193" i="11"/>
  <c r="M185" i="11"/>
  <c r="M135" i="11"/>
  <c r="M118" i="11"/>
  <c r="M131" i="11"/>
  <c r="M120" i="11"/>
  <c r="M127" i="11"/>
  <c r="M112" i="11"/>
  <c r="M104" i="11"/>
  <c r="M96" i="11"/>
  <c r="M88" i="11"/>
  <c r="M123" i="11"/>
  <c r="M114" i="11"/>
  <c r="M106" i="11"/>
  <c r="M98" i="11"/>
  <c r="M90" i="11"/>
  <c r="M82" i="11"/>
  <c r="M65" i="11"/>
  <c r="M49" i="11"/>
  <c r="M109" i="11"/>
  <c r="M101" i="11"/>
  <c r="M93" i="11"/>
  <c r="M85" i="11"/>
  <c r="M62" i="11"/>
  <c r="M80" i="11"/>
  <c r="M63" i="11"/>
  <c r="M60" i="11"/>
  <c r="M187" i="11"/>
  <c r="M119" i="11"/>
  <c r="M133" i="11"/>
  <c r="M130" i="11"/>
  <c r="M137" i="11"/>
  <c r="M111" i="11"/>
  <c r="M95" i="11"/>
  <c r="M126" i="11"/>
  <c r="M207" i="11"/>
  <c r="M199" i="11"/>
  <c r="M191" i="11"/>
  <c r="M183" i="11"/>
  <c r="M129" i="11"/>
  <c r="M116" i="11"/>
  <c r="M121" i="11"/>
  <c r="M117" i="11"/>
  <c r="M107" i="11"/>
  <c r="M99" i="11"/>
  <c r="M91" i="11"/>
  <c r="M61" i="11"/>
  <c r="M58" i="11"/>
  <c r="M59" i="11"/>
  <c r="M83" i="11"/>
  <c r="M56" i="11"/>
  <c r="M211" i="11"/>
  <c r="M203" i="11"/>
  <c r="M195" i="11"/>
  <c r="M103" i="11"/>
  <c r="M53" i="11"/>
  <c r="M50" i="11"/>
  <c r="M64" i="11"/>
  <c r="M138" i="11"/>
  <c r="M214" i="11"/>
  <c r="M210" i="11"/>
  <c r="M206" i="11"/>
  <c r="M202" i="11"/>
  <c r="M198" i="11"/>
  <c r="M194" i="11"/>
  <c r="M190" i="11"/>
  <c r="M186" i="11"/>
  <c r="M182" i="11"/>
  <c r="M213" i="11"/>
  <c r="M205" i="11"/>
  <c r="M197" i="11"/>
  <c r="M189" i="11"/>
  <c r="M181" i="11"/>
  <c r="M136" i="11"/>
  <c r="M108" i="11"/>
  <c r="M100" i="11"/>
  <c r="M92" i="11"/>
  <c r="M84" i="11"/>
  <c r="M139" i="11"/>
  <c r="M128" i="11"/>
  <c r="M134" i="11"/>
  <c r="M110" i="11"/>
  <c r="M102" i="11"/>
  <c r="M94" i="11"/>
  <c r="M86" i="11"/>
  <c r="M78" i="11"/>
  <c r="M57" i="11"/>
  <c r="M113" i="11"/>
  <c r="M105" i="11"/>
  <c r="M97" i="11"/>
  <c r="M89" i="11"/>
  <c r="M81" i="11"/>
  <c r="M54" i="11"/>
  <c r="M55" i="11"/>
  <c r="M52" i="11"/>
  <c r="M122" i="11"/>
  <c r="M115" i="11"/>
  <c r="M125" i="11"/>
  <c r="M87" i="11"/>
  <c r="M66" i="11"/>
  <c r="M67" i="11"/>
  <c r="M51" i="11"/>
  <c r="M79" i="11"/>
  <c r="M13" i="11"/>
  <c r="M18" i="11"/>
  <c r="M17" i="11"/>
  <c r="M75" i="11"/>
  <c r="M12" i="11"/>
  <c r="M41" i="11"/>
  <c r="M77" i="11"/>
  <c r="M175" i="11"/>
  <c r="M260" i="11"/>
  <c r="M265" i="11"/>
  <c r="M220" i="11"/>
  <c r="M299" i="11"/>
  <c r="M22" i="11"/>
  <c r="M76" i="11"/>
  <c r="M144" i="11"/>
  <c r="M147" i="11"/>
  <c r="M160" i="11"/>
  <c r="M176" i="11"/>
  <c r="M217" i="11"/>
  <c r="M249" i="11"/>
  <c r="M278" i="11"/>
  <c r="M246" i="11"/>
  <c r="M7" i="11"/>
  <c r="M45" i="11"/>
  <c r="M173" i="11"/>
  <c r="M231" i="11"/>
  <c r="M264" i="11"/>
  <c r="M296" i="11"/>
  <c r="M234" i="11"/>
  <c r="M269" i="11"/>
  <c r="M301" i="11"/>
  <c r="M240" i="11"/>
  <c r="M271" i="11"/>
  <c r="M303" i="11"/>
  <c r="M43" i="11"/>
  <c r="M179" i="11"/>
  <c r="M292" i="11"/>
  <c r="M297" i="11"/>
  <c r="M228" i="11"/>
  <c r="M291" i="11"/>
  <c r="M28" i="11"/>
  <c r="M146" i="11"/>
  <c r="M143" i="11"/>
  <c r="M166" i="11"/>
  <c r="M229" i="11"/>
  <c r="M258" i="11"/>
  <c r="M290" i="11"/>
  <c r="M14" i="11"/>
  <c r="M8" i="11"/>
  <c r="M235" i="11"/>
  <c r="M275" i="11"/>
  <c r="M140" i="11"/>
  <c r="M241" i="11"/>
  <c r="M171" i="11"/>
  <c r="M283" i="11"/>
  <c r="M37" i="11"/>
  <c r="M255" i="11"/>
  <c r="M226" i="11"/>
  <c r="M232" i="11"/>
  <c r="M295" i="11"/>
  <c r="M276" i="11"/>
  <c r="M48" i="11"/>
  <c r="M72" i="11"/>
  <c r="M178" i="11"/>
  <c r="M253" i="11"/>
  <c r="M24" i="11"/>
  <c r="M23" i="11"/>
  <c r="M141" i="11"/>
  <c r="M153" i="11"/>
  <c r="M9" i="11"/>
  <c r="M16" i="11"/>
  <c r="M26" i="11"/>
  <c r="M25" i="11"/>
  <c r="M157" i="11"/>
  <c r="M284" i="11"/>
  <c r="M289" i="11"/>
  <c r="M236" i="11"/>
  <c r="M38" i="11"/>
  <c r="M30" i="11"/>
  <c r="M148" i="11"/>
  <c r="M155" i="11"/>
  <c r="M164" i="11"/>
  <c r="M180" i="11"/>
  <c r="M225" i="11"/>
  <c r="M257" i="11"/>
  <c r="M286" i="11"/>
  <c r="M29" i="11"/>
  <c r="M243" i="11"/>
  <c r="M281" i="11"/>
  <c r="M15" i="11"/>
  <c r="M27" i="11"/>
  <c r="M70" i="11"/>
  <c r="M161" i="11"/>
  <c r="M177" i="11"/>
  <c r="M239" i="11"/>
  <c r="M272" i="11"/>
  <c r="M304" i="11"/>
  <c r="M242" i="11"/>
  <c r="M277" i="11"/>
  <c r="M216" i="11"/>
  <c r="M248" i="11"/>
  <c r="M279" i="11"/>
  <c r="M132" i="11"/>
  <c r="M227" i="11"/>
  <c r="M230" i="11"/>
  <c r="M244" i="11"/>
  <c r="M40" i="11"/>
  <c r="M36" i="11"/>
  <c r="M150" i="11"/>
  <c r="M151" i="11"/>
  <c r="M170" i="11"/>
  <c r="M237" i="11"/>
  <c r="M266" i="11"/>
  <c r="M298" i="11"/>
  <c r="M302" i="11"/>
  <c r="M35" i="11"/>
  <c r="M223" i="11"/>
  <c r="M293" i="11"/>
  <c r="M263" i="11"/>
  <c r="M167" i="11"/>
  <c r="M149" i="11"/>
  <c r="M221" i="11"/>
  <c r="M145" i="11"/>
  <c r="M32" i="11"/>
  <c r="M20" i="11"/>
  <c r="M73" i="11"/>
  <c r="M33" i="11"/>
  <c r="M219" i="11"/>
  <c r="M222" i="11"/>
  <c r="M305" i="11"/>
  <c r="M252" i="11"/>
  <c r="M42" i="11"/>
  <c r="M34" i="11"/>
  <c r="M71" i="11"/>
  <c r="M152" i="11"/>
  <c r="M168" i="11"/>
  <c r="M233" i="11"/>
  <c r="M262" i="11"/>
  <c r="M294" i="11"/>
  <c r="M268" i="11"/>
  <c r="M31" i="11"/>
  <c r="M165" i="11"/>
  <c r="M215" i="11"/>
  <c r="M247" i="11"/>
  <c r="M280" i="11"/>
  <c r="M218" i="11"/>
  <c r="M250" i="11"/>
  <c r="M285" i="11"/>
  <c r="M224" i="11"/>
  <c r="M256" i="11"/>
  <c r="M287" i="11"/>
  <c r="M21" i="11"/>
  <c r="M74" i="11"/>
  <c r="M159" i="11"/>
  <c r="M251" i="11"/>
  <c r="M254" i="11"/>
  <c r="M259" i="11"/>
  <c r="M44" i="11"/>
  <c r="M124" i="11"/>
  <c r="M154" i="11"/>
  <c r="M158" i="11"/>
  <c r="M174" i="11"/>
  <c r="M245" i="11"/>
  <c r="M274" i="11"/>
  <c r="M47" i="11"/>
  <c r="M69" i="11"/>
  <c r="M39" i="11"/>
  <c r="M11" i="11"/>
  <c r="M163" i="11"/>
  <c r="M238" i="11"/>
  <c r="M46" i="11"/>
  <c r="M68" i="11"/>
  <c r="M156" i="11"/>
  <c r="M172" i="11"/>
  <c r="M270" i="11"/>
  <c r="M19" i="11"/>
  <c r="M300" i="11"/>
  <c r="M169" i="11"/>
  <c r="M288" i="11"/>
  <c r="M261" i="11"/>
  <c r="M10" i="11"/>
  <c r="M273" i="11"/>
  <c r="M267" i="11"/>
  <c r="M142" i="11"/>
  <c r="M162" i="11"/>
  <c r="M282" i="11"/>
  <c r="E34" i="48"/>
  <c r="F18" i="48"/>
  <c r="M6" i="11"/>
  <c r="C40" i="40"/>
  <c r="H5" i="11" s="1"/>
  <c r="G312" i="9"/>
  <c r="F312" i="34"/>
  <c r="D7" i="9"/>
  <c r="D8" i="9"/>
  <c r="H7" i="11" l="1"/>
  <c r="H130" i="11"/>
  <c r="H207" i="11"/>
  <c r="H199" i="11"/>
  <c r="H191" i="11"/>
  <c r="H183" i="11"/>
  <c r="O183" i="11" s="1"/>
  <c r="G189" i="34" s="1"/>
  <c r="G183" i="12" s="1"/>
  <c r="F183" i="39" s="1"/>
  <c r="H138" i="11"/>
  <c r="H122" i="11"/>
  <c r="H134" i="11"/>
  <c r="H116" i="11"/>
  <c r="O116" i="11" s="1"/>
  <c r="G122" i="34" s="1"/>
  <c r="G116" i="12" s="1"/>
  <c r="F116" i="39" s="1"/>
  <c r="H110" i="11"/>
  <c r="H102" i="11"/>
  <c r="O102" i="11" s="1"/>
  <c r="G108" i="34" s="1"/>
  <c r="G102" i="12" s="1"/>
  <c r="F102" i="39" s="1"/>
  <c r="H94" i="11"/>
  <c r="H86" i="11"/>
  <c r="O86" i="11" s="1"/>
  <c r="G92" i="34" s="1"/>
  <c r="G86" i="12" s="1"/>
  <c r="F86" i="39" s="1"/>
  <c r="H20" i="11"/>
  <c r="H12" i="11"/>
  <c r="O12" i="11" s="1"/>
  <c r="G18" i="34" s="1"/>
  <c r="G12" i="12" s="1"/>
  <c r="F12" i="39" s="1"/>
  <c r="H210" i="11"/>
  <c r="H202" i="11"/>
  <c r="H194" i="11"/>
  <c r="O194" i="11" s="1"/>
  <c r="G200" i="34" s="1"/>
  <c r="G194" i="12" s="1"/>
  <c r="F194" i="39" s="1"/>
  <c r="H182" i="11"/>
  <c r="H132" i="11"/>
  <c r="H201" i="11"/>
  <c r="O201" i="11" s="1"/>
  <c r="G207" i="34" s="1"/>
  <c r="G201" i="12" s="1"/>
  <c r="F201" i="39" s="1"/>
  <c r="H123" i="11"/>
  <c r="O123" i="11" s="1"/>
  <c r="G129" i="34" s="1"/>
  <c r="G123" i="12" s="1"/>
  <c r="F123" i="39" s="1"/>
  <c r="H124" i="11"/>
  <c r="O124" i="11" s="1"/>
  <c r="G130" i="34" s="1"/>
  <c r="G124" i="12" s="1"/>
  <c r="F124" i="39" s="1"/>
  <c r="H99" i="11"/>
  <c r="H117" i="11"/>
  <c r="O117" i="11" s="1"/>
  <c r="G123" i="34" s="1"/>
  <c r="G117" i="12" s="1"/>
  <c r="F117" i="39" s="1"/>
  <c r="H101" i="11"/>
  <c r="H85" i="11"/>
  <c r="H112" i="11"/>
  <c r="H80" i="11"/>
  <c r="O80" i="11" s="1"/>
  <c r="G86" i="34" s="1"/>
  <c r="G80" i="12" s="1"/>
  <c r="F80" i="39" s="1"/>
  <c r="H212" i="11"/>
  <c r="H208" i="11"/>
  <c r="H204" i="11"/>
  <c r="H200" i="11"/>
  <c r="O200" i="11" s="1"/>
  <c r="G206" i="34" s="1"/>
  <c r="G200" i="12" s="1"/>
  <c r="F200" i="39" s="1"/>
  <c r="H196" i="11"/>
  <c r="H192" i="11"/>
  <c r="O192" i="11" s="1"/>
  <c r="G198" i="34" s="1"/>
  <c r="G192" i="12" s="1"/>
  <c r="F192" i="39" s="1"/>
  <c r="H188" i="11"/>
  <c r="H184" i="11"/>
  <c r="O184" i="11" s="1"/>
  <c r="G190" i="34" s="1"/>
  <c r="G184" i="12" s="1"/>
  <c r="F184" i="39" s="1"/>
  <c r="H135" i="11"/>
  <c r="O135" i="11" s="1"/>
  <c r="G141" i="34" s="1"/>
  <c r="G135" i="12" s="1"/>
  <c r="F135" i="39" s="1"/>
  <c r="H129" i="11"/>
  <c r="H213" i="11"/>
  <c r="H205" i="11"/>
  <c r="O205" i="11" s="1"/>
  <c r="G211" i="34" s="1"/>
  <c r="G205" i="12" s="1"/>
  <c r="F205" i="39" s="1"/>
  <c r="H197" i="11"/>
  <c r="H189" i="11"/>
  <c r="H181" i="11"/>
  <c r="H139" i="11"/>
  <c r="H137" i="11"/>
  <c r="H127" i="11"/>
  <c r="H121" i="11"/>
  <c r="H111" i="11"/>
  <c r="O111" i="11" s="1"/>
  <c r="G117" i="34" s="1"/>
  <c r="G111" i="12" s="1"/>
  <c r="F111" i="39" s="1"/>
  <c r="H103" i="11"/>
  <c r="H95" i="11"/>
  <c r="H87" i="11"/>
  <c r="H131" i="11"/>
  <c r="O131" i="11" s="1"/>
  <c r="G137" i="34" s="1"/>
  <c r="G131" i="12" s="1"/>
  <c r="F131" i="39" s="1"/>
  <c r="H113" i="11"/>
  <c r="H105" i="11"/>
  <c r="H97" i="11"/>
  <c r="O97" i="11" s="1"/>
  <c r="G103" i="34" s="1"/>
  <c r="G97" i="12" s="1"/>
  <c r="F97" i="39" s="1"/>
  <c r="H89" i="11"/>
  <c r="O89" i="11" s="1"/>
  <c r="G95" i="34" s="1"/>
  <c r="G89" i="12" s="1"/>
  <c r="F89" i="39" s="1"/>
  <c r="H81" i="11"/>
  <c r="O81" i="11" s="1"/>
  <c r="G87" i="34" s="1"/>
  <c r="G81" i="12" s="1"/>
  <c r="F81" i="39" s="1"/>
  <c r="H108" i="11"/>
  <c r="H100" i="11"/>
  <c r="H92" i="11"/>
  <c r="H84" i="11"/>
  <c r="O84" i="11" s="1"/>
  <c r="G90" i="34" s="1"/>
  <c r="G84" i="12" s="1"/>
  <c r="F84" i="39" s="1"/>
  <c r="H79" i="11"/>
  <c r="H49" i="11"/>
  <c r="H9" i="11"/>
  <c r="H18" i="11"/>
  <c r="H10" i="11"/>
  <c r="O10" i="11" s="1"/>
  <c r="G16" i="34" s="1"/>
  <c r="G10" i="12" s="1"/>
  <c r="F10" i="39" s="1"/>
  <c r="H214" i="11"/>
  <c r="H206" i="11"/>
  <c r="H198" i="11"/>
  <c r="H186" i="11"/>
  <c r="O186" i="11" s="1"/>
  <c r="G192" i="34" s="1"/>
  <c r="G186" i="12" s="1"/>
  <c r="F186" i="39" s="1"/>
  <c r="H193" i="11"/>
  <c r="H115" i="11"/>
  <c r="O115" i="11" s="1"/>
  <c r="G121" i="34" s="1"/>
  <c r="G115" i="12" s="1"/>
  <c r="F115" i="39" s="1"/>
  <c r="H91" i="11"/>
  <c r="H109" i="11"/>
  <c r="H104" i="11"/>
  <c r="H88" i="11"/>
  <c r="O88" i="11" s="1"/>
  <c r="G94" i="34" s="1"/>
  <c r="G88" i="12" s="1"/>
  <c r="F88" i="39" s="1"/>
  <c r="H14" i="11"/>
  <c r="H118" i="11"/>
  <c r="H133" i="11"/>
  <c r="H128" i="11"/>
  <c r="O128" i="11" s="1"/>
  <c r="G134" i="34" s="1"/>
  <c r="G128" i="12" s="1"/>
  <c r="F128" i="39" s="1"/>
  <c r="H211" i="11"/>
  <c r="H203" i="11"/>
  <c r="H195" i="11"/>
  <c r="H187" i="11"/>
  <c r="O187" i="11" s="1"/>
  <c r="G193" i="34" s="1"/>
  <c r="G187" i="12" s="1"/>
  <c r="F187" i="39" s="1"/>
  <c r="H126" i="11"/>
  <c r="O126" i="11" s="1"/>
  <c r="G132" i="34" s="1"/>
  <c r="G126" i="12" s="1"/>
  <c r="F126" i="39" s="1"/>
  <c r="H136" i="11"/>
  <c r="H125" i="11"/>
  <c r="H120" i="11"/>
  <c r="H119" i="11"/>
  <c r="H114" i="11"/>
  <c r="H106" i="11"/>
  <c r="H98" i="11"/>
  <c r="H90" i="11"/>
  <c r="H82" i="11"/>
  <c r="O82" i="11" s="1"/>
  <c r="G88" i="34" s="1"/>
  <c r="G82" i="12" s="1"/>
  <c r="F82" i="39" s="1"/>
  <c r="H15" i="11"/>
  <c r="H16" i="11"/>
  <c r="O16" i="11" s="1"/>
  <c r="G22" i="34" s="1"/>
  <c r="G16" i="12" s="1"/>
  <c r="F16" i="39" s="1"/>
  <c r="H8" i="11"/>
  <c r="H190" i="11"/>
  <c r="H209" i="11"/>
  <c r="H185" i="11"/>
  <c r="O185" i="11" s="1"/>
  <c r="G191" i="34" s="1"/>
  <c r="G185" i="12" s="1"/>
  <c r="F185" i="39" s="1"/>
  <c r="H107" i="11"/>
  <c r="O107" i="11" s="1"/>
  <c r="G113" i="34" s="1"/>
  <c r="G107" i="12" s="1"/>
  <c r="F107" i="39" s="1"/>
  <c r="H93" i="11"/>
  <c r="H96" i="11"/>
  <c r="H83" i="11"/>
  <c r="O83" i="11" s="1"/>
  <c r="G89" i="34" s="1"/>
  <c r="G83" i="12" s="1"/>
  <c r="F83" i="39" s="1"/>
  <c r="H17" i="11"/>
  <c r="H144" i="11"/>
  <c r="H77" i="11"/>
  <c r="O77" i="11" s="1"/>
  <c r="G83" i="34" s="1"/>
  <c r="G77" i="12" s="1"/>
  <c r="F77" i="39" s="1"/>
  <c r="H148" i="11"/>
  <c r="O148" i="11" s="1"/>
  <c r="G154" i="34" s="1"/>
  <c r="G148" i="12" s="1"/>
  <c r="F148" i="39" s="1"/>
  <c r="H23" i="11"/>
  <c r="O23" i="11" s="1"/>
  <c r="G29" i="34" s="1"/>
  <c r="G23" i="12" s="1"/>
  <c r="F23" i="39" s="1"/>
  <c r="H40" i="11"/>
  <c r="O40" i="11" s="1"/>
  <c r="G46" i="34" s="1"/>
  <c r="G40" i="12" s="1"/>
  <c r="F40" i="39" s="1"/>
  <c r="H32" i="11"/>
  <c r="H166" i="11"/>
  <c r="O166" i="11" s="1"/>
  <c r="G172" i="34" s="1"/>
  <c r="G166" i="12" s="1"/>
  <c r="F166" i="39" s="1"/>
  <c r="H245" i="11"/>
  <c r="O245" i="11" s="1"/>
  <c r="G251" i="34" s="1"/>
  <c r="G245" i="12" s="1"/>
  <c r="F245" i="39" s="1"/>
  <c r="H29" i="11"/>
  <c r="H56" i="11"/>
  <c r="H167" i="11"/>
  <c r="H235" i="11"/>
  <c r="H268" i="11"/>
  <c r="O268" i="11" s="1"/>
  <c r="G274" i="34" s="1"/>
  <c r="G268" i="12" s="1"/>
  <c r="F268" i="39" s="1"/>
  <c r="H300" i="11"/>
  <c r="H246" i="11"/>
  <c r="H281" i="11"/>
  <c r="H220" i="11"/>
  <c r="O220" i="11" s="1"/>
  <c r="G226" i="34" s="1"/>
  <c r="G220" i="12" s="1"/>
  <c r="F220" i="39" s="1"/>
  <c r="H252" i="11"/>
  <c r="O252" i="11" s="1"/>
  <c r="G258" i="34" s="1"/>
  <c r="G252" i="12" s="1"/>
  <c r="F252" i="39" s="1"/>
  <c r="H283" i="11"/>
  <c r="O283" i="11" s="1"/>
  <c r="G289" i="34" s="1"/>
  <c r="G283" i="12" s="1"/>
  <c r="F283" i="39" s="1"/>
  <c r="H48" i="11"/>
  <c r="H63" i="11"/>
  <c r="H162" i="11"/>
  <c r="H140" i="11"/>
  <c r="O140" i="11" s="1"/>
  <c r="G146" i="34" s="1"/>
  <c r="G140" i="12" s="1"/>
  <c r="F140" i="39" s="1"/>
  <c r="H46" i="11"/>
  <c r="H25" i="11"/>
  <c r="H43" i="11"/>
  <c r="H65" i="11"/>
  <c r="O65" i="11" s="1"/>
  <c r="G71" i="34" s="1"/>
  <c r="G65" i="12" s="1"/>
  <c r="F65" i="39" s="1"/>
  <c r="H172" i="11"/>
  <c r="H155" i="11"/>
  <c r="H241" i="11"/>
  <c r="H270" i="11"/>
  <c r="O270" i="11" s="1"/>
  <c r="G276" i="34" s="1"/>
  <c r="G270" i="12" s="1"/>
  <c r="F270" i="39" s="1"/>
  <c r="H302" i="11"/>
  <c r="O302" i="11" s="1"/>
  <c r="G308" i="34" s="1"/>
  <c r="G302" i="12" s="1"/>
  <c r="F302" i="39" s="1"/>
  <c r="H39" i="11"/>
  <c r="O39" i="11" s="1"/>
  <c r="G45" i="34" s="1"/>
  <c r="G39" i="12" s="1"/>
  <c r="F39" i="39" s="1"/>
  <c r="H170" i="11"/>
  <c r="H258" i="11"/>
  <c r="O258" i="11" s="1"/>
  <c r="G264" i="34" s="1"/>
  <c r="G258" i="12" s="1"/>
  <c r="F258" i="39" s="1"/>
  <c r="H69" i="11"/>
  <c r="H58" i="11"/>
  <c r="H68" i="11"/>
  <c r="H165" i="11"/>
  <c r="O165" i="11" s="1"/>
  <c r="G171" i="34" s="1"/>
  <c r="G165" i="12" s="1"/>
  <c r="F165" i="39" s="1"/>
  <c r="H215" i="11"/>
  <c r="O215" i="11" s="1"/>
  <c r="G221" i="34" s="1"/>
  <c r="G215" i="12" s="1"/>
  <c r="F215" i="39" s="1"/>
  <c r="H247" i="11"/>
  <c r="H280" i="11"/>
  <c r="H218" i="11"/>
  <c r="O218" i="11" s="1"/>
  <c r="G224" i="34" s="1"/>
  <c r="G218" i="12" s="1"/>
  <c r="F218" i="39" s="1"/>
  <c r="H250" i="11"/>
  <c r="H285" i="11"/>
  <c r="H232" i="11"/>
  <c r="H263" i="11"/>
  <c r="O263" i="11" s="1"/>
  <c r="G269" i="34" s="1"/>
  <c r="G263" i="12" s="1"/>
  <c r="F263" i="39" s="1"/>
  <c r="H295" i="11"/>
  <c r="O295" i="11" s="1"/>
  <c r="G301" i="34" s="1"/>
  <c r="G295" i="12" s="1"/>
  <c r="F295" i="39" s="1"/>
  <c r="H153" i="11"/>
  <c r="O153" i="11" s="1"/>
  <c r="G159" i="34" s="1"/>
  <c r="G153" i="12" s="1"/>
  <c r="F153" i="39" s="1"/>
  <c r="H36" i="11"/>
  <c r="H71" i="11"/>
  <c r="O71" i="11" s="1"/>
  <c r="G77" i="34" s="1"/>
  <c r="G71" i="12" s="1"/>
  <c r="F71" i="39" s="1"/>
  <c r="H151" i="11"/>
  <c r="H229" i="11"/>
  <c r="H52" i="11"/>
  <c r="H163" i="11"/>
  <c r="O163" i="11" s="1"/>
  <c r="G169" i="34" s="1"/>
  <c r="G163" i="12" s="1"/>
  <c r="F163" i="39" s="1"/>
  <c r="H179" i="11"/>
  <c r="H227" i="11"/>
  <c r="H292" i="11"/>
  <c r="H273" i="11"/>
  <c r="O273" i="11" s="1"/>
  <c r="G279" i="34" s="1"/>
  <c r="G273" i="12" s="1"/>
  <c r="F273" i="39" s="1"/>
  <c r="H244" i="11"/>
  <c r="O244" i="11" s="1"/>
  <c r="G250" i="34" s="1"/>
  <c r="G244" i="12" s="1"/>
  <c r="F244" i="39" s="1"/>
  <c r="H51" i="11"/>
  <c r="H24" i="11"/>
  <c r="H147" i="11"/>
  <c r="O147" i="11" s="1"/>
  <c r="G153" i="34" s="1"/>
  <c r="G147" i="12" s="1"/>
  <c r="F147" i="39" s="1"/>
  <c r="H233" i="11"/>
  <c r="H70" i="11"/>
  <c r="O70" i="11" s="1"/>
  <c r="G76" i="34" s="1"/>
  <c r="G70" i="12" s="1"/>
  <c r="F70" i="39" s="1"/>
  <c r="H253" i="11"/>
  <c r="H161" i="11"/>
  <c r="O161" i="11" s="1"/>
  <c r="G167" i="34" s="1"/>
  <c r="G161" i="12" s="1"/>
  <c r="F161" i="39" s="1"/>
  <c r="H304" i="11"/>
  <c r="H242" i="11"/>
  <c r="H224" i="11"/>
  <c r="H287" i="11"/>
  <c r="O287" i="11" s="1"/>
  <c r="G293" i="34" s="1"/>
  <c r="G287" i="12" s="1"/>
  <c r="F287" i="39" s="1"/>
  <c r="H152" i="11"/>
  <c r="H28" i="11"/>
  <c r="H22" i="11"/>
  <c r="H55" i="11"/>
  <c r="O55" i="11" s="1"/>
  <c r="G61" i="34" s="1"/>
  <c r="G55" i="12" s="1"/>
  <c r="F55" i="39" s="1"/>
  <c r="H142" i="11"/>
  <c r="H178" i="11"/>
  <c r="H266" i="11"/>
  <c r="H73" i="11"/>
  <c r="O73" i="11" s="1"/>
  <c r="G79" i="34" s="1"/>
  <c r="G73" i="12" s="1"/>
  <c r="F73" i="39" s="1"/>
  <c r="H60" i="11"/>
  <c r="H72" i="11"/>
  <c r="O72" i="11" s="1"/>
  <c r="G78" i="34" s="1"/>
  <c r="G72" i="12" s="1"/>
  <c r="F72" i="39" s="1"/>
  <c r="H171" i="11"/>
  <c r="H243" i="11"/>
  <c r="O243" i="11" s="1"/>
  <c r="G249" i="34" s="1"/>
  <c r="G243" i="12" s="1"/>
  <c r="F243" i="39" s="1"/>
  <c r="H276" i="11"/>
  <c r="H222" i="11"/>
  <c r="H254" i="11"/>
  <c r="H289" i="11"/>
  <c r="O289" i="11" s="1"/>
  <c r="G295" i="34" s="1"/>
  <c r="G289" i="12" s="1"/>
  <c r="F289" i="39" s="1"/>
  <c r="H228" i="11"/>
  <c r="H259" i="11"/>
  <c r="H291" i="11"/>
  <c r="H35" i="11"/>
  <c r="O35" i="11" s="1"/>
  <c r="G41" i="34" s="1"/>
  <c r="G35" i="12" s="1"/>
  <c r="F35" i="39" s="1"/>
  <c r="H174" i="11"/>
  <c r="H45" i="11"/>
  <c r="H53" i="11"/>
  <c r="H160" i="11"/>
  <c r="O160" i="11" s="1"/>
  <c r="G166" i="34" s="1"/>
  <c r="G160" i="12" s="1"/>
  <c r="F160" i="39" s="1"/>
  <c r="H176" i="11"/>
  <c r="H217" i="11"/>
  <c r="O217" i="11" s="1"/>
  <c r="G223" i="34" s="1"/>
  <c r="G217" i="12" s="1"/>
  <c r="F217" i="39" s="1"/>
  <c r="H249" i="11"/>
  <c r="H278" i="11"/>
  <c r="O278" i="11" s="1"/>
  <c r="G284" i="34" s="1"/>
  <c r="G278" i="12" s="1"/>
  <c r="F278" i="39" s="1"/>
  <c r="H44" i="11"/>
  <c r="H59" i="11"/>
  <c r="O59" i="11" s="1"/>
  <c r="G65" i="34" s="1"/>
  <c r="G59" i="12" s="1"/>
  <c r="F59" i="39" s="1"/>
  <c r="H149" i="11"/>
  <c r="H156" i="11"/>
  <c r="O156" i="11" s="1"/>
  <c r="G162" i="34" s="1"/>
  <c r="G156" i="12" s="1"/>
  <c r="F156" i="39" s="1"/>
  <c r="H274" i="11"/>
  <c r="H19" i="11"/>
  <c r="H62" i="11"/>
  <c r="H76" i="11"/>
  <c r="O76" i="11" s="1"/>
  <c r="G82" i="34" s="1"/>
  <c r="G76" i="12" s="1"/>
  <c r="F76" i="39" s="1"/>
  <c r="H169" i="11"/>
  <c r="H223" i="11"/>
  <c r="O223" i="11" s="1"/>
  <c r="G229" i="34" s="1"/>
  <c r="G223" i="12" s="1"/>
  <c r="F223" i="39" s="1"/>
  <c r="H255" i="11"/>
  <c r="H288" i="11"/>
  <c r="O288" i="11" s="1"/>
  <c r="G294" i="34" s="1"/>
  <c r="G288" i="12" s="1"/>
  <c r="F288" i="39" s="1"/>
  <c r="H226" i="11"/>
  <c r="O226" i="11" s="1"/>
  <c r="G232" i="34" s="1"/>
  <c r="G226" i="12" s="1"/>
  <c r="F226" i="39" s="1"/>
  <c r="H261" i="11"/>
  <c r="H293" i="11"/>
  <c r="H240" i="11"/>
  <c r="O240" i="11" s="1"/>
  <c r="G246" i="34" s="1"/>
  <c r="G240" i="12" s="1"/>
  <c r="F240" i="39" s="1"/>
  <c r="H271" i="11"/>
  <c r="H303" i="11"/>
  <c r="H47" i="11"/>
  <c r="H54" i="11"/>
  <c r="O54" i="11" s="1"/>
  <c r="G60" i="34" s="1"/>
  <c r="G54" i="12" s="1"/>
  <c r="F54" i="39" s="1"/>
  <c r="H177" i="11"/>
  <c r="H272" i="11"/>
  <c r="H256" i="11"/>
  <c r="H41" i="11"/>
  <c r="H27" i="11"/>
  <c r="H145" i="11"/>
  <c r="H34" i="11"/>
  <c r="H30" i="11"/>
  <c r="O30" i="11" s="1"/>
  <c r="G36" i="34" s="1"/>
  <c r="G30" i="12" s="1"/>
  <c r="F30" i="39" s="1"/>
  <c r="H26" i="11"/>
  <c r="H67" i="11"/>
  <c r="H154" i="11"/>
  <c r="H141" i="11"/>
  <c r="O141" i="11" s="1"/>
  <c r="G147" i="34" s="1"/>
  <c r="G141" i="12" s="1"/>
  <c r="F141" i="39" s="1"/>
  <c r="H282" i="11"/>
  <c r="O282" i="11" s="1"/>
  <c r="G288" i="34" s="1"/>
  <c r="G282" i="12" s="1"/>
  <c r="F282" i="39" s="1"/>
  <c r="H11" i="11"/>
  <c r="H64" i="11"/>
  <c r="H159" i="11"/>
  <c r="O159" i="11" s="1"/>
  <c r="G165" i="34" s="1"/>
  <c r="G159" i="12" s="1"/>
  <c r="F159" i="39" s="1"/>
  <c r="H175" i="11"/>
  <c r="H219" i="11"/>
  <c r="H251" i="11"/>
  <c r="O251" i="11" s="1"/>
  <c r="G257" i="34" s="1"/>
  <c r="G251" i="12" s="1"/>
  <c r="F251" i="39" s="1"/>
  <c r="H284" i="11"/>
  <c r="O284" i="11" s="1"/>
  <c r="G290" i="34" s="1"/>
  <c r="G284" i="12" s="1"/>
  <c r="F284" i="39" s="1"/>
  <c r="H230" i="11"/>
  <c r="H265" i="11"/>
  <c r="O265" i="11" s="1"/>
  <c r="G271" i="34" s="1"/>
  <c r="G265" i="12" s="1"/>
  <c r="F265" i="39" s="1"/>
  <c r="H297" i="11"/>
  <c r="H236" i="11"/>
  <c r="O236" i="11" s="1"/>
  <c r="G242" i="34" s="1"/>
  <c r="G236" i="12" s="1"/>
  <c r="F236" i="39" s="1"/>
  <c r="H267" i="11"/>
  <c r="H299" i="11"/>
  <c r="O299" i="11" s="1"/>
  <c r="G305" i="34" s="1"/>
  <c r="G299" i="12" s="1"/>
  <c r="F299" i="39" s="1"/>
  <c r="H33" i="11"/>
  <c r="H146" i="11"/>
  <c r="O146" i="11" s="1"/>
  <c r="G152" i="34" s="1"/>
  <c r="G146" i="12" s="1"/>
  <c r="F146" i="39" s="1"/>
  <c r="H157" i="11"/>
  <c r="O157" i="11" s="1"/>
  <c r="G163" i="34" s="1"/>
  <c r="G157" i="12" s="1"/>
  <c r="F157" i="39" s="1"/>
  <c r="H221" i="11"/>
  <c r="O221" i="11" s="1"/>
  <c r="G227" i="34" s="1"/>
  <c r="G221" i="12" s="1"/>
  <c r="F221" i="39" s="1"/>
  <c r="H38" i="11"/>
  <c r="H75" i="11"/>
  <c r="O75" i="11" s="1"/>
  <c r="G81" i="34" s="1"/>
  <c r="G75" i="12" s="1"/>
  <c r="F75" i="39" s="1"/>
  <c r="H57" i="11"/>
  <c r="H74" i="11"/>
  <c r="H164" i="11"/>
  <c r="H180" i="11"/>
  <c r="O180" i="11" s="1"/>
  <c r="G186" i="34" s="1"/>
  <c r="G180" i="12" s="1"/>
  <c r="F180" i="39" s="1"/>
  <c r="H225" i="11"/>
  <c r="H257" i="11"/>
  <c r="O257" i="11" s="1"/>
  <c r="G263" i="34" s="1"/>
  <c r="G257" i="12" s="1"/>
  <c r="F257" i="39" s="1"/>
  <c r="H286" i="11"/>
  <c r="H150" i="11"/>
  <c r="O150" i="11" s="1"/>
  <c r="G156" i="34" s="1"/>
  <c r="G150" i="12" s="1"/>
  <c r="F150" i="39" s="1"/>
  <c r="H237" i="11"/>
  <c r="H290" i="11"/>
  <c r="H21" i="11"/>
  <c r="H50" i="11"/>
  <c r="O50" i="11" s="1"/>
  <c r="G56" i="34" s="1"/>
  <c r="G50" i="12" s="1"/>
  <c r="F50" i="39" s="1"/>
  <c r="H66" i="11"/>
  <c r="H173" i="11"/>
  <c r="H231" i="11"/>
  <c r="H264" i="11"/>
  <c r="O264" i="11" s="1"/>
  <c r="G270" i="34" s="1"/>
  <c r="G264" i="12" s="1"/>
  <c r="F264" i="39" s="1"/>
  <c r="H296" i="11"/>
  <c r="O296" i="11" s="1"/>
  <c r="G302" i="34" s="1"/>
  <c r="G296" i="12" s="1"/>
  <c r="F296" i="39" s="1"/>
  <c r="H234" i="11"/>
  <c r="H269" i="11"/>
  <c r="H301" i="11"/>
  <c r="O301" i="11" s="1"/>
  <c r="G307" i="34" s="1"/>
  <c r="G301" i="12" s="1"/>
  <c r="F301" i="39" s="1"/>
  <c r="H216" i="11"/>
  <c r="H248" i="11"/>
  <c r="O248" i="11" s="1"/>
  <c r="G254" i="34" s="1"/>
  <c r="G248" i="12" s="1"/>
  <c r="F248" i="39" s="1"/>
  <c r="H279" i="11"/>
  <c r="H31" i="11"/>
  <c r="O31" i="11" s="1"/>
  <c r="G37" i="34" s="1"/>
  <c r="G31" i="12" s="1"/>
  <c r="F31" i="39" s="1"/>
  <c r="H78" i="11"/>
  <c r="O78" i="11" s="1"/>
  <c r="G84" i="34" s="1"/>
  <c r="G78" i="12" s="1"/>
  <c r="F78" i="39" s="1"/>
  <c r="H298" i="11"/>
  <c r="H13" i="11"/>
  <c r="H260" i="11"/>
  <c r="O260" i="11" s="1"/>
  <c r="G266" i="34" s="1"/>
  <c r="G260" i="12" s="1"/>
  <c r="F260" i="39" s="1"/>
  <c r="H238" i="11"/>
  <c r="O238" i="11" s="1"/>
  <c r="G244" i="34" s="1"/>
  <c r="G238" i="12" s="1"/>
  <c r="F238" i="39" s="1"/>
  <c r="H305" i="11"/>
  <c r="H275" i="11"/>
  <c r="H143" i="11"/>
  <c r="O143" i="11" s="1"/>
  <c r="G149" i="34" s="1"/>
  <c r="G143" i="12" s="1"/>
  <c r="F143" i="39" s="1"/>
  <c r="H42" i="11"/>
  <c r="H61" i="11"/>
  <c r="H168" i="11"/>
  <c r="H262" i="11"/>
  <c r="O262" i="11" s="1"/>
  <c r="G268" i="34" s="1"/>
  <c r="G262" i="12" s="1"/>
  <c r="F262" i="39" s="1"/>
  <c r="H294" i="11"/>
  <c r="H158" i="11"/>
  <c r="H37" i="11"/>
  <c r="H239" i="11"/>
  <c r="O239" i="11" s="1"/>
  <c r="G245" i="34" s="1"/>
  <c r="G239" i="12" s="1"/>
  <c r="F239" i="39" s="1"/>
  <c r="H277" i="11"/>
  <c r="O277" i="11" s="1"/>
  <c r="G283" i="34" s="1"/>
  <c r="G277" i="12" s="1"/>
  <c r="F277" i="39" s="1"/>
  <c r="O267" i="11"/>
  <c r="O294" i="11"/>
  <c r="O33" i="11"/>
  <c r="O170" i="11"/>
  <c r="O29" i="11"/>
  <c r="G35" i="34" s="1"/>
  <c r="G29" i="12" s="1"/>
  <c r="F29" i="39" s="1"/>
  <c r="O275" i="11"/>
  <c r="G281" i="34" s="1"/>
  <c r="G275" i="12" s="1"/>
  <c r="F275" i="39" s="1"/>
  <c r="O228" i="11"/>
  <c r="G234" i="34" s="1"/>
  <c r="G228" i="12" s="1"/>
  <c r="F228" i="39" s="1"/>
  <c r="O51" i="11"/>
  <c r="O110" i="11"/>
  <c r="G116" i="34" s="1"/>
  <c r="G110" i="12" s="1"/>
  <c r="F110" i="39" s="1"/>
  <c r="O206" i="11"/>
  <c r="O64" i="11"/>
  <c r="G70" i="34" s="1"/>
  <c r="G64" i="12" s="1"/>
  <c r="F64" i="39" s="1"/>
  <c r="O91" i="11"/>
  <c r="G97" i="34" s="1"/>
  <c r="G91" i="12" s="1"/>
  <c r="F91" i="39" s="1"/>
  <c r="O191" i="11"/>
  <c r="G197" i="34" s="1"/>
  <c r="G191" i="12" s="1"/>
  <c r="F191" i="39" s="1"/>
  <c r="O133" i="11"/>
  <c r="G139" i="34" s="1"/>
  <c r="G133" i="12" s="1"/>
  <c r="F133" i="39" s="1"/>
  <c r="O93" i="11"/>
  <c r="G99" i="34" s="1"/>
  <c r="G93" i="12" s="1"/>
  <c r="F93" i="39" s="1"/>
  <c r="O106" i="11"/>
  <c r="O96" i="11"/>
  <c r="G102" i="34" s="1"/>
  <c r="G96" i="12" s="1"/>
  <c r="F96" i="39" s="1"/>
  <c r="O120" i="11"/>
  <c r="O169" i="11"/>
  <c r="G175" i="34" s="1"/>
  <c r="G169" i="12" s="1"/>
  <c r="O172" i="11"/>
  <c r="G178" i="34" s="1"/>
  <c r="G172" i="12" s="1"/>
  <c r="F172" i="39" s="1"/>
  <c r="O69" i="11"/>
  <c r="G75" i="34" s="1"/>
  <c r="G69" i="12" s="1"/>
  <c r="F69" i="39" s="1"/>
  <c r="O174" i="11"/>
  <c r="O44" i="11"/>
  <c r="O256" i="11"/>
  <c r="G262" i="34" s="1"/>
  <c r="G256" i="12" s="1"/>
  <c r="F256" i="39" s="1"/>
  <c r="O305" i="11"/>
  <c r="O293" i="11"/>
  <c r="O298" i="11"/>
  <c r="G304" i="34" s="1"/>
  <c r="G298" i="12" s="1"/>
  <c r="F298" i="39" s="1"/>
  <c r="O151" i="11"/>
  <c r="G157" i="34" s="1"/>
  <c r="G151" i="12" s="1"/>
  <c r="F151" i="39" s="1"/>
  <c r="O279" i="11"/>
  <c r="O242" i="11"/>
  <c r="G248" i="34" s="1"/>
  <c r="G242" i="12" s="1"/>
  <c r="F242" i="39" s="1"/>
  <c r="O177" i="11"/>
  <c r="G183" i="34" s="1"/>
  <c r="G177" i="12" s="1"/>
  <c r="F177" i="39" s="1"/>
  <c r="O15" i="11"/>
  <c r="O286" i="11"/>
  <c r="O164" i="11"/>
  <c r="O38" i="11"/>
  <c r="O9" i="11"/>
  <c r="O24" i="11"/>
  <c r="O48" i="11"/>
  <c r="O171" i="11"/>
  <c r="G177" i="34" s="1"/>
  <c r="G171" i="12" s="1"/>
  <c r="F171" i="39" s="1"/>
  <c r="O235" i="11"/>
  <c r="O297" i="11"/>
  <c r="G303" i="34" s="1"/>
  <c r="G297" i="12" s="1"/>
  <c r="F297" i="39" s="1"/>
  <c r="O303" i="11"/>
  <c r="O269" i="11"/>
  <c r="G275" i="34" s="1"/>
  <c r="G269" i="12" s="1"/>
  <c r="F269" i="39" s="1"/>
  <c r="O231" i="11"/>
  <c r="O246" i="11"/>
  <c r="O176" i="11"/>
  <c r="O41" i="11"/>
  <c r="G47" i="34" s="1"/>
  <c r="G41" i="12" s="1"/>
  <c r="F41" i="39" s="1"/>
  <c r="O18" i="11"/>
  <c r="O67" i="11"/>
  <c r="O105" i="11"/>
  <c r="G111" i="34" s="1"/>
  <c r="G105" i="12" s="1"/>
  <c r="F105" i="39" s="1"/>
  <c r="O134" i="11"/>
  <c r="O92" i="11"/>
  <c r="G98" i="34" s="1"/>
  <c r="G92" i="12" s="1"/>
  <c r="F92" i="39" s="1"/>
  <c r="O181" i="11"/>
  <c r="O213" i="11"/>
  <c r="G219" i="34" s="1"/>
  <c r="G213" i="12" s="1"/>
  <c r="F213" i="39" s="1"/>
  <c r="O210" i="11"/>
  <c r="O203" i="11"/>
  <c r="O99" i="11"/>
  <c r="G105" i="34" s="1"/>
  <c r="G99" i="12" s="1"/>
  <c r="F99" i="39" s="1"/>
  <c r="O199" i="11"/>
  <c r="G205" i="34" s="1"/>
  <c r="G199" i="12" s="1"/>
  <c r="F199" i="39" s="1"/>
  <c r="O119" i="11"/>
  <c r="G125" i="34" s="1"/>
  <c r="G119" i="12" s="1"/>
  <c r="F119" i="39" s="1"/>
  <c r="O101" i="11"/>
  <c r="G107" i="34" s="1"/>
  <c r="G101" i="12" s="1"/>
  <c r="F101" i="39" s="1"/>
  <c r="O114" i="11"/>
  <c r="O104" i="11"/>
  <c r="G110" i="34" s="1"/>
  <c r="G104" i="12" s="1"/>
  <c r="F104" i="39" s="1"/>
  <c r="O193" i="11"/>
  <c r="O188" i="11"/>
  <c r="G194" i="34" s="1"/>
  <c r="G188" i="12" s="1"/>
  <c r="F188" i="39" s="1"/>
  <c r="O204" i="11"/>
  <c r="O162" i="11"/>
  <c r="G168" i="34" s="1"/>
  <c r="G162" i="12" s="1"/>
  <c r="F162" i="39" s="1"/>
  <c r="O300" i="11"/>
  <c r="G306" i="34" s="1"/>
  <c r="G300" i="12" s="1"/>
  <c r="F300" i="39" s="1"/>
  <c r="O47" i="11"/>
  <c r="O158" i="11"/>
  <c r="O259" i="11"/>
  <c r="O74" i="11"/>
  <c r="O224" i="11"/>
  <c r="O280" i="11"/>
  <c r="G286" i="34" s="1"/>
  <c r="G280" i="12" s="1"/>
  <c r="F280" i="39" s="1"/>
  <c r="O233" i="11"/>
  <c r="G239" i="34" s="1"/>
  <c r="G233" i="12" s="1"/>
  <c r="F233" i="39" s="1"/>
  <c r="O34" i="11"/>
  <c r="O222" i="11"/>
  <c r="G228" i="34" s="1"/>
  <c r="G222" i="12" s="1"/>
  <c r="F222" i="39" s="1"/>
  <c r="O20" i="11"/>
  <c r="O149" i="11"/>
  <c r="G155" i="34" s="1"/>
  <c r="G149" i="12" s="1"/>
  <c r="F149" i="39" s="1"/>
  <c r="O266" i="11"/>
  <c r="G272" i="34" s="1"/>
  <c r="G266" i="12" s="1"/>
  <c r="F266" i="39" s="1"/>
  <c r="O230" i="11"/>
  <c r="O304" i="11"/>
  <c r="G310" i="34" s="1"/>
  <c r="G304" i="12" s="1"/>
  <c r="F304" i="39" s="1"/>
  <c r="O281" i="11"/>
  <c r="G287" i="34" s="1"/>
  <c r="G281" i="12" s="1"/>
  <c r="F281" i="39" s="1"/>
  <c r="O155" i="11"/>
  <c r="O25" i="11"/>
  <c r="O253" i="11"/>
  <c r="G259" i="34" s="1"/>
  <c r="G253" i="12" s="1"/>
  <c r="O276" i="11"/>
  <c r="G282" i="34" s="1"/>
  <c r="G276" i="12" s="1"/>
  <c r="F276" i="39" s="1"/>
  <c r="O255" i="11"/>
  <c r="O241" i="11"/>
  <c r="O8" i="11"/>
  <c r="G14" i="34" s="1"/>
  <c r="G8" i="12" s="1"/>
  <c r="F8" i="39" s="1"/>
  <c r="O229" i="11"/>
  <c r="G235" i="34" s="1"/>
  <c r="G229" i="12" s="1"/>
  <c r="F229" i="39" s="1"/>
  <c r="O28" i="11"/>
  <c r="O292" i="11"/>
  <c r="O271" i="11"/>
  <c r="G277" i="34" s="1"/>
  <c r="G271" i="12" s="1"/>
  <c r="F271" i="39" s="1"/>
  <c r="O234" i="11"/>
  <c r="G240" i="34" s="1"/>
  <c r="G234" i="12" s="1"/>
  <c r="F234" i="39" s="1"/>
  <c r="O173" i="11"/>
  <c r="O22" i="11"/>
  <c r="G28" i="34" s="1"/>
  <c r="G22" i="12" s="1"/>
  <c r="F22" i="39" s="1"/>
  <c r="O13" i="11"/>
  <c r="G19" i="34" s="1"/>
  <c r="G13" i="12" s="1"/>
  <c r="F13" i="39" s="1"/>
  <c r="O66" i="11"/>
  <c r="G72" i="34" s="1"/>
  <c r="G66" i="12" s="1"/>
  <c r="F66" i="39" s="1"/>
  <c r="O122" i="11"/>
  <c r="O113" i="11"/>
  <c r="O94" i="11"/>
  <c r="G100" i="34" s="1"/>
  <c r="G94" i="12" s="1"/>
  <c r="F94" i="39" s="1"/>
  <c r="O100" i="11"/>
  <c r="O189" i="11"/>
  <c r="G195" i="34" s="1"/>
  <c r="G189" i="12" s="1"/>
  <c r="F189" i="39" s="1"/>
  <c r="O182" i="11"/>
  <c r="O198" i="11"/>
  <c r="G204" i="34" s="1"/>
  <c r="G198" i="12" s="1"/>
  <c r="F198" i="39" s="1"/>
  <c r="O214" i="11"/>
  <c r="O53" i="11"/>
  <c r="G59" i="34" s="1"/>
  <c r="G53" i="12" s="1"/>
  <c r="F53" i="39" s="1"/>
  <c r="O211" i="11"/>
  <c r="O58" i="11"/>
  <c r="G64" i="34" s="1"/>
  <c r="G58" i="12" s="1"/>
  <c r="F58" i="39" s="1"/>
  <c r="O129" i="11"/>
  <c r="G135" i="34" s="1"/>
  <c r="G129" i="12" s="1"/>
  <c r="F129" i="39" s="1"/>
  <c r="O207" i="11"/>
  <c r="O137" i="11"/>
  <c r="O62" i="11"/>
  <c r="O109" i="11"/>
  <c r="O90" i="11"/>
  <c r="O112" i="11"/>
  <c r="G118" i="34" s="1"/>
  <c r="G112" i="12" s="1"/>
  <c r="F112" i="39" s="1"/>
  <c r="O118" i="11"/>
  <c r="O208" i="11"/>
  <c r="G214" i="34" s="1"/>
  <c r="G208" i="12" s="1"/>
  <c r="F208" i="39" s="1"/>
  <c r="O46" i="11"/>
  <c r="O250" i="11"/>
  <c r="O152" i="11"/>
  <c r="G158" i="34" s="1"/>
  <c r="G152" i="12" s="1"/>
  <c r="F152" i="39" s="1"/>
  <c r="O145" i="11"/>
  <c r="O132" i="11"/>
  <c r="G138" i="34" s="1"/>
  <c r="G132" i="12" s="1"/>
  <c r="F132" i="39" s="1"/>
  <c r="O27" i="11"/>
  <c r="O232" i="11"/>
  <c r="G238" i="34" s="1"/>
  <c r="G232" i="12" s="1"/>
  <c r="F232" i="39" s="1"/>
  <c r="O290" i="11"/>
  <c r="G296" i="34" s="1"/>
  <c r="G290" i="12" s="1"/>
  <c r="F290" i="39" s="1"/>
  <c r="O43" i="11"/>
  <c r="O7" i="11"/>
  <c r="O144" i="11"/>
  <c r="G150" i="34" s="1"/>
  <c r="G144" i="12" s="1"/>
  <c r="F144" i="39" s="1"/>
  <c r="O17" i="11"/>
  <c r="O125" i="11"/>
  <c r="G131" i="34" s="1"/>
  <c r="G125" i="12" s="1"/>
  <c r="F125" i="39" s="1"/>
  <c r="O136" i="11"/>
  <c r="G142" i="34" s="1"/>
  <c r="G136" i="12" s="1"/>
  <c r="F136" i="39" s="1"/>
  <c r="O190" i="11"/>
  <c r="G196" i="34" s="1"/>
  <c r="G190" i="12" s="1"/>
  <c r="F190" i="39" s="1"/>
  <c r="O195" i="11"/>
  <c r="O121" i="11"/>
  <c r="O95" i="11"/>
  <c r="G101" i="34" s="1"/>
  <c r="G95" i="12" s="1"/>
  <c r="F95" i="39" s="1"/>
  <c r="O63" i="11"/>
  <c r="G69" i="34" s="1"/>
  <c r="G63" i="12" s="1"/>
  <c r="F63" i="39" s="1"/>
  <c r="O142" i="11"/>
  <c r="G148" i="34" s="1"/>
  <c r="G142" i="12" s="1"/>
  <c r="F142" i="39" s="1"/>
  <c r="O261" i="11"/>
  <c r="O19" i="11"/>
  <c r="G25" i="34" s="1"/>
  <c r="G19" i="12" s="1"/>
  <c r="F19" i="39" s="1"/>
  <c r="O68" i="11"/>
  <c r="O11" i="11"/>
  <c r="G17" i="34" s="1"/>
  <c r="G11" i="12" s="1"/>
  <c r="F11" i="39" s="1"/>
  <c r="O274" i="11"/>
  <c r="G280" i="34" s="1"/>
  <c r="G274" i="12" s="1"/>
  <c r="F274" i="39" s="1"/>
  <c r="O154" i="11"/>
  <c r="G160" i="34" s="1"/>
  <c r="G154" i="12" s="1"/>
  <c r="F154" i="39" s="1"/>
  <c r="O254" i="11"/>
  <c r="O21" i="11"/>
  <c r="O285" i="11"/>
  <c r="O247" i="11"/>
  <c r="O168" i="11"/>
  <c r="O42" i="11"/>
  <c r="O219" i="11"/>
  <c r="G225" i="34" s="1"/>
  <c r="G219" i="12" s="1"/>
  <c r="F219" i="39" s="1"/>
  <c r="O32" i="11"/>
  <c r="O167" i="11"/>
  <c r="G173" i="34" s="1"/>
  <c r="G167" i="12" s="1"/>
  <c r="F167" i="39" s="1"/>
  <c r="O237" i="11"/>
  <c r="O36" i="11"/>
  <c r="O227" i="11"/>
  <c r="G233" i="34" s="1"/>
  <c r="G227" i="12" s="1"/>
  <c r="F227" i="39" s="1"/>
  <c r="O216" i="11"/>
  <c r="G222" i="34" s="1"/>
  <c r="G216" i="12" s="1"/>
  <c r="F216" i="39" s="1"/>
  <c r="O272" i="11"/>
  <c r="O225" i="11"/>
  <c r="O26" i="11"/>
  <c r="G32" i="34" s="1"/>
  <c r="G26" i="12" s="1"/>
  <c r="F26" i="39" s="1"/>
  <c r="O178" i="11"/>
  <c r="G184" i="34" s="1"/>
  <c r="G178" i="12" s="1"/>
  <c r="F178" i="39" s="1"/>
  <c r="O37" i="11"/>
  <c r="O14" i="11"/>
  <c r="O291" i="11"/>
  <c r="G297" i="34" s="1"/>
  <c r="G291" i="12" s="1"/>
  <c r="F291" i="39" s="1"/>
  <c r="O179" i="11"/>
  <c r="G185" i="34" s="1"/>
  <c r="G179" i="12" s="1"/>
  <c r="F179" i="39" s="1"/>
  <c r="O45" i="11"/>
  <c r="G51" i="34" s="1"/>
  <c r="G45" i="12" s="1"/>
  <c r="F45" i="39" s="1"/>
  <c r="O249" i="11"/>
  <c r="G255" i="34" s="1"/>
  <c r="G249" i="12" s="1"/>
  <c r="F249" i="39" s="1"/>
  <c r="O175" i="11"/>
  <c r="G181" i="34" s="1"/>
  <c r="G175" i="12" s="1"/>
  <c r="F175" i="39" s="1"/>
  <c r="O79" i="11"/>
  <c r="O87" i="11"/>
  <c r="O52" i="11"/>
  <c r="G58" i="34" s="1"/>
  <c r="G52" i="12" s="1"/>
  <c r="F52" i="39" s="1"/>
  <c r="O57" i="11"/>
  <c r="O139" i="11"/>
  <c r="G145" i="34" s="1"/>
  <c r="G139" i="12" s="1"/>
  <c r="F139" i="39" s="1"/>
  <c r="O108" i="11"/>
  <c r="O197" i="11"/>
  <c r="O202" i="11"/>
  <c r="G208" i="34" s="1"/>
  <c r="G202" i="12" s="1"/>
  <c r="F202" i="39" s="1"/>
  <c r="O138" i="11"/>
  <c r="O103" i="11"/>
  <c r="O56" i="11"/>
  <c r="O61" i="11"/>
  <c r="G67" i="34" s="1"/>
  <c r="G61" i="12" s="1"/>
  <c r="F61" i="39" s="1"/>
  <c r="O130" i="11"/>
  <c r="G136" i="34" s="1"/>
  <c r="G130" i="12" s="1"/>
  <c r="F130" i="39" s="1"/>
  <c r="O60" i="11"/>
  <c r="O85" i="11"/>
  <c r="O49" i="11"/>
  <c r="G55" i="34" s="1"/>
  <c r="G49" i="12" s="1"/>
  <c r="F49" i="39" s="1"/>
  <c r="O98" i="11"/>
  <c r="O127" i="11"/>
  <c r="O209" i="11"/>
  <c r="G215" i="34" s="1"/>
  <c r="G209" i="12" s="1"/>
  <c r="F209" i="39" s="1"/>
  <c r="O196" i="11"/>
  <c r="O212" i="11"/>
  <c r="G34" i="34"/>
  <c r="G28" i="12" s="1"/>
  <c r="F28" i="39" s="1"/>
  <c r="G261" i="34"/>
  <c r="G255" i="12" s="1"/>
  <c r="F255" i="39" s="1"/>
  <c r="G124" i="34"/>
  <c r="G118" i="12" s="1"/>
  <c r="F118" i="39" s="1"/>
  <c r="G309" i="34"/>
  <c r="G303" i="12" s="1"/>
  <c r="F303" i="39" s="1"/>
  <c r="G42" i="34"/>
  <c r="G36" i="12" s="1"/>
  <c r="F36" i="39" s="1"/>
  <c r="G260" i="34"/>
  <c r="G254" i="12" s="1"/>
  <c r="F254" i="39" s="1"/>
  <c r="G176" i="34"/>
  <c r="G170" i="12" s="1"/>
  <c r="F170" i="39" s="1"/>
  <c r="G180" i="34"/>
  <c r="G174" i="12" s="1"/>
  <c r="F174" i="39" s="1"/>
  <c r="G44" i="34"/>
  <c r="G38" i="12" s="1"/>
  <c r="F38" i="39" s="1"/>
  <c r="G50" i="34"/>
  <c r="G44" i="12" s="1"/>
  <c r="F44" i="39" s="1"/>
  <c r="G217" i="34"/>
  <c r="G211" i="12" s="1"/>
  <c r="F211" i="39" s="1"/>
  <c r="G144" i="34"/>
  <c r="G138" i="12" s="1"/>
  <c r="F138" i="39" s="1"/>
  <c r="G151" i="34"/>
  <c r="G145" i="12" s="1"/>
  <c r="F145" i="39" s="1"/>
  <c r="G114" i="34"/>
  <c r="G108" i="12" s="1"/>
  <c r="F108" i="39" s="1"/>
  <c r="G40" i="34"/>
  <c r="G34" i="12" s="1"/>
  <c r="F34" i="39" s="1"/>
  <c r="G26" i="34"/>
  <c r="G20" i="12" s="1"/>
  <c r="F20" i="39" s="1"/>
  <c r="G199" i="34"/>
  <c r="G193" i="12" s="1"/>
  <c r="F193" i="39" s="1"/>
  <c r="G209" i="34"/>
  <c r="G203" i="12" s="1"/>
  <c r="F203" i="39" s="1"/>
  <c r="G38" i="34"/>
  <c r="G32" i="12" s="1"/>
  <c r="F32" i="39" s="1"/>
  <c r="G27" i="34"/>
  <c r="G21" i="12" s="1"/>
  <c r="F21" i="39" s="1"/>
  <c r="G220" i="34"/>
  <c r="G214" i="12" s="1"/>
  <c r="F214" i="39" s="1"/>
  <c r="G170" i="34"/>
  <c r="G164" i="12" s="1"/>
  <c r="F164" i="39" s="1"/>
  <c r="G133" i="34"/>
  <c r="G127" i="12" s="1"/>
  <c r="F127" i="39" s="1"/>
  <c r="G213" i="34"/>
  <c r="G207" i="12" s="1"/>
  <c r="F207" i="39" s="1"/>
  <c r="G23" i="34"/>
  <c r="G17" i="12" s="1"/>
  <c r="F17" i="39" s="1"/>
  <c r="G30" i="34"/>
  <c r="G24" i="12" s="1"/>
  <c r="F24" i="39" s="1"/>
  <c r="G201" i="34"/>
  <c r="G195" i="12" s="1"/>
  <c r="F195" i="39" s="1"/>
  <c r="G93" i="34"/>
  <c r="G87" i="12" s="1"/>
  <c r="F87" i="39" s="1"/>
  <c r="G52" i="34"/>
  <c r="G46" i="12" s="1"/>
  <c r="F46" i="39" s="1"/>
  <c r="G203" i="34"/>
  <c r="G197" i="12" s="1"/>
  <c r="F197" i="39" s="1"/>
  <c r="G218" i="34"/>
  <c r="G212" i="12" s="1"/>
  <c r="F212" i="39" s="1"/>
  <c r="G202" i="34"/>
  <c r="G196" i="12" s="1"/>
  <c r="F196" i="39" s="1"/>
  <c r="G140" i="34"/>
  <c r="G134" i="12" s="1"/>
  <c r="F134" i="39" s="1"/>
  <c r="G128" i="34"/>
  <c r="G122" i="12" s="1"/>
  <c r="F122" i="39" s="1"/>
  <c r="G85" i="34"/>
  <c r="G79" i="12" s="1"/>
  <c r="F79" i="39" s="1"/>
  <c r="G48" i="34"/>
  <c r="G42" i="12" s="1"/>
  <c r="F42" i="39" s="1"/>
  <c r="G231" i="34"/>
  <c r="G225" i="12" s="1"/>
  <c r="F225" i="39" s="1"/>
  <c r="G230" i="34"/>
  <c r="G224" i="12" s="1"/>
  <c r="F224" i="39" s="1"/>
  <c r="G265" i="34"/>
  <c r="G259" i="12" s="1"/>
  <c r="F259" i="39" s="1"/>
  <c r="G179" i="34"/>
  <c r="G173" i="12" s="1"/>
  <c r="F173" i="39" s="1"/>
  <c r="G247" i="34"/>
  <c r="G241" i="12" s="1"/>
  <c r="F241" i="39" s="1"/>
  <c r="G241" i="34"/>
  <c r="G235" i="12" s="1"/>
  <c r="F235" i="39" s="1"/>
  <c r="G66" i="34"/>
  <c r="G60" i="12" s="1"/>
  <c r="F60" i="39" s="1"/>
  <c r="G68" i="34"/>
  <c r="G62" i="12" s="1"/>
  <c r="F62" i="39" s="1"/>
  <c r="G73" i="34"/>
  <c r="G67" i="12" s="1"/>
  <c r="F67" i="39" s="1"/>
  <c r="G298" i="34"/>
  <c r="G292" i="12" s="1"/>
  <c r="F292" i="39" s="1"/>
  <c r="G253" i="34"/>
  <c r="G247" i="12" s="1"/>
  <c r="F247" i="39" s="1"/>
  <c r="G252" i="34"/>
  <c r="G246" i="12" s="1"/>
  <c r="F246" i="39" s="1"/>
  <c r="G292" i="34"/>
  <c r="G286" i="12" s="1"/>
  <c r="F286" i="39" s="1"/>
  <c r="G74" i="34"/>
  <c r="G68" i="12" s="1"/>
  <c r="F68" i="39" s="1"/>
  <c r="G115" i="34"/>
  <c r="G109" i="12" s="1"/>
  <c r="F109" i="39" s="1"/>
  <c r="G96" i="34"/>
  <c r="G90" i="12" s="1"/>
  <c r="F90" i="39" s="1"/>
  <c r="G63" i="34"/>
  <c r="G57" i="12" s="1"/>
  <c r="F57" i="39" s="1"/>
  <c r="G62" i="34"/>
  <c r="G56" i="12" s="1"/>
  <c r="F56" i="39" s="1"/>
  <c r="G187" i="34"/>
  <c r="G181" i="12" s="1"/>
  <c r="F181" i="39" s="1"/>
  <c r="G300" i="34"/>
  <c r="G294" i="12" s="1"/>
  <c r="F294" i="39" s="1"/>
  <c r="G57" i="34"/>
  <c r="G51" i="12" s="1"/>
  <c r="F51" i="39" s="1"/>
  <c r="G112" i="34"/>
  <c r="G106" i="12" s="1"/>
  <c r="F106" i="39" s="1"/>
  <c r="G285" i="34"/>
  <c r="G279" i="12" s="1"/>
  <c r="F279" i="39" s="1"/>
  <c r="G91" i="34"/>
  <c r="G85" i="12" s="1"/>
  <c r="F85" i="39" s="1"/>
  <c r="G216" i="34"/>
  <c r="G210" i="12" s="1"/>
  <c r="F210" i="39" s="1"/>
  <c r="G174" i="34"/>
  <c r="G168" i="12" s="1"/>
  <c r="F168" i="39" s="1"/>
  <c r="G54" i="34"/>
  <c r="G48" i="12" s="1"/>
  <c r="F48" i="39" s="1"/>
  <c r="G236" i="34"/>
  <c r="G230" i="12" s="1"/>
  <c r="F230" i="39" s="1"/>
  <c r="G256" i="34"/>
  <c r="G250" i="12" s="1"/>
  <c r="F250" i="39" s="1"/>
  <c r="G21" i="34"/>
  <c r="G15" i="12" s="1"/>
  <c r="F15" i="39" s="1"/>
  <c r="G80" i="34"/>
  <c r="G74" i="12" s="1"/>
  <c r="F74" i="39" s="1"/>
  <c r="G13" i="34"/>
  <c r="G7" i="12" s="1"/>
  <c r="F7" i="39" s="1"/>
  <c r="G31" i="34"/>
  <c r="G25" i="12" s="1"/>
  <c r="F25" i="39" s="1"/>
  <c r="G161" i="34"/>
  <c r="G155" i="12" s="1"/>
  <c r="F155" i="39" s="1"/>
  <c r="G119" i="34"/>
  <c r="G113" i="12" s="1"/>
  <c r="F113" i="39" s="1"/>
  <c r="G182" i="34"/>
  <c r="G176" i="12" s="1"/>
  <c r="F176" i="39" s="1"/>
  <c r="G273" i="34"/>
  <c r="G267" i="12" s="1"/>
  <c r="F267" i="39" s="1"/>
  <c r="G126" i="34"/>
  <c r="G120" i="12" s="1"/>
  <c r="F120" i="39" s="1"/>
  <c r="G299" i="34"/>
  <c r="G293" i="12" s="1"/>
  <c r="F293" i="39" s="1"/>
  <c r="G212" i="34"/>
  <c r="G206" i="12" s="1"/>
  <c r="F206" i="39" s="1"/>
  <c r="G120" i="34"/>
  <c r="G114" i="12" s="1"/>
  <c r="F114" i="39" s="1"/>
  <c r="G104" i="34"/>
  <c r="G98" i="12" s="1"/>
  <c r="F98" i="39" s="1"/>
  <c r="G267" i="34"/>
  <c r="G261" i="12" s="1"/>
  <c r="F261" i="39" s="1"/>
  <c r="G106" i="34"/>
  <c r="G100" i="12" s="1"/>
  <c r="F100" i="39" s="1"/>
  <c r="G33" i="34"/>
  <c r="G27" i="12" s="1"/>
  <c r="F27" i="39" s="1"/>
  <c r="G20" i="34"/>
  <c r="G14" i="12" s="1"/>
  <c r="F14" i="39" s="1"/>
  <c r="G164" i="34"/>
  <c r="G158" i="12" s="1"/>
  <c r="F158" i="39" s="1"/>
  <c r="G15" i="34"/>
  <c r="G9" i="12" s="1"/>
  <c r="F9" i="39" s="1"/>
  <c r="G127" i="34"/>
  <c r="G121" i="12" s="1"/>
  <c r="F121" i="39" s="1"/>
  <c r="G237" i="34"/>
  <c r="G231" i="12" s="1"/>
  <c r="F231" i="39" s="1"/>
  <c r="G109" i="34"/>
  <c r="G103" i="12" s="1"/>
  <c r="F103" i="39" s="1"/>
  <c r="G143" i="34"/>
  <c r="G137" i="12" s="1"/>
  <c r="F137" i="39" s="1"/>
  <c r="G49" i="34"/>
  <c r="G43" i="12" s="1"/>
  <c r="F43" i="39" s="1"/>
  <c r="G311" i="34"/>
  <c r="G305" i="12" s="1"/>
  <c r="F305" i="39" s="1"/>
  <c r="G188" i="34"/>
  <c r="G182" i="12" s="1"/>
  <c r="F182" i="39" s="1"/>
  <c r="G39" i="34"/>
  <c r="G33" i="12" s="1"/>
  <c r="F33" i="39" s="1"/>
  <c r="G53" i="34"/>
  <c r="G47" i="12" s="1"/>
  <c r="F47" i="39" s="1"/>
  <c r="G291" i="34"/>
  <c r="G285" i="12" s="1"/>
  <c r="F285" i="39" s="1"/>
  <c r="G243" i="34"/>
  <c r="G237" i="12" s="1"/>
  <c r="F237" i="39" s="1"/>
  <c r="G24" i="34"/>
  <c r="G18" i="12" s="1"/>
  <c r="F18" i="39" s="1"/>
  <c r="G278" i="34"/>
  <c r="G272" i="12" s="1"/>
  <c r="F272" i="39" s="1"/>
  <c r="G210" i="34"/>
  <c r="G204" i="12" s="1"/>
  <c r="F204" i="39" s="1"/>
  <c r="G43" i="34"/>
  <c r="G37" i="12" s="1"/>
  <c r="F37" i="39" s="1"/>
  <c r="H6" i="11"/>
  <c r="O6" i="11" s="1"/>
  <c r="G12" i="34" s="1"/>
  <c r="F306" i="12"/>
  <c r="F11" i="34"/>
  <c r="M306" i="11"/>
  <c r="H11" i="9"/>
  <c r="F169" i="39" l="1"/>
  <c r="F253" i="39"/>
  <c r="H14" i="9"/>
  <c r="I14" i="9" s="1"/>
  <c r="H18" i="9"/>
  <c r="I18" i="9" s="1"/>
  <c r="H22" i="9"/>
  <c r="I22" i="9" s="1"/>
  <c r="H26" i="9"/>
  <c r="I26" i="9" s="1"/>
  <c r="H30" i="9"/>
  <c r="I30" i="9" s="1"/>
  <c r="H34" i="9"/>
  <c r="I34" i="9" s="1"/>
  <c r="H38" i="9"/>
  <c r="I38" i="9" s="1"/>
  <c r="H42" i="9"/>
  <c r="I42" i="9" s="1"/>
  <c r="H46" i="9"/>
  <c r="I46" i="9" s="1"/>
  <c r="H50" i="9"/>
  <c r="I50" i="9" s="1"/>
  <c r="H54" i="9"/>
  <c r="I54" i="9" s="1"/>
  <c r="H58" i="9"/>
  <c r="I58" i="9" s="1"/>
  <c r="H62" i="9"/>
  <c r="I62" i="9" s="1"/>
  <c r="H66" i="9"/>
  <c r="I66" i="9" s="1"/>
  <c r="H70" i="9"/>
  <c r="I70" i="9" s="1"/>
  <c r="H74" i="9"/>
  <c r="I74" i="9" s="1"/>
  <c r="H78" i="9"/>
  <c r="I78" i="9" s="1"/>
  <c r="H82" i="9"/>
  <c r="I82" i="9" s="1"/>
  <c r="H86" i="9"/>
  <c r="I86" i="9" s="1"/>
  <c r="H90" i="9"/>
  <c r="I90" i="9" s="1"/>
  <c r="H15" i="9"/>
  <c r="I15" i="9" s="1"/>
  <c r="H19" i="9"/>
  <c r="I19" i="9" s="1"/>
  <c r="H23" i="9"/>
  <c r="I23" i="9" s="1"/>
  <c r="H27" i="9"/>
  <c r="I27" i="9" s="1"/>
  <c r="H31" i="9"/>
  <c r="I31" i="9" s="1"/>
  <c r="H35" i="9"/>
  <c r="I35" i="9" s="1"/>
  <c r="H39" i="9"/>
  <c r="I39" i="9" s="1"/>
  <c r="H43" i="9"/>
  <c r="I43" i="9" s="1"/>
  <c r="H47" i="9"/>
  <c r="I47" i="9" s="1"/>
  <c r="H51" i="9"/>
  <c r="I51" i="9" s="1"/>
  <c r="H55" i="9"/>
  <c r="I55" i="9" s="1"/>
  <c r="H59" i="9"/>
  <c r="I59" i="9" s="1"/>
  <c r="H63" i="9"/>
  <c r="I63" i="9" s="1"/>
  <c r="H67" i="9"/>
  <c r="I67" i="9" s="1"/>
  <c r="H71" i="9"/>
  <c r="I71" i="9" s="1"/>
  <c r="H75" i="9"/>
  <c r="I75" i="9" s="1"/>
  <c r="H79" i="9"/>
  <c r="I79" i="9" s="1"/>
  <c r="H83" i="9"/>
  <c r="I83" i="9" s="1"/>
  <c r="H87" i="9"/>
  <c r="I87" i="9" s="1"/>
  <c r="H91" i="9"/>
  <c r="I91" i="9" s="1"/>
  <c r="H95" i="9"/>
  <c r="I95" i="9" s="1"/>
  <c r="H99" i="9"/>
  <c r="I99" i="9" s="1"/>
  <c r="H103" i="9"/>
  <c r="I103" i="9" s="1"/>
  <c r="H107" i="9"/>
  <c r="I107" i="9" s="1"/>
  <c r="H111" i="9"/>
  <c r="I111" i="9" s="1"/>
  <c r="H115" i="9"/>
  <c r="I115" i="9" s="1"/>
  <c r="H119" i="9"/>
  <c r="I119" i="9" s="1"/>
  <c r="H123" i="9"/>
  <c r="I123" i="9" s="1"/>
  <c r="H16" i="9"/>
  <c r="I16" i="9" s="1"/>
  <c r="H20" i="9"/>
  <c r="I20" i="9" s="1"/>
  <c r="H24" i="9"/>
  <c r="I24" i="9" s="1"/>
  <c r="H28" i="9"/>
  <c r="I28" i="9" s="1"/>
  <c r="H32" i="9"/>
  <c r="I32" i="9" s="1"/>
  <c r="H36" i="9"/>
  <c r="I36" i="9" s="1"/>
  <c r="H40" i="9"/>
  <c r="I40" i="9" s="1"/>
  <c r="H44" i="9"/>
  <c r="I44" i="9" s="1"/>
  <c r="H48" i="9"/>
  <c r="I48" i="9" s="1"/>
  <c r="H52" i="9"/>
  <c r="I52" i="9" s="1"/>
  <c r="H56" i="9"/>
  <c r="I56" i="9" s="1"/>
  <c r="H60" i="9"/>
  <c r="I60" i="9" s="1"/>
  <c r="H64" i="9"/>
  <c r="I64" i="9" s="1"/>
  <c r="H68" i="9"/>
  <c r="I68" i="9" s="1"/>
  <c r="H72" i="9"/>
  <c r="I72" i="9" s="1"/>
  <c r="H76" i="9"/>
  <c r="I76" i="9" s="1"/>
  <c r="H80" i="9"/>
  <c r="I80" i="9" s="1"/>
  <c r="H84" i="9"/>
  <c r="I84" i="9" s="1"/>
  <c r="H88" i="9"/>
  <c r="I88" i="9" s="1"/>
  <c r="H92" i="9"/>
  <c r="I92" i="9" s="1"/>
  <c r="H96" i="9"/>
  <c r="I96" i="9" s="1"/>
  <c r="H100" i="9"/>
  <c r="I100" i="9" s="1"/>
  <c r="H104" i="9"/>
  <c r="I104" i="9" s="1"/>
  <c r="H108" i="9"/>
  <c r="I108" i="9" s="1"/>
  <c r="H112" i="9"/>
  <c r="I112" i="9" s="1"/>
  <c r="H116" i="9"/>
  <c r="I116" i="9" s="1"/>
  <c r="H120" i="9"/>
  <c r="I120" i="9" s="1"/>
  <c r="H124" i="9"/>
  <c r="I124" i="9" s="1"/>
  <c r="H13" i="9"/>
  <c r="I13" i="9" s="1"/>
  <c r="H17" i="9"/>
  <c r="I17" i="9" s="1"/>
  <c r="H25" i="9"/>
  <c r="I25" i="9" s="1"/>
  <c r="H41" i="9"/>
  <c r="I41" i="9" s="1"/>
  <c r="H57" i="9"/>
  <c r="I57" i="9" s="1"/>
  <c r="H73" i="9"/>
  <c r="I73" i="9" s="1"/>
  <c r="H89" i="9"/>
  <c r="I89" i="9" s="1"/>
  <c r="H127" i="9"/>
  <c r="I127" i="9" s="1"/>
  <c r="H131" i="9"/>
  <c r="I131" i="9" s="1"/>
  <c r="H135" i="9"/>
  <c r="I135" i="9" s="1"/>
  <c r="H139" i="9"/>
  <c r="I139" i="9" s="1"/>
  <c r="H143" i="9"/>
  <c r="I143" i="9" s="1"/>
  <c r="H147" i="9"/>
  <c r="I147" i="9" s="1"/>
  <c r="H151" i="9"/>
  <c r="I151" i="9" s="1"/>
  <c r="H155" i="9"/>
  <c r="I155" i="9" s="1"/>
  <c r="H159" i="9"/>
  <c r="I159" i="9" s="1"/>
  <c r="H163" i="9"/>
  <c r="I163" i="9" s="1"/>
  <c r="H167" i="9"/>
  <c r="I167" i="9" s="1"/>
  <c r="H171" i="9"/>
  <c r="I171" i="9" s="1"/>
  <c r="H175" i="9"/>
  <c r="I175" i="9" s="1"/>
  <c r="H21" i="9"/>
  <c r="I21" i="9" s="1"/>
  <c r="H37" i="9"/>
  <c r="I37" i="9" s="1"/>
  <c r="H53" i="9"/>
  <c r="I53" i="9" s="1"/>
  <c r="H69" i="9"/>
  <c r="I69" i="9" s="1"/>
  <c r="H85" i="9"/>
  <c r="I85" i="9" s="1"/>
  <c r="H97" i="9"/>
  <c r="I97" i="9" s="1"/>
  <c r="H98" i="9"/>
  <c r="I98" i="9" s="1"/>
  <c r="H105" i="9"/>
  <c r="I105" i="9" s="1"/>
  <c r="H106" i="9"/>
  <c r="I106" i="9" s="1"/>
  <c r="H113" i="9"/>
  <c r="I113" i="9" s="1"/>
  <c r="H114" i="9"/>
  <c r="I114" i="9" s="1"/>
  <c r="H121" i="9"/>
  <c r="I121" i="9" s="1"/>
  <c r="H122" i="9"/>
  <c r="I122" i="9" s="1"/>
  <c r="H128" i="9"/>
  <c r="I128" i="9" s="1"/>
  <c r="H132" i="9"/>
  <c r="I132" i="9" s="1"/>
  <c r="H136" i="9"/>
  <c r="I136" i="9" s="1"/>
  <c r="H140" i="9"/>
  <c r="I140" i="9" s="1"/>
  <c r="H144" i="9"/>
  <c r="I144" i="9" s="1"/>
  <c r="H148" i="9"/>
  <c r="I148" i="9" s="1"/>
  <c r="H152" i="9"/>
  <c r="I152" i="9" s="1"/>
  <c r="H156" i="9"/>
  <c r="I156" i="9" s="1"/>
  <c r="H33" i="9"/>
  <c r="I33" i="9" s="1"/>
  <c r="H49" i="9"/>
  <c r="I49" i="9" s="1"/>
  <c r="H65" i="9"/>
  <c r="I65" i="9" s="1"/>
  <c r="H81" i="9"/>
  <c r="I81" i="9" s="1"/>
  <c r="H129" i="9"/>
  <c r="I129" i="9" s="1"/>
  <c r="H133" i="9"/>
  <c r="I133" i="9" s="1"/>
  <c r="H137" i="9"/>
  <c r="I137" i="9" s="1"/>
  <c r="H141" i="9"/>
  <c r="I141" i="9" s="1"/>
  <c r="H145" i="9"/>
  <c r="I145" i="9" s="1"/>
  <c r="H149" i="9"/>
  <c r="I149" i="9" s="1"/>
  <c r="H153" i="9"/>
  <c r="I153" i="9" s="1"/>
  <c r="H157" i="9"/>
  <c r="I157" i="9" s="1"/>
  <c r="H161" i="9"/>
  <c r="I161" i="9" s="1"/>
  <c r="H165" i="9"/>
  <c r="I165" i="9" s="1"/>
  <c r="H169" i="9"/>
  <c r="I169" i="9" s="1"/>
  <c r="H173" i="9"/>
  <c r="I173" i="9" s="1"/>
  <c r="H45" i="9"/>
  <c r="I45" i="9" s="1"/>
  <c r="H77" i="9"/>
  <c r="I77" i="9" s="1"/>
  <c r="H130" i="9"/>
  <c r="I130" i="9" s="1"/>
  <c r="H146" i="9"/>
  <c r="I146" i="9" s="1"/>
  <c r="H160" i="9"/>
  <c r="I160" i="9" s="1"/>
  <c r="H168" i="9"/>
  <c r="I168" i="9" s="1"/>
  <c r="H176" i="9"/>
  <c r="I176" i="9" s="1"/>
  <c r="H180" i="9"/>
  <c r="I180" i="9" s="1"/>
  <c r="H184" i="9"/>
  <c r="I184" i="9" s="1"/>
  <c r="H188" i="9"/>
  <c r="I188" i="9" s="1"/>
  <c r="H192" i="9"/>
  <c r="I192" i="9" s="1"/>
  <c r="H196" i="9"/>
  <c r="I196" i="9" s="1"/>
  <c r="H200" i="9"/>
  <c r="I200" i="9" s="1"/>
  <c r="H204" i="9"/>
  <c r="I204" i="9" s="1"/>
  <c r="H208" i="9"/>
  <c r="I208" i="9" s="1"/>
  <c r="H212" i="9"/>
  <c r="I212" i="9" s="1"/>
  <c r="H216" i="9"/>
  <c r="I216" i="9" s="1"/>
  <c r="H220" i="9"/>
  <c r="I220" i="9" s="1"/>
  <c r="H224" i="9"/>
  <c r="I224" i="9" s="1"/>
  <c r="H228" i="9"/>
  <c r="I228" i="9" s="1"/>
  <c r="H232" i="9"/>
  <c r="I232" i="9" s="1"/>
  <c r="H236" i="9"/>
  <c r="I236" i="9" s="1"/>
  <c r="H240" i="9"/>
  <c r="I240" i="9" s="1"/>
  <c r="H244" i="9"/>
  <c r="I244" i="9" s="1"/>
  <c r="H248" i="9"/>
  <c r="I248" i="9" s="1"/>
  <c r="H252" i="9"/>
  <c r="I252" i="9" s="1"/>
  <c r="H256" i="9"/>
  <c r="I256" i="9" s="1"/>
  <c r="H260" i="9"/>
  <c r="I260" i="9" s="1"/>
  <c r="H264" i="9"/>
  <c r="I264" i="9" s="1"/>
  <c r="H268" i="9"/>
  <c r="I268" i="9" s="1"/>
  <c r="H272" i="9"/>
  <c r="I272" i="9" s="1"/>
  <c r="H94" i="9"/>
  <c r="I94" i="9" s="1"/>
  <c r="H102" i="9"/>
  <c r="I102" i="9" s="1"/>
  <c r="H110" i="9"/>
  <c r="I110" i="9" s="1"/>
  <c r="H118" i="9"/>
  <c r="I118" i="9" s="1"/>
  <c r="H126" i="9"/>
  <c r="I126" i="9" s="1"/>
  <c r="H142" i="9"/>
  <c r="I142" i="9" s="1"/>
  <c r="H158" i="9"/>
  <c r="I158" i="9" s="1"/>
  <c r="H166" i="9"/>
  <c r="I166" i="9" s="1"/>
  <c r="H174" i="9"/>
  <c r="I174" i="9" s="1"/>
  <c r="H177" i="9"/>
  <c r="I177" i="9" s="1"/>
  <c r="H181" i="9"/>
  <c r="I181" i="9" s="1"/>
  <c r="H185" i="9"/>
  <c r="I185" i="9" s="1"/>
  <c r="H189" i="9"/>
  <c r="I189" i="9" s="1"/>
  <c r="H193" i="9"/>
  <c r="I193" i="9" s="1"/>
  <c r="H197" i="9"/>
  <c r="I197" i="9" s="1"/>
  <c r="H201" i="9"/>
  <c r="I201" i="9" s="1"/>
  <c r="H205" i="9"/>
  <c r="I205" i="9" s="1"/>
  <c r="H209" i="9"/>
  <c r="I209" i="9" s="1"/>
  <c r="H213" i="9"/>
  <c r="I213" i="9" s="1"/>
  <c r="H217" i="9"/>
  <c r="I217" i="9" s="1"/>
  <c r="H221" i="9"/>
  <c r="I221" i="9" s="1"/>
  <c r="H225" i="9"/>
  <c r="I225" i="9" s="1"/>
  <c r="H229" i="9"/>
  <c r="I229" i="9" s="1"/>
  <c r="H233" i="9"/>
  <c r="I233" i="9" s="1"/>
  <c r="H237" i="9"/>
  <c r="I237" i="9" s="1"/>
  <c r="H241" i="9"/>
  <c r="I241" i="9" s="1"/>
  <c r="H245" i="9"/>
  <c r="I245" i="9" s="1"/>
  <c r="H249" i="9"/>
  <c r="I249" i="9" s="1"/>
  <c r="H29" i="9"/>
  <c r="I29" i="9" s="1"/>
  <c r="H61" i="9"/>
  <c r="I61" i="9" s="1"/>
  <c r="H93" i="9"/>
  <c r="I93" i="9" s="1"/>
  <c r="H101" i="9"/>
  <c r="I101" i="9" s="1"/>
  <c r="H109" i="9"/>
  <c r="I109" i="9" s="1"/>
  <c r="H117" i="9"/>
  <c r="I117" i="9" s="1"/>
  <c r="H125" i="9"/>
  <c r="I125" i="9" s="1"/>
  <c r="H138" i="9"/>
  <c r="I138" i="9" s="1"/>
  <c r="H154" i="9"/>
  <c r="I154" i="9" s="1"/>
  <c r="H164" i="9"/>
  <c r="I164" i="9" s="1"/>
  <c r="H172" i="9"/>
  <c r="I172" i="9" s="1"/>
  <c r="H178" i="9"/>
  <c r="I178" i="9" s="1"/>
  <c r="H182" i="9"/>
  <c r="I182" i="9" s="1"/>
  <c r="H186" i="9"/>
  <c r="I186" i="9" s="1"/>
  <c r="H190" i="9"/>
  <c r="I190" i="9" s="1"/>
  <c r="H194" i="9"/>
  <c r="I194" i="9" s="1"/>
  <c r="H198" i="9"/>
  <c r="I198" i="9" s="1"/>
  <c r="H202" i="9"/>
  <c r="I202" i="9" s="1"/>
  <c r="H206" i="9"/>
  <c r="I206" i="9" s="1"/>
  <c r="H210" i="9"/>
  <c r="I210" i="9" s="1"/>
  <c r="H214" i="9"/>
  <c r="I214" i="9" s="1"/>
  <c r="H218" i="9"/>
  <c r="I218" i="9" s="1"/>
  <c r="H222" i="9"/>
  <c r="I222" i="9" s="1"/>
  <c r="H226" i="9"/>
  <c r="I226" i="9" s="1"/>
  <c r="H230" i="9"/>
  <c r="I230" i="9" s="1"/>
  <c r="H234" i="9"/>
  <c r="I234" i="9" s="1"/>
  <c r="H238" i="9"/>
  <c r="I238" i="9" s="1"/>
  <c r="H242" i="9"/>
  <c r="I242" i="9" s="1"/>
  <c r="H150" i="9"/>
  <c r="I150" i="9" s="1"/>
  <c r="H183" i="9"/>
  <c r="I183" i="9" s="1"/>
  <c r="H199" i="9"/>
  <c r="I199" i="9" s="1"/>
  <c r="H215" i="9"/>
  <c r="I215" i="9" s="1"/>
  <c r="H231" i="9"/>
  <c r="I231" i="9" s="1"/>
  <c r="H235" i="9"/>
  <c r="I235" i="9" s="1"/>
  <c r="H239" i="9"/>
  <c r="I239" i="9" s="1"/>
  <c r="H243" i="9"/>
  <c r="I243" i="9" s="1"/>
  <c r="H250" i="9"/>
  <c r="I250" i="9" s="1"/>
  <c r="H251" i="9"/>
  <c r="I251" i="9" s="1"/>
  <c r="H255" i="9"/>
  <c r="I255" i="9" s="1"/>
  <c r="H257" i="9"/>
  <c r="I257" i="9" s="1"/>
  <c r="H258" i="9"/>
  <c r="I258" i="9" s="1"/>
  <c r="H271" i="9"/>
  <c r="I271" i="9" s="1"/>
  <c r="H273" i="9"/>
  <c r="I273" i="9" s="1"/>
  <c r="H277" i="9"/>
  <c r="I277" i="9" s="1"/>
  <c r="H281" i="9"/>
  <c r="I281" i="9" s="1"/>
  <c r="H285" i="9"/>
  <c r="I285" i="9" s="1"/>
  <c r="H289" i="9"/>
  <c r="I289" i="9" s="1"/>
  <c r="H293" i="9"/>
  <c r="I293" i="9" s="1"/>
  <c r="H297" i="9"/>
  <c r="I297" i="9" s="1"/>
  <c r="H301" i="9"/>
  <c r="I301" i="9" s="1"/>
  <c r="H305" i="9"/>
  <c r="I305" i="9" s="1"/>
  <c r="H309" i="9"/>
  <c r="I309" i="9" s="1"/>
  <c r="H179" i="9"/>
  <c r="I179" i="9" s="1"/>
  <c r="H195" i="9"/>
  <c r="I195" i="9" s="1"/>
  <c r="H211" i="9"/>
  <c r="I211" i="9" s="1"/>
  <c r="H227" i="9"/>
  <c r="I227" i="9" s="1"/>
  <c r="H259" i="9"/>
  <c r="I259" i="9" s="1"/>
  <c r="H261" i="9"/>
  <c r="I261" i="9" s="1"/>
  <c r="H262" i="9"/>
  <c r="I262" i="9" s="1"/>
  <c r="H274" i="9"/>
  <c r="I274" i="9" s="1"/>
  <c r="H278" i="9"/>
  <c r="I278" i="9" s="1"/>
  <c r="H282" i="9"/>
  <c r="I282" i="9" s="1"/>
  <c r="H286" i="9"/>
  <c r="I286" i="9" s="1"/>
  <c r="H290" i="9"/>
  <c r="I290" i="9" s="1"/>
  <c r="H294" i="9"/>
  <c r="I294" i="9" s="1"/>
  <c r="H298" i="9"/>
  <c r="I298" i="9" s="1"/>
  <c r="H302" i="9"/>
  <c r="I302" i="9" s="1"/>
  <c r="H306" i="9"/>
  <c r="I306" i="9" s="1"/>
  <c r="H310" i="9"/>
  <c r="I310" i="9" s="1"/>
  <c r="H134" i="9"/>
  <c r="I134" i="9" s="1"/>
  <c r="H162" i="9"/>
  <c r="I162" i="9" s="1"/>
  <c r="H170" i="9"/>
  <c r="I170" i="9" s="1"/>
  <c r="H191" i="9"/>
  <c r="I191" i="9" s="1"/>
  <c r="H207" i="9"/>
  <c r="I207" i="9" s="1"/>
  <c r="H223" i="9"/>
  <c r="I223" i="9" s="1"/>
  <c r="H246" i="9"/>
  <c r="I246" i="9" s="1"/>
  <c r="H247" i="9"/>
  <c r="I247" i="9" s="1"/>
  <c r="H263" i="9"/>
  <c r="I263" i="9" s="1"/>
  <c r="H265" i="9"/>
  <c r="I265" i="9" s="1"/>
  <c r="H266" i="9"/>
  <c r="I266" i="9" s="1"/>
  <c r="H275" i="9"/>
  <c r="I275" i="9" s="1"/>
  <c r="H279" i="9"/>
  <c r="I279" i="9" s="1"/>
  <c r="H283" i="9"/>
  <c r="I283" i="9" s="1"/>
  <c r="H287" i="9"/>
  <c r="I287" i="9" s="1"/>
  <c r="H291" i="9"/>
  <c r="I291" i="9" s="1"/>
  <c r="H295" i="9"/>
  <c r="I295" i="9" s="1"/>
  <c r="H299" i="9"/>
  <c r="I299" i="9" s="1"/>
  <c r="H303" i="9"/>
  <c r="I303" i="9" s="1"/>
  <c r="H307" i="9"/>
  <c r="I307" i="9" s="1"/>
  <c r="H311" i="9"/>
  <c r="I311" i="9" s="1"/>
  <c r="H187" i="9"/>
  <c r="I187" i="9" s="1"/>
  <c r="H203" i="9"/>
  <c r="I203" i="9" s="1"/>
  <c r="H219" i="9"/>
  <c r="I219" i="9" s="1"/>
  <c r="H253" i="9"/>
  <c r="I253" i="9" s="1"/>
  <c r="H254" i="9"/>
  <c r="I254" i="9" s="1"/>
  <c r="H267" i="9"/>
  <c r="I267" i="9" s="1"/>
  <c r="H269" i="9"/>
  <c r="I269" i="9" s="1"/>
  <c r="H270" i="9"/>
  <c r="I270" i="9" s="1"/>
  <c r="H276" i="9"/>
  <c r="I276" i="9" s="1"/>
  <c r="H280" i="9"/>
  <c r="I280" i="9" s="1"/>
  <c r="H284" i="9"/>
  <c r="I284" i="9" s="1"/>
  <c r="H288" i="9"/>
  <c r="I288" i="9" s="1"/>
  <c r="H292" i="9"/>
  <c r="I292" i="9" s="1"/>
  <c r="H296" i="9"/>
  <c r="I296" i="9" s="1"/>
  <c r="H300" i="9"/>
  <c r="I300" i="9" s="1"/>
  <c r="H304" i="9"/>
  <c r="I304" i="9" s="1"/>
  <c r="H308" i="9"/>
  <c r="I308" i="9" s="1"/>
  <c r="E33" i="48"/>
  <c r="F34" i="48" s="1"/>
  <c r="B21" i="48"/>
  <c r="H12" i="9"/>
  <c r="G6" i="12"/>
  <c r="F6" i="39" s="1"/>
  <c r="H306" i="11"/>
  <c r="O306" i="11"/>
  <c r="G293" i="25" l="1"/>
  <c r="D294" i="12"/>
  <c r="E294" i="39"/>
  <c r="G262" i="25"/>
  <c r="C263" i="54" s="1"/>
  <c r="D263" i="12"/>
  <c r="E263" i="39"/>
  <c r="G300" i="25"/>
  <c r="E301" i="39"/>
  <c r="D301" i="12"/>
  <c r="G268" i="25"/>
  <c r="E269" i="39"/>
  <c r="D269" i="12"/>
  <c r="G184" i="25"/>
  <c r="E185" i="39"/>
  <c r="D185" i="12"/>
  <c r="G289" i="25"/>
  <c r="C290" i="54" s="1"/>
  <c r="E290" i="39"/>
  <c r="D290" i="12"/>
  <c r="G273" i="25"/>
  <c r="E274" i="39"/>
  <c r="D274" i="12"/>
  <c r="G260" i="25"/>
  <c r="E261" i="39"/>
  <c r="D261" i="12"/>
  <c r="G196" i="25"/>
  <c r="E197" i="39"/>
  <c r="D197" i="12"/>
  <c r="G296" i="25"/>
  <c r="E297" i="39"/>
  <c r="D297" i="12"/>
  <c r="G280" i="25"/>
  <c r="E281" i="39"/>
  <c r="D281" i="12"/>
  <c r="G259" i="25"/>
  <c r="E260" i="39"/>
  <c r="D260" i="12"/>
  <c r="G239" i="25"/>
  <c r="E240" i="39"/>
  <c r="D240" i="12"/>
  <c r="G163" i="25"/>
  <c r="C164" i="54" s="1"/>
  <c r="E164" i="39"/>
  <c r="D164" i="12"/>
  <c r="G299" i="25"/>
  <c r="E300" i="39"/>
  <c r="D300" i="12"/>
  <c r="G283" i="25"/>
  <c r="E284" i="39"/>
  <c r="D284" i="12"/>
  <c r="G267" i="25"/>
  <c r="E268" i="39"/>
  <c r="D268" i="12"/>
  <c r="G220" i="25"/>
  <c r="E221" i="39"/>
  <c r="D221" i="12"/>
  <c r="G302" i="25"/>
  <c r="D303" i="12"/>
  <c r="E303" i="39"/>
  <c r="G286" i="25"/>
  <c r="D287" i="12"/>
  <c r="E287" i="39"/>
  <c r="G270" i="25"/>
  <c r="D271" i="12"/>
  <c r="E271" i="39"/>
  <c r="G250" i="25"/>
  <c r="C251" i="54" s="1"/>
  <c r="D251" i="12"/>
  <c r="E251" i="39"/>
  <c r="G236" i="25"/>
  <c r="E237" i="39"/>
  <c r="D237" i="12"/>
  <c r="G208" i="25"/>
  <c r="E209" i="39"/>
  <c r="D209" i="12"/>
  <c r="G235" i="25"/>
  <c r="E236" i="39"/>
  <c r="D236" i="12"/>
  <c r="G219" i="25"/>
  <c r="C220" i="54" s="1"/>
  <c r="E220" i="39"/>
  <c r="D220" i="12"/>
  <c r="G203" i="25"/>
  <c r="D204" i="12"/>
  <c r="E204" i="39"/>
  <c r="G187" i="25"/>
  <c r="E188" i="39"/>
  <c r="D188" i="12"/>
  <c r="G171" i="25"/>
  <c r="D172" i="12"/>
  <c r="E172" i="39"/>
  <c r="G131" i="25"/>
  <c r="C132" i="54" s="1"/>
  <c r="D132" i="12"/>
  <c r="E132" i="39"/>
  <c r="G94" i="25"/>
  <c r="D95" i="12"/>
  <c r="E95" i="39"/>
  <c r="G242" i="25"/>
  <c r="D243" i="12"/>
  <c r="E243" i="39"/>
  <c r="G226" i="25"/>
  <c r="D227" i="12"/>
  <c r="E227" i="39"/>
  <c r="G210" i="25"/>
  <c r="C211" i="54" s="1"/>
  <c r="D211" i="12"/>
  <c r="E211" i="39"/>
  <c r="G194" i="25"/>
  <c r="E195" i="39"/>
  <c r="D195" i="12"/>
  <c r="G178" i="25"/>
  <c r="E179" i="39"/>
  <c r="D179" i="12"/>
  <c r="G159" i="25"/>
  <c r="D160" i="12"/>
  <c r="E160" i="39"/>
  <c r="G111" i="25"/>
  <c r="C112" i="54" s="1"/>
  <c r="D112" i="12"/>
  <c r="E112" i="39"/>
  <c r="G265" i="25"/>
  <c r="D266" i="12"/>
  <c r="E266" i="39"/>
  <c r="G249" i="25"/>
  <c r="D250" i="12"/>
  <c r="E250" i="39"/>
  <c r="G233" i="25"/>
  <c r="D234" i="12"/>
  <c r="E234" i="39"/>
  <c r="G217" i="25"/>
  <c r="D218" i="12"/>
  <c r="E218" i="39"/>
  <c r="G201" i="25"/>
  <c r="E202" i="39"/>
  <c r="D202" i="12"/>
  <c r="G185" i="25"/>
  <c r="E186" i="39"/>
  <c r="D186" i="12"/>
  <c r="G169" i="25"/>
  <c r="E170" i="39"/>
  <c r="D170" i="12"/>
  <c r="G123" i="25"/>
  <c r="C124" i="54" s="1"/>
  <c r="D124" i="12"/>
  <c r="E124" i="39"/>
  <c r="G162" i="25"/>
  <c r="D163" i="12"/>
  <c r="E163" i="39"/>
  <c r="G146" i="25"/>
  <c r="D147" i="12"/>
  <c r="E147" i="39"/>
  <c r="G130" i="25"/>
  <c r="D131" i="12"/>
  <c r="E131" i="39"/>
  <c r="G58" i="25"/>
  <c r="E59" i="39"/>
  <c r="D59" i="12"/>
  <c r="G145" i="25"/>
  <c r="E146" i="39"/>
  <c r="D146" i="12"/>
  <c r="G129" i="25"/>
  <c r="E130" i="39"/>
  <c r="D130" i="12"/>
  <c r="G114" i="25"/>
  <c r="D115" i="12"/>
  <c r="E115" i="39"/>
  <c r="G98" i="25"/>
  <c r="C99" i="54" s="1"/>
  <c r="D99" i="12"/>
  <c r="E99" i="39"/>
  <c r="G62" i="25"/>
  <c r="E63" i="39"/>
  <c r="D63" i="12"/>
  <c r="G168" i="25"/>
  <c r="E169" i="39"/>
  <c r="D169" i="12"/>
  <c r="G152" i="25"/>
  <c r="D153" i="12"/>
  <c r="E153" i="39"/>
  <c r="G136" i="25"/>
  <c r="C137" i="54" s="1"/>
  <c r="D137" i="12"/>
  <c r="E137" i="39"/>
  <c r="G120" i="25"/>
  <c r="E121" i="39"/>
  <c r="D121" i="12"/>
  <c r="G34" i="25"/>
  <c r="D35" i="12"/>
  <c r="E35" i="39"/>
  <c r="G117" i="25"/>
  <c r="E118" i="39"/>
  <c r="D118" i="12"/>
  <c r="G101" i="25"/>
  <c r="C102" i="54" s="1"/>
  <c r="E102" i="39"/>
  <c r="D102" i="12"/>
  <c r="G85" i="25"/>
  <c r="E86" i="39"/>
  <c r="D86" i="12"/>
  <c r="G69" i="25"/>
  <c r="C70" i="54" s="1"/>
  <c r="E70" i="39"/>
  <c r="D70" i="12"/>
  <c r="G53" i="25"/>
  <c r="E54" i="39"/>
  <c r="D54" i="12"/>
  <c r="G37" i="25"/>
  <c r="C38" i="54" s="1"/>
  <c r="E38" i="39"/>
  <c r="D38" i="12"/>
  <c r="G21" i="25"/>
  <c r="E22" i="39"/>
  <c r="D22" i="12"/>
  <c r="G116" i="25"/>
  <c r="C117" i="54" s="1"/>
  <c r="E117" i="39"/>
  <c r="D117" i="12"/>
  <c r="G100" i="25"/>
  <c r="E101" i="39"/>
  <c r="D101" i="12"/>
  <c r="G84" i="25"/>
  <c r="C85" i="54" s="1"/>
  <c r="E85" i="39"/>
  <c r="D85" i="12"/>
  <c r="G68" i="25"/>
  <c r="E69" i="39"/>
  <c r="D69" i="12"/>
  <c r="G52" i="25"/>
  <c r="C53" i="54" s="1"/>
  <c r="E53" i="39"/>
  <c r="D53" i="12"/>
  <c r="G36" i="25"/>
  <c r="E37" i="39"/>
  <c r="D37" i="12"/>
  <c r="G20" i="25"/>
  <c r="C21" i="54" s="1"/>
  <c r="E21" i="39"/>
  <c r="D21" i="12"/>
  <c r="G83" i="25"/>
  <c r="D84" i="12"/>
  <c r="E84" i="39"/>
  <c r="G67" i="25"/>
  <c r="C68" i="54" s="1"/>
  <c r="D68" i="12"/>
  <c r="E68" i="39"/>
  <c r="G51" i="25"/>
  <c r="D52" i="12"/>
  <c r="E52" i="39"/>
  <c r="G35" i="25"/>
  <c r="C36" i="54" s="1"/>
  <c r="D36" i="12"/>
  <c r="E36" i="39"/>
  <c r="G19" i="25"/>
  <c r="D20" i="12"/>
  <c r="E20" i="39"/>
  <c r="G298" i="25"/>
  <c r="C299" i="54" s="1"/>
  <c r="D299" i="12"/>
  <c r="E299" i="39"/>
  <c r="G266" i="25"/>
  <c r="D267" i="12"/>
  <c r="E267" i="39"/>
  <c r="G232" i="25"/>
  <c r="C233" i="54" s="1"/>
  <c r="E233" i="39"/>
  <c r="D233" i="12"/>
  <c r="G231" i="25"/>
  <c r="E232" i="39"/>
  <c r="D232" i="12"/>
  <c r="G199" i="25"/>
  <c r="C200" i="54" s="1"/>
  <c r="E200" i="39"/>
  <c r="D200" i="12"/>
  <c r="G118" i="25"/>
  <c r="D119" i="12"/>
  <c r="E119" i="39"/>
  <c r="G238" i="25"/>
  <c r="C239" i="54" s="1"/>
  <c r="D239" i="12"/>
  <c r="E239" i="39"/>
  <c r="G206" i="25"/>
  <c r="D207" i="12"/>
  <c r="E207" i="39"/>
  <c r="G151" i="25"/>
  <c r="C152" i="54" s="1"/>
  <c r="E152" i="39"/>
  <c r="D152" i="12"/>
  <c r="G261" i="25"/>
  <c r="D262" i="12"/>
  <c r="E262" i="39"/>
  <c r="G213" i="25"/>
  <c r="C214" i="54" s="1"/>
  <c r="D214" i="12"/>
  <c r="E214" i="39"/>
  <c r="G197" i="25"/>
  <c r="D198" i="12"/>
  <c r="E198" i="39"/>
  <c r="G161" i="25"/>
  <c r="C162" i="54" s="1"/>
  <c r="E162" i="39"/>
  <c r="D162" i="12"/>
  <c r="G70" i="25"/>
  <c r="D71" i="12"/>
  <c r="E71" i="39"/>
  <c r="G158" i="25"/>
  <c r="C159" i="54" s="1"/>
  <c r="E159" i="39"/>
  <c r="D159" i="12"/>
  <c r="G142" i="25"/>
  <c r="E143" i="39"/>
  <c r="D143" i="12"/>
  <c r="G126" i="25"/>
  <c r="C127" i="54" s="1"/>
  <c r="D127" i="12"/>
  <c r="E127" i="39"/>
  <c r="G42" i="25"/>
  <c r="D43" i="12"/>
  <c r="E43" i="39"/>
  <c r="G141" i="25"/>
  <c r="C142" i="54" s="1"/>
  <c r="E142" i="39"/>
  <c r="D142" i="12"/>
  <c r="G125" i="25"/>
  <c r="E126" i="39"/>
  <c r="D126" i="12"/>
  <c r="G107" i="25"/>
  <c r="D108" i="12"/>
  <c r="E108" i="39"/>
  <c r="G91" i="25"/>
  <c r="D92" i="12"/>
  <c r="E92" i="39"/>
  <c r="G46" i="25"/>
  <c r="C47" i="54" s="1"/>
  <c r="E47" i="39"/>
  <c r="D47" i="12"/>
  <c r="G164" i="25"/>
  <c r="E165" i="39"/>
  <c r="D165" i="12"/>
  <c r="G148" i="25"/>
  <c r="C149" i="54" s="1"/>
  <c r="E149" i="39"/>
  <c r="D149" i="12"/>
  <c r="G132" i="25"/>
  <c r="D133" i="12"/>
  <c r="E133" i="39"/>
  <c r="G82" i="25"/>
  <c r="C83" i="54" s="1"/>
  <c r="D83" i="12"/>
  <c r="E83" i="39"/>
  <c r="G18" i="25"/>
  <c r="E19" i="39"/>
  <c r="D19" i="12"/>
  <c r="G113" i="25"/>
  <c r="C114" i="54" s="1"/>
  <c r="E114" i="39"/>
  <c r="D114" i="12"/>
  <c r="G97" i="25"/>
  <c r="E98" i="39"/>
  <c r="D98" i="12"/>
  <c r="G81" i="25"/>
  <c r="E82" i="39"/>
  <c r="D82" i="12"/>
  <c r="G65" i="25"/>
  <c r="E66" i="39"/>
  <c r="D66" i="12"/>
  <c r="G49" i="25"/>
  <c r="C50" i="54" s="1"/>
  <c r="E50" i="39"/>
  <c r="D50" i="12"/>
  <c r="G33" i="25"/>
  <c r="E34" i="39"/>
  <c r="D34" i="12"/>
  <c r="G17" i="25"/>
  <c r="C18" i="54" s="1"/>
  <c r="E18" i="39"/>
  <c r="D18" i="12"/>
  <c r="G112" i="25"/>
  <c r="E113" i="39"/>
  <c r="D113" i="12"/>
  <c r="G96" i="25"/>
  <c r="C97" i="54" s="1"/>
  <c r="E97" i="39"/>
  <c r="D97" i="12"/>
  <c r="G80" i="25"/>
  <c r="E81" i="39"/>
  <c r="D81" i="12"/>
  <c r="G64" i="25"/>
  <c r="C65" i="54" s="1"/>
  <c r="E65" i="39"/>
  <c r="D65" i="12"/>
  <c r="G48" i="25"/>
  <c r="E49" i="39"/>
  <c r="D49" i="12"/>
  <c r="G32" i="25"/>
  <c r="C33" i="54" s="1"/>
  <c r="E33" i="39"/>
  <c r="D33" i="12"/>
  <c r="G16" i="25"/>
  <c r="E17" i="39"/>
  <c r="D17" i="12"/>
  <c r="G79" i="25"/>
  <c r="C80" i="54" s="1"/>
  <c r="D80" i="12"/>
  <c r="E80" i="39"/>
  <c r="G63" i="25"/>
  <c r="D64" i="12"/>
  <c r="E64" i="39"/>
  <c r="G47" i="25"/>
  <c r="C48" i="54" s="1"/>
  <c r="D48" i="12"/>
  <c r="E48" i="39"/>
  <c r="G31" i="25"/>
  <c r="D32" i="12"/>
  <c r="E32" i="39"/>
  <c r="G15" i="25"/>
  <c r="C16" i="54" s="1"/>
  <c r="D16" i="12"/>
  <c r="E16" i="39"/>
  <c r="G212" i="25"/>
  <c r="E213" i="39"/>
  <c r="D213" i="12"/>
  <c r="G301" i="25"/>
  <c r="C302" i="54" s="1"/>
  <c r="D302" i="12"/>
  <c r="E302" i="39"/>
  <c r="G285" i="25"/>
  <c r="D286" i="12"/>
  <c r="E286" i="39"/>
  <c r="G269" i="25"/>
  <c r="C270" i="54" s="1"/>
  <c r="D270" i="12"/>
  <c r="E270" i="39"/>
  <c r="G247" i="25"/>
  <c r="E248" i="39"/>
  <c r="D248" i="12"/>
  <c r="G180" i="25"/>
  <c r="E181" i="39"/>
  <c r="D181" i="12"/>
  <c r="G292" i="25"/>
  <c r="E293" i="39"/>
  <c r="D293" i="12"/>
  <c r="G276" i="25"/>
  <c r="C277" i="54" s="1"/>
  <c r="E277" i="39"/>
  <c r="D277" i="12"/>
  <c r="G258" i="25"/>
  <c r="D259" i="12"/>
  <c r="E259" i="39"/>
  <c r="G216" i="25"/>
  <c r="C217" i="54" s="1"/>
  <c r="E217" i="39"/>
  <c r="D217" i="12"/>
  <c r="G155" i="25"/>
  <c r="E156" i="39"/>
  <c r="D156" i="12"/>
  <c r="G295" i="25"/>
  <c r="C296" i="54" s="1"/>
  <c r="E296" i="39"/>
  <c r="D296" i="12"/>
  <c r="G279" i="25"/>
  <c r="E280" i="39"/>
  <c r="D280" i="12"/>
  <c r="G255" i="25"/>
  <c r="E256" i="39"/>
  <c r="D256" i="12"/>
  <c r="G204" i="25"/>
  <c r="E205" i="39"/>
  <c r="D205" i="12"/>
  <c r="G282" i="25"/>
  <c r="C283" i="54" s="1"/>
  <c r="D283" i="12"/>
  <c r="E283" i="39"/>
  <c r="G248" i="25"/>
  <c r="E249" i="39"/>
  <c r="D249" i="12"/>
  <c r="G192" i="25"/>
  <c r="E193" i="39"/>
  <c r="D193" i="12"/>
  <c r="G215" i="25"/>
  <c r="E216" i="39"/>
  <c r="D216" i="12"/>
  <c r="G183" i="25"/>
  <c r="C184" i="54" s="1"/>
  <c r="D184" i="12"/>
  <c r="E184" i="39"/>
  <c r="G165" i="25"/>
  <c r="D166" i="12"/>
  <c r="E166" i="39"/>
  <c r="G86" i="25"/>
  <c r="C87" i="54" s="1"/>
  <c r="D87" i="12"/>
  <c r="E87" i="39"/>
  <c r="G222" i="25"/>
  <c r="D223" i="12"/>
  <c r="E223" i="39"/>
  <c r="G190" i="25"/>
  <c r="C191" i="54" s="1"/>
  <c r="E191" i="39"/>
  <c r="D191" i="12"/>
  <c r="G174" i="25"/>
  <c r="E175" i="39"/>
  <c r="D175" i="12"/>
  <c r="G103" i="25"/>
  <c r="D104" i="12"/>
  <c r="E104" i="39"/>
  <c r="G245" i="25"/>
  <c r="D246" i="12"/>
  <c r="E246" i="39"/>
  <c r="G229" i="25"/>
  <c r="C230" i="54" s="1"/>
  <c r="D230" i="12"/>
  <c r="E230" i="39"/>
  <c r="G181" i="25"/>
  <c r="D182" i="12"/>
  <c r="E182" i="39"/>
  <c r="G297" i="25"/>
  <c r="C298" i="54" s="1"/>
  <c r="D298" i="12"/>
  <c r="E298" i="39"/>
  <c r="G281" i="25"/>
  <c r="E282" i="39"/>
  <c r="D282" i="12"/>
  <c r="G263" i="25"/>
  <c r="C264" i="54" s="1"/>
  <c r="E264" i="39"/>
  <c r="D264" i="12"/>
  <c r="G246" i="25"/>
  <c r="D247" i="12"/>
  <c r="E247" i="39"/>
  <c r="G304" i="25"/>
  <c r="E305" i="39"/>
  <c r="D305" i="12"/>
  <c r="G288" i="25"/>
  <c r="E289" i="39"/>
  <c r="D289" i="12"/>
  <c r="G272" i="25"/>
  <c r="C273" i="54" s="1"/>
  <c r="E273" i="39"/>
  <c r="D273" i="12"/>
  <c r="G256" i="25"/>
  <c r="E257" i="39"/>
  <c r="D257" i="12"/>
  <c r="G200" i="25"/>
  <c r="C201" i="54" s="1"/>
  <c r="E201" i="39"/>
  <c r="D201" i="12"/>
  <c r="G127" i="25"/>
  <c r="D128" i="12"/>
  <c r="E128" i="39"/>
  <c r="G291" i="25"/>
  <c r="C292" i="54" s="1"/>
  <c r="E292" i="39"/>
  <c r="D292" i="12"/>
  <c r="G275" i="25"/>
  <c r="E276" i="39"/>
  <c r="D276" i="12"/>
  <c r="G254" i="25"/>
  <c r="C255" i="54" s="1"/>
  <c r="D255" i="12"/>
  <c r="E255" i="39"/>
  <c r="G188" i="25"/>
  <c r="E189" i="39"/>
  <c r="D189" i="12"/>
  <c r="G294" i="25"/>
  <c r="C295" i="54" s="1"/>
  <c r="D295" i="12"/>
  <c r="E295" i="39"/>
  <c r="G278" i="25"/>
  <c r="D279" i="12"/>
  <c r="E279" i="39"/>
  <c r="G264" i="25"/>
  <c r="C265" i="54" s="1"/>
  <c r="E265" i="39"/>
  <c r="D265" i="12"/>
  <c r="G244" i="25"/>
  <c r="E245" i="39"/>
  <c r="D245" i="12"/>
  <c r="G228" i="25"/>
  <c r="C229" i="54" s="1"/>
  <c r="E229" i="39"/>
  <c r="D229" i="12"/>
  <c r="G176" i="25"/>
  <c r="E177" i="39"/>
  <c r="D177" i="12"/>
  <c r="G227" i="25"/>
  <c r="E228" i="39"/>
  <c r="D228" i="12"/>
  <c r="G211" i="25"/>
  <c r="E212" i="39"/>
  <c r="D212" i="12"/>
  <c r="G195" i="25"/>
  <c r="C196" i="54" s="1"/>
  <c r="E196" i="39"/>
  <c r="D196" i="12"/>
  <c r="G179" i="25"/>
  <c r="D180" i="12"/>
  <c r="E180" i="39"/>
  <c r="G157" i="25"/>
  <c r="C158" i="54" s="1"/>
  <c r="E158" i="39"/>
  <c r="D158" i="12"/>
  <c r="G110" i="25"/>
  <c r="D111" i="12"/>
  <c r="E111" i="39"/>
  <c r="G54" i="25"/>
  <c r="C55" i="54" s="1"/>
  <c r="E55" i="39"/>
  <c r="D55" i="12"/>
  <c r="G234" i="25"/>
  <c r="D235" i="12"/>
  <c r="E235" i="39"/>
  <c r="G218" i="25"/>
  <c r="D219" i="12"/>
  <c r="E219" i="39"/>
  <c r="G202" i="25"/>
  <c r="D203" i="12"/>
  <c r="E203" i="39"/>
  <c r="G186" i="25"/>
  <c r="C187" i="54" s="1"/>
  <c r="E187" i="39"/>
  <c r="D187" i="12"/>
  <c r="G170" i="25"/>
  <c r="E171" i="39"/>
  <c r="D171" i="12"/>
  <c r="G135" i="25"/>
  <c r="C136" i="54" s="1"/>
  <c r="D136" i="12"/>
  <c r="E136" i="39"/>
  <c r="G95" i="25"/>
  <c r="E96" i="39"/>
  <c r="D96" i="12"/>
  <c r="G257" i="25"/>
  <c r="C258" i="54" s="1"/>
  <c r="D258" i="12"/>
  <c r="E258" i="39"/>
  <c r="G241" i="25"/>
  <c r="D242" i="12"/>
  <c r="E242" i="39"/>
  <c r="G225" i="25"/>
  <c r="C226" i="54" s="1"/>
  <c r="D226" i="12"/>
  <c r="E226" i="39"/>
  <c r="G209" i="25"/>
  <c r="D210" i="12"/>
  <c r="E210" i="39"/>
  <c r="G193" i="25"/>
  <c r="C194" i="54" s="1"/>
  <c r="D194" i="12"/>
  <c r="E194" i="39"/>
  <c r="G177" i="25"/>
  <c r="D178" i="12"/>
  <c r="E178" i="39"/>
  <c r="G153" i="25"/>
  <c r="E154" i="39"/>
  <c r="D154" i="12"/>
  <c r="G38" i="25"/>
  <c r="E39" i="39"/>
  <c r="D39" i="12"/>
  <c r="G154" i="25"/>
  <c r="D155" i="12"/>
  <c r="E155" i="39"/>
  <c r="G138" i="25"/>
  <c r="D139" i="12"/>
  <c r="E139" i="39"/>
  <c r="G122" i="25"/>
  <c r="C123" i="54" s="1"/>
  <c r="E123" i="39"/>
  <c r="D123" i="12"/>
  <c r="G26" i="25"/>
  <c r="E27" i="39"/>
  <c r="D27" i="12"/>
  <c r="G137" i="25"/>
  <c r="C138" i="54" s="1"/>
  <c r="E138" i="39"/>
  <c r="D138" i="12"/>
  <c r="G121" i="25"/>
  <c r="E122" i="39"/>
  <c r="D122" i="12"/>
  <c r="G106" i="25"/>
  <c r="C107" i="54" s="1"/>
  <c r="D107" i="12"/>
  <c r="E107" i="39"/>
  <c r="G90" i="25"/>
  <c r="D91" i="12"/>
  <c r="E91" i="39"/>
  <c r="G30" i="25"/>
  <c r="C31" i="54" s="1"/>
  <c r="D31" i="12"/>
  <c r="E31" i="39"/>
  <c r="G160" i="25"/>
  <c r="D161" i="12"/>
  <c r="E161" i="39"/>
  <c r="G144" i="25"/>
  <c r="D145" i="12"/>
  <c r="E145" i="39"/>
  <c r="G128" i="25"/>
  <c r="E129" i="39"/>
  <c r="D129" i="12"/>
  <c r="G66" i="25"/>
  <c r="C67" i="54" s="1"/>
  <c r="D67" i="12"/>
  <c r="E67" i="39"/>
  <c r="G10" i="25"/>
  <c r="E11" i="39"/>
  <c r="D11" i="12"/>
  <c r="G109" i="25"/>
  <c r="E110" i="39"/>
  <c r="D110" i="12"/>
  <c r="G93" i="25"/>
  <c r="D94" i="12"/>
  <c r="E94" i="39"/>
  <c r="G77" i="25"/>
  <c r="C78" i="54" s="1"/>
  <c r="E78" i="39"/>
  <c r="D78" i="12"/>
  <c r="G61" i="25"/>
  <c r="E62" i="39"/>
  <c r="D62" i="12"/>
  <c r="G45" i="25"/>
  <c r="E46" i="39"/>
  <c r="D46" i="12"/>
  <c r="G29" i="25"/>
  <c r="E30" i="39"/>
  <c r="D30" i="12"/>
  <c r="G13" i="25"/>
  <c r="C14" i="54" s="1"/>
  <c r="E14" i="39"/>
  <c r="D14" i="12"/>
  <c r="G108" i="25"/>
  <c r="E109" i="39"/>
  <c r="D109" i="12"/>
  <c r="G92" i="25"/>
  <c r="E93" i="39"/>
  <c r="D93" i="12"/>
  <c r="G76" i="25"/>
  <c r="E77" i="39"/>
  <c r="D77" i="12"/>
  <c r="G60" i="25"/>
  <c r="C61" i="54" s="1"/>
  <c r="E61" i="39"/>
  <c r="D61" i="12"/>
  <c r="G44" i="25"/>
  <c r="E45" i="39"/>
  <c r="D45" i="12"/>
  <c r="G28" i="25"/>
  <c r="E29" i="39"/>
  <c r="D29" i="12"/>
  <c r="G12" i="25"/>
  <c r="E13" i="39"/>
  <c r="D13" i="12"/>
  <c r="G75" i="25"/>
  <c r="C76" i="54" s="1"/>
  <c r="D76" i="12"/>
  <c r="E76" i="39"/>
  <c r="G59" i="25"/>
  <c r="D60" i="12"/>
  <c r="E60" i="39"/>
  <c r="G43" i="25"/>
  <c r="C44" i="54" s="1"/>
  <c r="D44" i="12"/>
  <c r="E44" i="39"/>
  <c r="G27" i="25"/>
  <c r="D28" i="12"/>
  <c r="E28" i="39"/>
  <c r="G11" i="25"/>
  <c r="C12" i="54" s="1"/>
  <c r="D12" i="12"/>
  <c r="E12" i="39"/>
  <c r="G277" i="25"/>
  <c r="D278" i="12"/>
  <c r="E278" i="39"/>
  <c r="G284" i="25"/>
  <c r="E285" i="39"/>
  <c r="D285" i="12"/>
  <c r="G240" i="25"/>
  <c r="C241" i="54" s="1"/>
  <c r="E241" i="39"/>
  <c r="D241" i="12"/>
  <c r="G303" i="25"/>
  <c r="C304" i="54" s="1"/>
  <c r="E304" i="39"/>
  <c r="D304" i="12"/>
  <c r="G287" i="25"/>
  <c r="E288" i="39"/>
  <c r="D288" i="12"/>
  <c r="G271" i="25"/>
  <c r="E272" i="39"/>
  <c r="D272" i="12"/>
  <c r="G252" i="25"/>
  <c r="E253" i="39"/>
  <c r="D253" i="12"/>
  <c r="G172" i="25"/>
  <c r="C173" i="54" s="1"/>
  <c r="E173" i="39"/>
  <c r="D173" i="12"/>
  <c r="G290" i="25"/>
  <c r="D291" i="12"/>
  <c r="E291" i="39"/>
  <c r="G274" i="25"/>
  <c r="C275" i="54" s="1"/>
  <c r="D275" i="12"/>
  <c r="E275" i="39"/>
  <c r="G251" i="25"/>
  <c r="E252" i="39"/>
  <c r="D252" i="12"/>
  <c r="G243" i="25"/>
  <c r="C244" i="54" s="1"/>
  <c r="E244" i="39"/>
  <c r="D244" i="12"/>
  <c r="G224" i="25"/>
  <c r="E225" i="39"/>
  <c r="D225" i="12"/>
  <c r="G143" i="25"/>
  <c r="E144" i="39"/>
  <c r="D144" i="12"/>
  <c r="G223" i="25"/>
  <c r="E224" i="39"/>
  <c r="D224" i="12"/>
  <c r="G207" i="25"/>
  <c r="C208" i="54" s="1"/>
  <c r="D208" i="12"/>
  <c r="E208" i="39"/>
  <c r="G191" i="25"/>
  <c r="E192" i="39"/>
  <c r="D192" i="12"/>
  <c r="G175" i="25"/>
  <c r="C176" i="54" s="1"/>
  <c r="D176" i="12"/>
  <c r="E176" i="39"/>
  <c r="G147" i="25"/>
  <c r="E148" i="39"/>
  <c r="D148" i="12"/>
  <c r="G102" i="25"/>
  <c r="C103" i="54" s="1"/>
  <c r="D103" i="12"/>
  <c r="E103" i="39"/>
  <c r="G22" i="25"/>
  <c r="D23" i="12"/>
  <c r="E23" i="39"/>
  <c r="G230" i="25"/>
  <c r="C231" i="54" s="1"/>
  <c r="D231" i="12"/>
  <c r="E231" i="39"/>
  <c r="G214" i="25"/>
  <c r="C215" i="54" s="1"/>
  <c r="D215" i="12"/>
  <c r="E215" i="39"/>
  <c r="G198" i="25"/>
  <c r="C199" i="54" s="1"/>
  <c r="E199" i="39"/>
  <c r="D199" i="12"/>
  <c r="G182" i="25"/>
  <c r="E183" i="39"/>
  <c r="D183" i="12"/>
  <c r="G167" i="25"/>
  <c r="E168" i="39"/>
  <c r="D168" i="12"/>
  <c r="G119" i="25"/>
  <c r="D120" i="12"/>
  <c r="E120" i="39"/>
  <c r="G87" i="25"/>
  <c r="C88" i="54" s="1"/>
  <c r="D88" i="12"/>
  <c r="E88" i="39"/>
  <c r="G253" i="25"/>
  <c r="D254" i="12"/>
  <c r="E254" i="39"/>
  <c r="G237" i="25"/>
  <c r="D238" i="12"/>
  <c r="E238" i="39"/>
  <c r="G221" i="25"/>
  <c r="C222" i="54" s="1"/>
  <c r="D222" i="12"/>
  <c r="E222" i="39"/>
  <c r="G205" i="25"/>
  <c r="C206" i="54" s="1"/>
  <c r="E206" i="39"/>
  <c r="D206" i="12"/>
  <c r="G189" i="25"/>
  <c r="E190" i="39"/>
  <c r="D190" i="12"/>
  <c r="G173" i="25"/>
  <c r="C174" i="54" s="1"/>
  <c r="E174" i="39"/>
  <c r="D174" i="12"/>
  <c r="G139" i="25"/>
  <c r="D140" i="12"/>
  <c r="E140" i="39"/>
  <c r="G166" i="25"/>
  <c r="C167" i="54" s="1"/>
  <c r="E167" i="39"/>
  <c r="D167" i="12"/>
  <c r="G150" i="25"/>
  <c r="E151" i="39"/>
  <c r="D151" i="12"/>
  <c r="G134" i="25"/>
  <c r="C135" i="54" s="1"/>
  <c r="D135" i="12"/>
  <c r="E135" i="39"/>
  <c r="G74" i="25"/>
  <c r="C75" i="54" s="1"/>
  <c r="D75" i="12"/>
  <c r="E75" i="39"/>
  <c r="G149" i="25"/>
  <c r="C150" i="54" s="1"/>
  <c r="E150" i="39"/>
  <c r="D150" i="12"/>
  <c r="G133" i="25"/>
  <c r="E134" i="39"/>
  <c r="D134" i="12"/>
  <c r="G115" i="25"/>
  <c r="D116" i="12"/>
  <c r="E116" i="39"/>
  <c r="G99" i="25"/>
  <c r="D100" i="12"/>
  <c r="E100" i="39"/>
  <c r="G78" i="25"/>
  <c r="C79" i="54" s="1"/>
  <c r="D79" i="12"/>
  <c r="E79" i="39"/>
  <c r="G14" i="25"/>
  <c r="D15" i="12"/>
  <c r="E15" i="39"/>
  <c r="G156" i="25"/>
  <c r="E157" i="39"/>
  <c r="D157" i="12"/>
  <c r="G140" i="25"/>
  <c r="C141" i="54" s="1"/>
  <c r="E141" i="39"/>
  <c r="D141" i="12"/>
  <c r="G124" i="25"/>
  <c r="C125" i="54" s="1"/>
  <c r="E125" i="39"/>
  <c r="D125" i="12"/>
  <c r="G50" i="25"/>
  <c r="C51" i="54" s="1"/>
  <c r="E51" i="39"/>
  <c r="D51" i="12"/>
  <c r="G6" i="25"/>
  <c r="C7" i="54" s="1"/>
  <c r="E7" i="39"/>
  <c r="D7" i="12"/>
  <c r="G105" i="25"/>
  <c r="C106" i="54" s="1"/>
  <c r="E106" i="39"/>
  <c r="D106" i="12"/>
  <c r="G89" i="25"/>
  <c r="C90" i="54" s="1"/>
  <c r="E90" i="39"/>
  <c r="D90" i="12"/>
  <c r="G73" i="25"/>
  <c r="C74" i="54" s="1"/>
  <c r="E74" i="39"/>
  <c r="D74" i="12"/>
  <c r="G57" i="25"/>
  <c r="E58" i="39"/>
  <c r="D58" i="12"/>
  <c r="G41" i="25"/>
  <c r="C42" i="54" s="1"/>
  <c r="E42" i="39"/>
  <c r="D42" i="12"/>
  <c r="G25" i="25"/>
  <c r="C26" i="54" s="1"/>
  <c r="E26" i="39"/>
  <c r="D26" i="12"/>
  <c r="G9" i="25"/>
  <c r="E10" i="39"/>
  <c r="D10" i="12"/>
  <c r="G104" i="25"/>
  <c r="C105" i="54" s="1"/>
  <c r="E105" i="39"/>
  <c r="D105" i="12"/>
  <c r="G88" i="25"/>
  <c r="C89" i="54" s="1"/>
  <c r="E89" i="39"/>
  <c r="D89" i="12"/>
  <c r="G72" i="25"/>
  <c r="C73" i="54" s="1"/>
  <c r="E73" i="39"/>
  <c r="D73" i="12"/>
  <c r="G56" i="25"/>
  <c r="E57" i="39"/>
  <c r="D57" i="12"/>
  <c r="G40" i="25"/>
  <c r="C41" i="54" s="1"/>
  <c r="E41" i="39"/>
  <c r="D41" i="12"/>
  <c r="G24" i="25"/>
  <c r="C25" i="54" s="1"/>
  <c r="E25" i="39"/>
  <c r="D25" i="12"/>
  <c r="G8" i="25"/>
  <c r="C9" i="54" s="1"/>
  <c r="E9" i="39"/>
  <c r="D9" i="12"/>
  <c r="G71" i="25"/>
  <c r="D72" i="12"/>
  <c r="E72" i="39"/>
  <c r="G55" i="25"/>
  <c r="D56" i="12"/>
  <c r="E56" i="39"/>
  <c r="G39" i="25"/>
  <c r="D40" i="12"/>
  <c r="E40" i="39"/>
  <c r="G23" i="25"/>
  <c r="C24" i="54" s="1"/>
  <c r="E24" i="39"/>
  <c r="D24" i="12"/>
  <c r="G7" i="25"/>
  <c r="D8" i="12"/>
  <c r="E8" i="39"/>
  <c r="F22" i="48"/>
  <c r="F24" i="48" s="1"/>
  <c r="C287" i="54"/>
  <c r="C252" i="54"/>
  <c r="C280" i="54"/>
  <c r="C260" i="54"/>
  <c r="C219" i="54"/>
  <c r="C151" i="54"/>
  <c r="C245" i="54"/>
  <c r="C213" i="54"/>
  <c r="C181" i="54"/>
  <c r="C19" i="54"/>
  <c r="C236" i="54"/>
  <c r="C204" i="54"/>
  <c r="C188" i="54"/>
  <c r="C175" i="54"/>
  <c r="C170" i="54"/>
  <c r="C154" i="54"/>
  <c r="C122" i="54"/>
  <c r="C145" i="54"/>
  <c r="C129" i="54"/>
  <c r="C115" i="54"/>
  <c r="C11" i="54"/>
  <c r="C120" i="54"/>
  <c r="C98" i="54"/>
  <c r="C82" i="54"/>
  <c r="C66" i="54"/>
  <c r="C34" i="54"/>
  <c r="C113" i="54"/>
  <c r="C81" i="54"/>
  <c r="C49" i="54"/>
  <c r="C17" i="54"/>
  <c r="C100" i="54"/>
  <c r="C84" i="54"/>
  <c r="C52" i="54"/>
  <c r="C20" i="54"/>
  <c r="C274" i="54"/>
  <c r="C305" i="54"/>
  <c r="C286" i="54"/>
  <c r="C268" i="54"/>
  <c r="C235" i="54"/>
  <c r="C267" i="54"/>
  <c r="C294" i="54"/>
  <c r="C276" i="54"/>
  <c r="C247" i="54"/>
  <c r="C183" i="54"/>
  <c r="C157" i="54"/>
  <c r="C190" i="54"/>
  <c r="C168" i="54"/>
  <c r="C143" i="54"/>
  <c r="C289" i="54"/>
  <c r="C257" i="54"/>
  <c r="C225" i="54"/>
  <c r="C209" i="54"/>
  <c r="C193" i="54"/>
  <c r="C177" i="54"/>
  <c r="C131" i="54"/>
  <c r="C248" i="54"/>
  <c r="C232" i="54"/>
  <c r="C216" i="54"/>
  <c r="C119" i="54"/>
  <c r="C166" i="54"/>
  <c r="C134" i="54"/>
  <c r="C39" i="54"/>
  <c r="C59" i="54"/>
  <c r="C148" i="54"/>
  <c r="C95" i="54"/>
  <c r="C110" i="54"/>
  <c r="C94" i="54"/>
  <c r="C62" i="54"/>
  <c r="C46" i="54"/>
  <c r="C30" i="54"/>
  <c r="C109" i="54"/>
  <c r="C93" i="54"/>
  <c r="C77" i="54"/>
  <c r="C45" i="54"/>
  <c r="C29" i="54"/>
  <c r="C13" i="54"/>
  <c r="C96" i="54"/>
  <c r="C64" i="54"/>
  <c r="C32" i="54"/>
  <c r="C284" i="54"/>
  <c r="C250" i="54"/>
  <c r="C246" i="54"/>
  <c r="C212" i="54"/>
  <c r="C180" i="54"/>
  <c r="C163" i="54"/>
  <c r="C111" i="54"/>
  <c r="C146" i="54"/>
  <c r="C130" i="54"/>
  <c r="C23" i="54"/>
  <c r="C121" i="54"/>
  <c r="C43" i="54"/>
  <c r="C160" i="54"/>
  <c r="C128" i="54"/>
  <c r="C15" i="54"/>
  <c r="C58" i="54"/>
  <c r="C10" i="54"/>
  <c r="C57" i="54"/>
  <c r="C92" i="54"/>
  <c r="C60" i="54"/>
  <c r="C28" i="54"/>
  <c r="C288" i="54"/>
  <c r="C242" i="54"/>
  <c r="C171" i="54"/>
  <c r="C278" i="54"/>
  <c r="C238" i="54"/>
  <c r="C203" i="54"/>
  <c r="C165" i="54"/>
  <c r="C210" i="54"/>
  <c r="C178" i="54"/>
  <c r="C293" i="54"/>
  <c r="C261" i="54"/>
  <c r="C197" i="54"/>
  <c r="C147" i="54"/>
  <c r="C259" i="54"/>
  <c r="C301" i="54"/>
  <c r="C234" i="54"/>
  <c r="C266" i="54"/>
  <c r="C35" i="54"/>
  <c r="C195" i="54"/>
  <c r="C179" i="54"/>
  <c r="C218" i="54"/>
  <c r="C202" i="54"/>
  <c r="C186" i="54"/>
  <c r="C285" i="54"/>
  <c r="C269" i="54"/>
  <c r="C253" i="54"/>
  <c r="C237" i="54"/>
  <c r="C221" i="54"/>
  <c r="C205" i="54"/>
  <c r="C189" i="54"/>
  <c r="C161" i="54"/>
  <c r="C169" i="54"/>
  <c r="C291" i="54"/>
  <c r="C300" i="54"/>
  <c r="C271" i="54"/>
  <c r="C254" i="54"/>
  <c r="C243" i="54"/>
  <c r="C227" i="54"/>
  <c r="C282" i="54"/>
  <c r="C303" i="54"/>
  <c r="C279" i="54"/>
  <c r="C262" i="54"/>
  <c r="C223" i="54"/>
  <c r="C207" i="54"/>
  <c r="C172" i="54"/>
  <c r="C139" i="54"/>
  <c r="C198" i="54"/>
  <c r="C182" i="54"/>
  <c r="C297" i="54"/>
  <c r="C281" i="54"/>
  <c r="C249" i="54"/>
  <c r="C185" i="54"/>
  <c r="C153" i="54"/>
  <c r="C240" i="54"/>
  <c r="C224" i="54"/>
  <c r="C192" i="54"/>
  <c r="C155" i="54"/>
  <c r="C126" i="54"/>
  <c r="C71" i="54"/>
  <c r="C133" i="54"/>
  <c r="C116" i="54"/>
  <c r="C91" i="54"/>
  <c r="C27" i="54"/>
  <c r="C156" i="54"/>
  <c r="C140" i="54"/>
  <c r="C63" i="54"/>
  <c r="C118" i="54"/>
  <c r="C86" i="54"/>
  <c r="C54" i="54"/>
  <c r="C22" i="54"/>
  <c r="C101" i="54"/>
  <c r="C69" i="54"/>
  <c r="C37" i="54"/>
  <c r="C72" i="54"/>
  <c r="C56" i="54"/>
  <c r="C8" i="54"/>
  <c r="G312" i="34"/>
  <c r="C5" i="34" s="1"/>
  <c r="C8" i="34" s="1"/>
  <c r="I12" i="9"/>
  <c r="H312" i="9"/>
  <c r="C256" i="54" l="1"/>
  <c r="C40" i="54"/>
  <c r="C104" i="54"/>
  <c r="C144" i="54"/>
  <c r="C228" i="54"/>
  <c r="C108" i="54"/>
  <c r="C272" i="54"/>
  <c r="D6" i="12"/>
  <c r="E6" i="39"/>
  <c r="G5" i="25"/>
  <c r="G11" i="34"/>
  <c r="G306" i="12"/>
  <c r="I312" i="9"/>
  <c r="D306" i="12" s="1"/>
  <c r="D59" i="48" l="1"/>
  <c r="G305" i="25"/>
  <c r="C6" i="54"/>
  <c r="C306" i="54" s="1"/>
  <c r="D5" i="34" l="1"/>
  <c r="D6" i="34" l="1"/>
  <c r="D8" i="34" s="1"/>
  <c r="J11" i="34" s="1"/>
  <c r="J91" i="34" l="1"/>
  <c r="H85" i="12" s="1"/>
  <c r="I85" i="12" s="1"/>
  <c r="J95" i="34"/>
  <c r="H89" i="12" s="1"/>
  <c r="I89" i="12" s="1"/>
  <c r="J15" i="34"/>
  <c r="H9" i="12" s="1"/>
  <c r="I9" i="12" s="1"/>
  <c r="J19" i="34"/>
  <c r="H13" i="12" s="1"/>
  <c r="I13" i="12" s="1"/>
  <c r="J23" i="34"/>
  <c r="H17" i="12" s="1"/>
  <c r="I17" i="12" s="1"/>
  <c r="J27" i="34"/>
  <c r="H21" i="12" s="1"/>
  <c r="I21" i="12" s="1"/>
  <c r="J31" i="34"/>
  <c r="H25" i="12" s="1"/>
  <c r="I25" i="12" s="1"/>
  <c r="J35" i="34"/>
  <c r="H29" i="12" s="1"/>
  <c r="I29" i="12" s="1"/>
  <c r="J39" i="34"/>
  <c r="H33" i="12" s="1"/>
  <c r="I33" i="12" s="1"/>
  <c r="J43" i="34"/>
  <c r="H37" i="12" s="1"/>
  <c r="I37" i="12" s="1"/>
  <c r="J47" i="34"/>
  <c r="H41" i="12" s="1"/>
  <c r="I41" i="12" s="1"/>
  <c r="J51" i="34"/>
  <c r="H45" i="12" s="1"/>
  <c r="I45" i="12" s="1"/>
  <c r="J55" i="34"/>
  <c r="H49" i="12" s="1"/>
  <c r="I49" i="12" s="1"/>
  <c r="J59" i="34"/>
  <c r="H53" i="12" s="1"/>
  <c r="I53" i="12" s="1"/>
  <c r="J63" i="34"/>
  <c r="H57" i="12" s="1"/>
  <c r="I57" i="12" s="1"/>
  <c r="J67" i="34"/>
  <c r="H61" i="12" s="1"/>
  <c r="I61" i="12" s="1"/>
  <c r="J71" i="34"/>
  <c r="H65" i="12" s="1"/>
  <c r="I65" i="12" s="1"/>
  <c r="J75" i="34"/>
  <c r="H69" i="12" s="1"/>
  <c r="I69" i="12" s="1"/>
  <c r="J79" i="34"/>
  <c r="H73" i="12" s="1"/>
  <c r="I73" i="12" s="1"/>
  <c r="J83" i="34"/>
  <c r="H77" i="12" s="1"/>
  <c r="I77" i="12" s="1"/>
  <c r="J87" i="34"/>
  <c r="H81" i="12" s="1"/>
  <c r="I81" i="12" s="1"/>
  <c r="J99" i="34"/>
  <c r="H93" i="12" s="1"/>
  <c r="I93" i="12" s="1"/>
  <c r="J103" i="34"/>
  <c r="H97" i="12" s="1"/>
  <c r="I97" i="12" s="1"/>
  <c r="J107" i="34"/>
  <c r="H101" i="12" s="1"/>
  <c r="I101" i="12" s="1"/>
  <c r="J111" i="34"/>
  <c r="H105" i="12" s="1"/>
  <c r="I105" i="12" s="1"/>
  <c r="J115" i="34"/>
  <c r="H109" i="12" s="1"/>
  <c r="I109" i="12" s="1"/>
  <c r="J108" i="34"/>
  <c r="H102" i="12" s="1"/>
  <c r="I102" i="12" s="1"/>
  <c r="J116" i="34"/>
  <c r="H110" i="12" s="1"/>
  <c r="I110" i="12" s="1"/>
  <c r="J119" i="34"/>
  <c r="H113" i="12" s="1"/>
  <c r="I113" i="12" s="1"/>
  <c r="J123" i="34"/>
  <c r="H117" i="12" s="1"/>
  <c r="I117" i="12" s="1"/>
  <c r="J127" i="34"/>
  <c r="H121" i="12" s="1"/>
  <c r="I121" i="12" s="1"/>
  <c r="J131" i="34"/>
  <c r="H125" i="12" s="1"/>
  <c r="I125" i="12" s="1"/>
  <c r="J135" i="34"/>
  <c r="H129" i="12" s="1"/>
  <c r="I129" i="12" s="1"/>
  <c r="J139" i="34"/>
  <c r="H133" i="12" s="1"/>
  <c r="I133" i="12" s="1"/>
  <c r="J143" i="34"/>
  <c r="H137" i="12" s="1"/>
  <c r="I137" i="12" s="1"/>
  <c r="J147" i="34"/>
  <c r="H141" i="12" s="1"/>
  <c r="I141" i="12" s="1"/>
  <c r="J151" i="34"/>
  <c r="H145" i="12" s="1"/>
  <c r="I145" i="12" s="1"/>
  <c r="J155" i="34"/>
  <c r="H149" i="12" s="1"/>
  <c r="I149" i="12" s="1"/>
  <c r="J159" i="34"/>
  <c r="H153" i="12" s="1"/>
  <c r="I153" i="12" s="1"/>
  <c r="J164" i="34"/>
  <c r="H158" i="12" s="1"/>
  <c r="I158" i="12" s="1"/>
  <c r="J168" i="34"/>
  <c r="H162" i="12" s="1"/>
  <c r="I162" i="12" s="1"/>
  <c r="J172" i="34"/>
  <c r="H166" i="12" s="1"/>
  <c r="I166" i="12" s="1"/>
  <c r="J176" i="34"/>
  <c r="H170" i="12" s="1"/>
  <c r="I170" i="12" s="1"/>
  <c r="J180" i="34"/>
  <c r="H174" i="12" s="1"/>
  <c r="I174" i="12" s="1"/>
  <c r="J184" i="34"/>
  <c r="H178" i="12" s="1"/>
  <c r="I178" i="12" s="1"/>
  <c r="J188" i="34"/>
  <c r="H182" i="12" s="1"/>
  <c r="I182" i="12" s="1"/>
  <c r="J192" i="34"/>
  <c r="H186" i="12" s="1"/>
  <c r="I186" i="12" s="1"/>
  <c r="J196" i="34"/>
  <c r="H190" i="12" s="1"/>
  <c r="I190" i="12" s="1"/>
  <c r="J200" i="34"/>
  <c r="H194" i="12" s="1"/>
  <c r="I194" i="12" s="1"/>
  <c r="J204" i="34"/>
  <c r="H198" i="12" s="1"/>
  <c r="I198" i="12" s="1"/>
  <c r="J208" i="34"/>
  <c r="H202" i="12" s="1"/>
  <c r="I202" i="12" s="1"/>
  <c r="J212" i="34"/>
  <c r="H206" i="12" s="1"/>
  <c r="I206" i="12" s="1"/>
  <c r="J216" i="34"/>
  <c r="H210" i="12" s="1"/>
  <c r="I210" i="12" s="1"/>
  <c r="J220" i="34"/>
  <c r="H214" i="12" s="1"/>
  <c r="I214" i="12" s="1"/>
  <c r="J224" i="34"/>
  <c r="H218" i="12" s="1"/>
  <c r="I218" i="12" s="1"/>
  <c r="J228" i="34"/>
  <c r="H222" i="12" s="1"/>
  <c r="I222" i="12" s="1"/>
  <c r="J232" i="34"/>
  <c r="H226" i="12" s="1"/>
  <c r="I226" i="12" s="1"/>
  <c r="J236" i="34"/>
  <c r="H230" i="12" s="1"/>
  <c r="I230" i="12" s="1"/>
  <c r="J240" i="34"/>
  <c r="H234" i="12" s="1"/>
  <c r="I234" i="12" s="1"/>
  <c r="J244" i="34"/>
  <c r="H238" i="12" s="1"/>
  <c r="I238" i="12" s="1"/>
  <c r="J248" i="34"/>
  <c r="H242" i="12" s="1"/>
  <c r="I242" i="12" s="1"/>
  <c r="J252" i="34"/>
  <c r="H246" i="12" s="1"/>
  <c r="I246" i="12" s="1"/>
  <c r="J256" i="34"/>
  <c r="H250" i="12" s="1"/>
  <c r="I250" i="12" s="1"/>
  <c r="J260" i="34"/>
  <c r="H254" i="12" s="1"/>
  <c r="I254" i="12" s="1"/>
  <c r="J264" i="34"/>
  <c r="H258" i="12" s="1"/>
  <c r="I258" i="12" s="1"/>
  <c r="J268" i="34"/>
  <c r="H262" i="12" s="1"/>
  <c r="I262" i="12" s="1"/>
  <c r="J272" i="34"/>
  <c r="H266" i="12" s="1"/>
  <c r="I266" i="12" s="1"/>
  <c r="J276" i="34"/>
  <c r="H270" i="12" s="1"/>
  <c r="I270" i="12" s="1"/>
  <c r="J280" i="34"/>
  <c r="H274" i="12" s="1"/>
  <c r="I274" i="12" s="1"/>
  <c r="J284" i="34"/>
  <c r="H278" i="12" s="1"/>
  <c r="I278" i="12" s="1"/>
  <c r="J163" i="34"/>
  <c r="H157" i="12" s="1"/>
  <c r="I157" i="12" s="1"/>
  <c r="J112" i="34"/>
  <c r="H106" i="12" s="1"/>
  <c r="I106" i="12" s="1"/>
  <c r="J292" i="34"/>
  <c r="H286" i="12" s="1"/>
  <c r="I286" i="12" s="1"/>
  <c r="J296" i="34"/>
  <c r="H290" i="12" s="1"/>
  <c r="I290" i="12" s="1"/>
  <c r="J300" i="34"/>
  <c r="H294" i="12" s="1"/>
  <c r="I294" i="12" s="1"/>
  <c r="J304" i="34"/>
  <c r="H298" i="12" s="1"/>
  <c r="I298" i="12" s="1"/>
  <c r="J308" i="34"/>
  <c r="H302" i="12" s="1"/>
  <c r="I302" i="12" s="1"/>
  <c r="J104" i="34"/>
  <c r="H98" i="12" s="1"/>
  <c r="I98" i="12" s="1"/>
  <c r="J288" i="34"/>
  <c r="H282" i="12" s="1"/>
  <c r="I282" i="12" s="1"/>
  <c r="J169" i="34"/>
  <c r="H163" i="12" s="1"/>
  <c r="I163" i="12" s="1"/>
  <c r="J170" i="34"/>
  <c r="H164" i="12" s="1"/>
  <c r="I164" i="12" s="1"/>
  <c r="J177" i="34"/>
  <c r="H171" i="12" s="1"/>
  <c r="I171" i="12" s="1"/>
  <c r="J178" i="34"/>
  <c r="H172" i="12" s="1"/>
  <c r="I172" i="12" s="1"/>
  <c r="J185" i="34"/>
  <c r="H179" i="12" s="1"/>
  <c r="I179" i="12" s="1"/>
  <c r="J186" i="34"/>
  <c r="H180" i="12" s="1"/>
  <c r="I180" i="12" s="1"/>
  <c r="J193" i="34"/>
  <c r="H187" i="12" s="1"/>
  <c r="I187" i="12" s="1"/>
  <c r="J194" i="34"/>
  <c r="H188" i="12" s="1"/>
  <c r="I188" i="12" s="1"/>
  <c r="J201" i="34"/>
  <c r="H195" i="12" s="1"/>
  <c r="I195" i="12" s="1"/>
  <c r="J202" i="34"/>
  <c r="H196" i="12" s="1"/>
  <c r="I196" i="12" s="1"/>
  <c r="J209" i="34"/>
  <c r="H203" i="12" s="1"/>
  <c r="I203" i="12" s="1"/>
  <c r="J210" i="34"/>
  <c r="H204" i="12" s="1"/>
  <c r="I204" i="12" s="1"/>
  <c r="J217" i="34"/>
  <c r="H211" i="12" s="1"/>
  <c r="I211" i="12" s="1"/>
  <c r="J218" i="34"/>
  <c r="H212" i="12" s="1"/>
  <c r="I212" i="12" s="1"/>
  <c r="J225" i="34"/>
  <c r="H219" i="12" s="1"/>
  <c r="I219" i="12" s="1"/>
  <c r="J226" i="34"/>
  <c r="H220" i="12" s="1"/>
  <c r="I220" i="12" s="1"/>
  <c r="J233" i="34"/>
  <c r="H227" i="12" s="1"/>
  <c r="I227" i="12" s="1"/>
  <c r="J234" i="34"/>
  <c r="H228" i="12" s="1"/>
  <c r="I228" i="12" s="1"/>
  <c r="J241" i="34"/>
  <c r="H235" i="12" s="1"/>
  <c r="I235" i="12" s="1"/>
  <c r="J242" i="34"/>
  <c r="H236" i="12" s="1"/>
  <c r="I236" i="12" s="1"/>
  <c r="J249" i="34"/>
  <c r="H243" i="12" s="1"/>
  <c r="I243" i="12" s="1"/>
  <c r="J250" i="34"/>
  <c r="H244" i="12" s="1"/>
  <c r="I244" i="12" s="1"/>
  <c r="J257" i="34"/>
  <c r="H251" i="12" s="1"/>
  <c r="I251" i="12" s="1"/>
  <c r="J258" i="34"/>
  <c r="H252" i="12" s="1"/>
  <c r="I252" i="12" s="1"/>
  <c r="J265" i="34"/>
  <c r="H259" i="12" s="1"/>
  <c r="I259" i="12" s="1"/>
  <c r="J266" i="34"/>
  <c r="H260" i="12" s="1"/>
  <c r="I260" i="12" s="1"/>
  <c r="J273" i="34"/>
  <c r="H267" i="12" s="1"/>
  <c r="I267" i="12" s="1"/>
  <c r="J274" i="34"/>
  <c r="H268" i="12" s="1"/>
  <c r="I268" i="12" s="1"/>
  <c r="J281" i="34"/>
  <c r="H275" i="12" s="1"/>
  <c r="I275" i="12" s="1"/>
  <c r="J282" i="34"/>
  <c r="H276" i="12" s="1"/>
  <c r="I276" i="12" s="1"/>
  <c r="J289" i="34"/>
  <c r="H283" i="12" s="1"/>
  <c r="I283" i="12" s="1"/>
  <c r="J293" i="34"/>
  <c r="H287" i="12" s="1"/>
  <c r="I287" i="12" s="1"/>
  <c r="J297" i="34"/>
  <c r="H291" i="12" s="1"/>
  <c r="I291" i="12" s="1"/>
  <c r="J301" i="34"/>
  <c r="H295" i="12" s="1"/>
  <c r="I295" i="12" s="1"/>
  <c r="J305" i="34"/>
  <c r="H299" i="12" s="1"/>
  <c r="I299" i="12" s="1"/>
  <c r="J309" i="34"/>
  <c r="H303" i="12" s="1"/>
  <c r="I303" i="12" s="1"/>
  <c r="J92" i="34"/>
  <c r="H86" i="12" s="1"/>
  <c r="I86" i="12" s="1"/>
  <c r="J96" i="34"/>
  <c r="H90" i="12" s="1"/>
  <c r="I90" i="12" s="1"/>
  <c r="J97" i="34"/>
  <c r="H91" i="12" s="1"/>
  <c r="I91" i="12" s="1"/>
  <c r="J101" i="34"/>
  <c r="H95" i="12" s="1"/>
  <c r="I95" i="12" s="1"/>
  <c r="J93" i="34"/>
  <c r="H87" i="12" s="1"/>
  <c r="I87" i="12" s="1"/>
  <c r="J165" i="34"/>
  <c r="H159" i="12" s="1"/>
  <c r="I159" i="12" s="1"/>
  <c r="J166" i="34"/>
  <c r="H160" i="12" s="1"/>
  <c r="I160" i="12" s="1"/>
  <c r="J173" i="34"/>
  <c r="H167" i="12" s="1"/>
  <c r="I167" i="12" s="1"/>
  <c r="J174" i="34"/>
  <c r="H168" i="12" s="1"/>
  <c r="I168" i="12" s="1"/>
  <c r="J181" i="34"/>
  <c r="H175" i="12" s="1"/>
  <c r="I175" i="12" s="1"/>
  <c r="J182" i="34"/>
  <c r="H176" i="12" s="1"/>
  <c r="I176" i="12" s="1"/>
  <c r="J189" i="34"/>
  <c r="H183" i="12" s="1"/>
  <c r="I183" i="12" s="1"/>
  <c r="J190" i="34"/>
  <c r="H184" i="12" s="1"/>
  <c r="I184" i="12" s="1"/>
  <c r="J197" i="34"/>
  <c r="H191" i="12" s="1"/>
  <c r="I191" i="12" s="1"/>
  <c r="J198" i="34"/>
  <c r="H192" i="12" s="1"/>
  <c r="I192" i="12" s="1"/>
  <c r="J205" i="34"/>
  <c r="H199" i="12" s="1"/>
  <c r="I199" i="12" s="1"/>
  <c r="J206" i="34"/>
  <c r="H200" i="12" s="1"/>
  <c r="I200" i="12" s="1"/>
  <c r="J213" i="34"/>
  <c r="H207" i="12" s="1"/>
  <c r="I207" i="12" s="1"/>
  <c r="J214" i="34"/>
  <c r="H208" i="12" s="1"/>
  <c r="I208" i="12" s="1"/>
  <c r="J221" i="34"/>
  <c r="H215" i="12" s="1"/>
  <c r="I215" i="12" s="1"/>
  <c r="J222" i="34"/>
  <c r="H216" i="12" s="1"/>
  <c r="I216" i="12" s="1"/>
  <c r="J229" i="34"/>
  <c r="H223" i="12" s="1"/>
  <c r="I223" i="12" s="1"/>
  <c r="J230" i="34"/>
  <c r="H224" i="12" s="1"/>
  <c r="I224" i="12" s="1"/>
  <c r="J237" i="34"/>
  <c r="H231" i="12" s="1"/>
  <c r="I231" i="12" s="1"/>
  <c r="J238" i="34"/>
  <c r="H232" i="12" s="1"/>
  <c r="I232" i="12" s="1"/>
  <c r="J245" i="34"/>
  <c r="H239" i="12" s="1"/>
  <c r="I239" i="12" s="1"/>
  <c r="J246" i="34"/>
  <c r="H240" i="12" s="1"/>
  <c r="I240" i="12" s="1"/>
  <c r="J253" i="34"/>
  <c r="H247" i="12" s="1"/>
  <c r="I247" i="12" s="1"/>
  <c r="J254" i="34"/>
  <c r="H248" i="12" s="1"/>
  <c r="I248" i="12" s="1"/>
  <c r="J261" i="34"/>
  <c r="H255" i="12" s="1"/>
  <c r="I255" i="12" s="1"/>
  <c r="J262" i="34"/>
  <c r="H256" i="12" s="1"/>
  <c r="I256" i="12" s="1"/>
  <c r="J269" i="34"/>
  <c r="H263" i="12" s="1"/>
  <c r="I263" i="12" s="1"/>
  <c r="J270" i="34"/>
  <c r="H264" i="12" s="1"/>
  <c r="I264" i="12" s="1"/>
  <c r="J277" i="34"/>
  <c r="H271" i="12" s="1"/>
  <c r="I271" i="12" s="1"/>
  <c r="J278" i="34"/>
  <c r="H272" i="12" s="1"/>
  <c r="I272" i="12" s="1"/>
  <c r="J285" i="34"/>
  <c r="H279" i="12" s="1"/>
  <c r="I279" i="12" s="1"/>
  <c r="J156" i="34"/>
  <c r="H150" i="12" s="1"/>
  <c r="I150" i="12" s="1"/>
  <c r="J124" i="34"/>
  <c r="H118" i="12" s="1"/>
  <c r="I118" i="12" s="1"/>
  <c r="J243" i="34"/>
  <c r="H237" i="12" s="1"/>
  <c r="I237" i="12" s="1"/>
  <c r="J179" i="34"/>
  <c r="H173" i="12" s="1"/>
  <c r="I173" i="12" s="1"/>
  <c r="J263" i="34"/>
  <c r="H257" i="12" s="1"/>
  <c r="I257" i="12" s="1"/>
  <c r="J231" i="34"/>
  <c r="H225" i="12" s="1"/>
  <c r="I225" i="12" s="1"/>
  <c r="J199" i="34"/>
  <c r="H193" i="12" s="1"/>
  <c r="I193" i="12" s="1"/>
  <c r="J167" i="34"/>
  <c r="H161" i="12" s="1"/>
  <c r="I161" i="12" s="1"/>
  <c r="J307" i="34"/>
  <c r="H301" i="12" s="1"/>
  <c r="I301" i="12" s="1"/>
  <c r="J299" i="34"/>
  <c r="H293" i="12" s="1"/>
  <c r="I293" i="12" s="1"/>
  <c r="J291" i="34"/>
  <c r="H285" i="12" s="1"/>
  <c r="I285" i="12" s="1"/>
  <c r="J219" i="34"/>
  <c r="H213" i="12" s="1"/>
  <c r="I213" i="12" s="1"/>
  <c r="J195" i="34"/>
  <c r="H189" i="12" s="1"/>
  <c r="I189" i="12" s="1"/>
  <c r="J160" i="34"/>
  <c r="H154" i="12" s="1"/>
  <c r="I154" i="12" s="1"/>
  <c r="J128" i="34"/>
  <c r="H122" i="12" s="1"/>
  <c r="I122" i="12" s="1"/>
  <c r="J98" i="34"/>
  <c r="H92" i="12" s="1"/>
  <c r="I92" i="12" s="1"/>
  <c r="J86" i="34"/>
  <c r="H80" i="12" s="1"/>
  <c r="I80" i="12" s="1"/>
  <c r="J78" i="34"/>
  <c r="H72" i="12" s="1"/>
  <c r="I72" i="12" s="1"/>
  <c r="J70" i="34"/>
  <c r="H64" i="12" s="1"/>
  <c r="I64" i="12" s="1"/>
  <c r="J62" i="34"/>
  <c r="H56" i="12" s="1"/>
  <c r="I56" i="12" s="1"/>
  <c r="J54" i="34"/>
  <c r="H48" i="12" s="1"/>
  <c r="I48" i="12" s="1"/>
  <c r="J46" i="34"/>
  <c r="H40" i="12" s="1"/>
  <c r="I40" i="12" s="1"/>
  <c r="J38" i="34"/>
  <c r="H32" i="12" s="1"/>
  <c r="I32" i="12" s="1"/>
  <c r="J30" i="34"/>
  <c r="H24" i="12" s="1"/>
  <c r="I24" i="12" s="1"/>
  <c r="J22" i="34"/>
  <c r="H16" i="12" s="1"/>
  <c r="I16" i="12" s="1"/>
  <c r="J14" i="34"/>
  <c r="H8" i="12" s="1"/>
  <c r="I8" i="12" s="1"/>
  <c r="J162" i="34"/>
  <c r="H156" i="12" s="1"/>
  <c r="I156" i="12" s="1"/>
  <c r="J146" i="34"/>
  <c r="H140" i="12" s="1"/>
  <c r="I140" i="12" s="1"/>
  <c r="J130" i="34"/>
  <c r="H124" i="12" s="1"/>
  <c r="I124" i="12" s="1"/>
  <c r="J161" i="34"/>
  <c r="H155" i="12" s="1"/>
  <c r="I155" i="12" s="1"/>
  <c r="J145" i="34"/>
  <c r="H139" i="12" s="1"/>
  <c r="I139" i="12" s="1"/>
  <c r="J129" i="34"/>
  <c r="H123" i="12" s="1"/>
  <c r="I123" i="12" s="1"/>
  <c r="J89" i="34"/>
  <c r="H83" i="12" s="1"/>
  <c r="I83" i="12" s="1"/>
  <c r="J73" i="34"/>
  <c r="H67" i="12" s="1"/>
  <c r="I67" i="12" s="1"/>
  <c r="J57" i="34"/>
  <c r="H51" i="12" s="1"/>
  <c r="I51" i="12" s="1"/>
  <c r="J41" i="34"/>
  <c r="H35" i="12" s="1"/>
  <c r="I35" i="12" s="1"/>
  <c r="J25" i="34"/>
  <c r="H19" i="12" s="1"/>
  <c r="I19" i="12" s="1"/>
  <c r="J16" i="34"/>
  <c r="H10" i="12" s="1"/>
  <c r="I10" i="12" s="1"/>
  <c r="J149" i="34"/>
  <c r="H143" i="12" s="1"/>
  <c r="I143" i="12" s="1"/>
  <c r="J106" i="34"/>
  <c r="H100" i="12" s="1"/>
  <c r="I100" i="12" s="1"/>
  <c r="J61" i="34"/>
  <c r="H55" i="12" s="1"/>
  <c r="I55" i="12" s="1"/>
  <c r="J13" i="34"/>
  <c r="H7" i="12" s="1"/>
  <c r="I7" i="12" s="1"/>
  <c r="J148" i="34"/>
  <c r="H142" i="12" s="1"/>
  <c r="I142" i="12" s="1"/>
  <c r="J283" i="34"/>
  <c r="H277" i="12" s="1"/>
  <c r="I277" i="12" s="1"/>
  <c r="J259" i="34"/>
  <c r="H253" i="12" s="1"/>
  <c r="I253" i="12" s="1"/>
  <c r="J171" i="34"/>
  <c r="H165" i="12" s="1"/>
  <c r="I165" i="12" s="1"/>
  <c r="J271" i="34"/>
  <c r="H265" i="12" s="1"/>
  <c r="I265" i="12" s="1"/>
  <c r="J239" i="34"/>
  <c r="H233" i="12" s="1"/>
  <c r="I233" i="12" s="1"/>
  <c r="J207" i="34"/>
  <c r="H201" i="12" s="1"/>
  <c r="I201" i="12" s="1"/>
  <c r="J175" i="34"/>
  <c r="H169" i="12" s="1"/>
  <c r="I169" i="12" s="1"/>
  <c r="J306" i="34"/>
  <c r="H300" i="12" s="1"/>
  <c r="I300" i="12" s="1"/>
  <c r="J290" i="34"/>
  <c r="H284" i="12" s="1"/>
  <c r="I284" i="12" s="1"/>
  <c r="J275" i="34"/>
  <c r="H269" i="12" s="1"/>
  <c r="I269" i="12" s="1"/>
  <c r="J235" i="34"/>
  <c r="H229" i="12" s="1"/>
  <c r="I229" i="12" s="1"/>
  <c r="J211" i="34"/>
  <c r="H205" i="12" s="1"/>
  <c r="I205" i="12" s="1"/>
  <c r="J152" i="34"/>
  <c r="H146" i="12" s="1"/>
  <c r="I146" i="12" s="1"/>
  <c r="J120" i="34"/>
  <c r="H114" i="12" s="1"/>
  <c r="I114" i="12" s="1"/>
  <c r="J94" i="34"/>
  <c r="H88" i="12" s="1"/>
  <c r="I88" i="12" s="1"/>
  <c r="J84" i="34"/>
  <c r="H78" i="12" s="1"/>
  <c r="I78" i="12" s="1"/>
  <c r="J76" i="34"/>
  <c r="H70" i="12" s="1"/>
  <c r="I70" i="12" s="1"/>
  <c r="J68" i="34"/>
  <c r="H62" i="12" s="1"/>
  <c r="I62" i="12" s="1"/>
  <c r="J60" i="34"/>
  <c r="H54" i="12" s="1"/>
  <c r="I54" i="12" s="1"/>
  <c r="J52" i="34"/>
  <c r="H46" i="12" s="1"/>
  <c r="I46" i="12" s="1"/>
  <c r="J44" i="34"/>
  <c r="H38" i="12" s="1"/>
  <c r="I38" i="12" s="1"/>
  <c r="J36" i="34"/>
  <c r="H30" i="12" s="1"/>
  <c r="I30" i="12" s="1"/>
  <c r="J28" i="34"/>
  <c r="H22" i="12" s="1"/>
  <c r="I22" i="12" s="1"/>
  <c r="J20" i="34"/>
  <c r="H14" i="12" s="1"/>
  <c r="I14" i="12" s="1"/>
  <c r="J287" i="34"/>
  <c r="H281" i="12" s="1"/>
  <c r="I281" i="12" s="1"/>
  <c r="J158" i="34"/>
  <c r="H152" i="12" s="1"/>
  <c r="I152" i="12" s="1"/>
  <c r="J142" i="34"/>
  <c r="H136" i="12" s="1"/>
  <c r="I136" i="12" s="1"/>
  <c r="J126" i="34"/>
  <c r="H120" i="12" s="1"/>
  <c r="I120" i="12" s="1"/>
  <c r="J157" i="34"/>
  <c r="H151" i="12" s="1"/>
  <c r="I151" i="12" s="1"/>
  <c r="J141" i="34"/>
  <c r="H135" i="12" s="1"/>
  <c r="I135" i="12" s="1"/>
  <c r="J125" i="34"/>
  <c r="H119" i="12" s="1"/>
  <c r="I119" i="12" s="1"/>
  <c r="J109" i="34"/>
  <c r="H103" i="12" s="1"/>
  <c r="I103" i="12" s="1"/>
  <c r="J114" i="34"/>
  <c r="H108" i="12" s="1"/>
  <c r="I108" i="12" s="1"/>
  <c r="J100" i="34"/>
  <c r="H94" i="12" s="1"/>
  <c r="I94" i="12" s="1"/>
  <c r="J85" i="34"/>
  <c r="H79" i="12" s="1"/>
  <c r="I79" i="12" s="1"/>
  <c r="J69" i="34"/>
  <c r="H63" i="12" s="1"/>
  <c r="I63" i="12" s="1"/>
  <c r="J53" i="34"/>
  <c r="H47" i="12" s="1"/>
  <c r="I47" i="12" s="1"/>
  <c r="J37" i="34"/>
  <c r="H31" i="12" s="1"/>
  <c r="I31" i="12" s="1"/>
  <c r="J21" i="34"/>
  <c r="H15" i="12" s="1"/>
  <c r="I15" i="12" s="1"/>
  <c r="J286" i="34"/>
  <c r="H280" i="12" s="1"/>
  <c r="I280" i="12" s="1"/>
  <c r="J223" i="34"/>
  <c r="H217" i="12" s="1"/>
  <c r="I217" i="12" s="1"/>
  <c r="J310" i="34"/>
  <c r="H304" i="12" s="1"/>
  <c r="I304" i="12" s="1"/>
  <c r="J294" i="34"/>
  <c r="H288" i="12" s="1"/>
  <c r="I288" i="12" s="1"/>
  <c r="J136" i="34"/>
  <c r="H130" i="12" s="1"/>
  <c r="I130" i="12" s="1"/>
  <c r="J88" i="34"/>
  <c r="H82" i="12" s="1"/>
  <c r="I82" i="12" s="1"/>
  <c r="J72" i="34"/>
  <c r="H66" i="12" s="1"/>
  <c r="I66" i="12" s="1"/>
  <c r="J56" i="34"/>
  <c r="H50" i="12" s="1"/>
  <c r="I50" i="12" s="1"/>
  <c r="J40" i="34"/>
  <c r="H34" i="12" s="1"/>
  <c r="I34" i="12" s="1"/>
  <c r="J24" i="34"/>
  <c r="H18" i="12" s="1"/>
  <c r="I18" i="12" s="1"/>
  <c r="J150" i="34"/>
  <c r="H144" i="12" s="1"/>
  <c r="I144" i="12" s="1"/>
  <c r="J118" i="34"/>
  <c r="H112" i="12" s="1"/>
  <c r="I112" i="12" s="1"/>
  <c r="J133" i="34"/>
  <c r="H127" i="12" s="1"/>
  <c r="I127" i="12" s="1"/>
  <c r="J77" i="34"/>
  <c r="H71" i="12" s="1"/>
  <c r="I71" i="12" s="1"/>
  <c r="J45" i="34"/>
  <c r="H39" i="12" s="1"/>
  <c r="I39" i="12" s="1"/>
  <c r="J140" i="34"/>
  <c r="H134" i="12" s="1"/>
  <c r="I134" i="12" s="1"/>
  <c r="J298" i="34"/>
  <c r="H292" i="12" s="1"/>
  <c r="I292" i="12" s="1"/>
  <c r="J279" i="34"/>
  <c r="H273" i="12" s="1"/>
  <c r="I273" i="12" s="1"/>
  <c r="J247" i="34"/>
  <c r="H241" i="12" s="1"/>
  <c r="I241" i="12" s="1"/>
  <c r="J215" i="34"/>
  <c r="H209" i="12" s="1"/>
  <c r="I209" i="12" s="1"/>
  <c r="J183" i="34"/>
  <c r="H177" i="12" s="1"/>
  <c r="I177" i="12" s="1"/>
  <c r="J311" i="34"/>
  <c r="H305" i="12" s="1"/>
  <c r="I305" i="12" s="1"/>
  <c r="J303" i="34"/>
  <c r="H297" i="12" s="1"/>
  <c r="I297" i="12" s="1"/>
  <c r="J295" i="34"/>
  <c r="H289" i="12" s="1"/>
  <c r="I289" i="12" s="1"/>
  <c r="J267" i="34"/>
  <c r="H261" i="12" s="1"/>
  <c r="I261" i="12" s="1"/>
  <c r="J251" i="34"/>
  <c r="H245" i="12" s="1"/>
  <c r="I245" i="12" s="1"/>
  <c r="J227" i="34"/>
  <c r="H221" i="12" s="1"/>
  <c r="I221" i="12" s="1"/>
  <c r="J187" i="34"/>
  <c r="H181" i="12" s="1"/>
  <c r="I181" i="12" s="1"/>
  <c r="J144" i="34"/>
  <c r="H138" i="12" s="1"/>
  <c r="I138" i="12" s="1"/>
  <c r="J105" i="34"/>
  <c r="H99" i="12" s="1"/>
  <c r="I99" i="12" s="1"/>
  <c r="J90" i="34"/>
  <c r="H84" i="12" s="1"/>
  <c r="I84" i="12" s="1"/>
  <c r="J82" i="34"/>
  <c r="H76" i="12" s="1"/>
  <c r="I76" i="12" s="1"/>
  <c r="J74" i="34"/>
  <c r="H68" i="12" s="1"/>
  <c r="I68" i="12" s="1"/>
  <c r="J66" i="34"/>
  <c r="H60" i="12" s="1"/>
  <c r="I60" i="12" s="1"/>
  <c r="J58" i="34"/>
  <c r="H52" i="12" s="1"/>
  <c r="I52" i="12" s="1"/>
  <c r="J50" i="34"/>
  <c r="H44" i="12" s="1"/>
  <c r="I44" i="12" s="1"/>
  <c r="J42" i="34"/>
  <c r="H36" i="12" s="1"/>
  <c r="I36" i="12" s="1"/>
  <c r="J34" i="34"/>
  <c r="H28" i="12" s="1"/>
  <c r="I28" i="12" s="1"/>
  <c r="J26" i="34"/>
  <c r="H20" i="12" s="1"/>
  <c r="I20" i="12" s="1"/>
  <c r="J18" i="34"/>
  <c r="H12" i="12" s="1"/>
  <c r="I12" i="12" s="1"/>
  <c r="J154" i="34"/>
  <c r="H148" i="12" s="1"/>
  <c r="I148" i="12" s="1"/>
  <c r="J138" i="34"/>
  <c r="H132" i="12" s="1"/>
  <c r="I132" i="12" s="1"/>
  <c r="J122" i="34"/>
  <c r="H116" i="12" s="1"/>
  <c r="I116" i="12" s="1"/>
  <c r="J153" i="34"/>
  <c r="H147" i="12" s="1"/>
  <c r="I147" i="12" s="1"/>
  <c r="J137" i="34"/>
  <c r="H131" i="12" s="1"/>
  <c r="I131" i="12" s="1"/>
  <c r="J121" i="34"/>
  <c r="H115" i="12" s="1"/>
  <c r="I115" i="12" s="1"/>
  <c r="J110" i="34"/>
  <c r="H104" i="12" s="1"/>
  <c r="I104" i="12" s="1"/>
  <c r="J81" i="34"/>
  <c r="H75" i="12" s="1"/>
  <c r="I75" i="12" s="1"/>
  <c r="J65" i="34"/>
  <c r="H59" i="12" s="1"/>
  <c r="I59" i="12" s="1"/>
  <c r="J49" i="34"/>
  <c r="H43" i="12" s="1"/>
  <c r="I43" i="12" s="1"/>
  <c r="J33" i="34"/>
  <c r="H27" i="12" s="1"/>
  <c r="I27" i="12" s="1"/>
  <c r="J17" i="34"/>
  <c r="H11" i="12" s="1"/>
  <c r="I11" i="12" s="1"/>
  <c r="J132" i="34"/>
  <c r="H126" i="12" s="1"/>
  <c r="I126" i="12" s="1"/>
  <c r="J255" i="34"/>
  <c r="H249" i="12" s="1"/>
  <c r="I249" i="12" s="1"/>
  <c r="J191" i="34"/>
  <c r="H185" i="12" s="1"/>
  <c r="I185" i="12" s="1"/>
  <c r="J302" i="34"/>
  <c r="H296" i="12" s="1"/>
  <c r="I296" i="12" s="1"/>
  <c r="J203" i="34"/>
  <c r="H197" i="12" s="1"/>
  <c r="I197" i="12" s="1"/>
  <c r="J102" i="34"/>
  <c r="H96" i="12" s="1"/>
  <c r="I96" i="12" s="1"/>
  <c r="J80" i="34"/>
  <c r="H74" i="12" s="1"/>
  <c r="I74" i="12" s="1"/>
  <c r="J64" i="34"/>
  <c r="H58" i="12" s="1"/>
  <c r="I58" i="12" s="1"/>
  <c r="J48" i="34"/>
  <c r="H42" i="12" s="1"/>
  <c r="I42" i="12" s="1"/>
  <c r="J32" i="34"/>
  <c r="H26" i="12" s="1"/>
  <c r="I26" i="12" s="1"/>
  <c r="J113" i="34"/>
  <c r="H107" i="12" s="1"/>
  <c r="I107" i="12" s="1"/>
  <c r="J134" i="34"/>
  <c r="H128" i="12" s="1"/>
  <c r="I128" i="12" s="1"/>
  <c r="J117" i="34"/>
  <c r="H111" i="12" s="1"/>
  <c r="I111" i="12" s="1"/>
  <c r="J29" i="34"/>
  <c r="H23" i="12" s="1"/>
  <c r="I23" i="12" s="1"/>
  <c r="J312" i="34"/>
  <c r="H306" i="12" s="1"/>
  <c r="I306" i="12" s="1"/>
  <c r="J12" i="34"/>
  <c r="J152" i="12" l="1"/>
  <c r="K152" i="12" s="1"/>
  <c r="D152" i="39"/>
  <c r="G152" i="39" s="1"/>
  <c r="H152" i="39" s="1"/>
  <c r="I152" i="39" s="1"/>
  <c r="G152" i="13" s="1"/>
  <c r="H152" i="13" s="1"/>
  <c r="I152" i="13" s="1"/>
  <c r="J152" i="13" s="1"/>
  <c r="J30" i="12"/>
  <c r="K30" i="12" s="1"/>
  <c r="D30" i="39"/>
  <c r="G30" i="39" s="1"/>
  <c r="H30" i="39" s="1"/>
  <c r="I30" i="39" s="1"/>
  <c r="G30" i="13" s="1"/>
  <c r="H30" i="13" s="1"/>
  <c r="I30" i="13" s="1"/>
  <c r="J30" i="13" s="1"/>
  <c r="J62" i="12"/>
  <c r="K62" i="12" s="1"/>
  <c r="D62" i="39"/>
  <c r="G62" i="39" s="1"/>
  <c r="H62" i="39" s="1"/>
  <c r="I62" i="39" s="1"/>
  <c r="J114" i="12"/>
  <c r="K114" i="12" s="1"/>
  <c r="D114" i="39"/>
  <c r="G114" i="39" s="1"/>
  <c r="H114" i="39" s="1"/>
  <c r="I114" i="39" s="1"/>
  <c r="G114" i="13" s="1"/>
  <c r="H114" i="13" s="1"/>
  <c r="I114" i="13" s="1"/>
  <c r="J114" i="13" s="1"/>
  <c r="J269" i="12"/>
  <c r="K269" i="12" s="1"/>
  <c r="D269" i="39"/>
  <c r="G269" i="39" s="1"/>
  <c r="H269" i="39" s="1"/>
  <c r="I269" i="39" s="1"/>
  <c r="G269" i="13" s="1"/>
  <c r="H269" i="13" s="1"/>
  <c r="I269" i="13" s="1"/>
  <c r="J269" i="13" s="1"/>
  <c r="J201" i="12"/>
  <c r="K201" i="12" s="1"/>
  <c r="D201" i="39"/>
  <c r="G201" i="39" s="1"/>
  <c r="H201" i="39" s="1"/>
  <c r="I201" i="39" s="1"/>
  <c r="J253" i="12"/>
  <c r="K253" i="12" s="1"/>
  <c r="D253" i="39"/>
  <c r="G253" i="39" s="1"/>
  <c r="H253" i="39" s="1"/>
  <c r="I253" i="39" s="1"/>
  <c r="J55" i="12"/>
  <c r="K55" i="12" s="1"/>
  <c r="D55" i="39"/>
  <c r="G55" i="39" s="1"/>
  <c r="H55" i="39" s="1"/>
  <c r="I55" i="39" s="1"/>
  <c r="G55" i="13" s="1"/>
  <c r="H55" i="13" s="1"/>
  <c r="I55" i="13" s="1"/>
  <c r="J55" i="13" s="1"/>
  <c r="J19" i="12"/>
  <c r="K19" i="12" s="1"/>
  <c r="D19" i="39"/>
  <c r="G19" i="39" s="1"/>
  <c r="H19" i="39" s="1"/>
  <c r="I19" i="39" s="1"/>
  <c r="G19" i="13" s="1"/>
  <c r="H19" i="13" s="1"/>
  <c r="I19" i="13" s="1"/>
  <c r="J19" i="13" s="1"/>
  <c r="J83" i="12"/>
  <c r="K83" i="12" s="1"/>
  <c r="D83" i="39"/>
  <c r="G83" i="39" s="1"/>
  <c r="H83" i="39" s="1"/>
  <c r="I83" i="39" s="1"/>
  <c r="G83" i="13" s="1"/>
  <c r="H83" i="13" s="1"/>
  <c r="I83" i="13" s="1"/>
  <c r="J83" i="13" s="1"/>
  <c r="J124" i="12"/>
  <c r="K124" i="12" s="1"/>
  <c r="D124" i="39"/>
  <c r="G124" i="39" s="1"/>
  <c r="H124" i="39" s="1"/>
  <c r="I124" i="39" s="1"/>
  <c r="J16" i="12"/>
  <c r="K16" i="12" s="1"/>
  <c r="G16" i="13"/>
  <c r="H16" i="13" s="1"/>
  <c r="I16" i="13" s="1"/>
  <c r="J16" i="13" s="1"/>
  <c r="D16" i="39"/>
  <c r="G16" i="39" s="1"/>
  <c r="H16" i="39" s="1"/>
  <c r="I16" i="39" s="1"/>
  <c r="J48" i="12"/>
  <c r="K48" i="12" s="1"/>
  <c r="D48" i="39"/>
  <c r="G48" i="39" s="1"/>
  <c r="H48" i="39" s="1"/>
  <c r="I48" i="39" s="1"/>
  <c r="J80" i="12"/>
  <c r="K80" i="12" s="1"/>
  <c r="D80" i="39"/>
  <c r="G80" i="39" s="1"/>
  <c r="H80" i="39" s="1"/>
  <c r="I80" i="39" s="1"/>
  <c r="J189" i="12"/>
  <c r="K189" i="12" s="1"/>
  <c r="D189" i="39"/>
  <c r="G189" i="39" s="1"/>
  <c r="H189" i="39" s="1"/>
  <c r="I189" i="39" s="1"/>
  <c r="J301" i="12"/>
  <c r="K301" i="12" s="1"/>
  <c r="D301" i="39"/>
  <c r="G301" i="39" s="1"/>
  <c r="H301" i="39" s="1"/>
  <c r="I301" i="39" s="1"/>
  <c r="J257" i="12"/>
  <c r="K257" i="12" s="1"/>
  <c r="D257" i="39"/>
  <c r="G257" i="39" s="1"/>
  <c r="H257" i="39" s="1"/>
  <c r="I257" i="39" s="1"/>
  <c r="J150" i="12"/>
  <c r="K150" i="12" s="1"/>
  <c r="D150" i="39"/>
  <c r="G150" i="39" s="1"/>
  <c r="H150" i="39" s="1"/>
  <c r="I150" i="39" s="1"/>
  <c r="J264" i="12"/>
  <c r="K264" i="12" s="1"/>
  <c r="D264" i="39"/>
  <c r="G264" i="39" s="1"/>
  <c r="H264" i="39" s="1"/>
  <c r="I264" i="39" s="1"/>
  <c r="J248" i="12"/>
  <c r="K248" i="12" s="1"/>
  <c r="D248" i="39"/>
  <c r="G248" i="39" s="1"/>
  <c r="H248" i="39" s="1"/>
  <c r="I248" i="39" s="1"/>
  <c r="J232" i="12"/>
  <c r="K232" i="12" s="1"/>
  <c r="D232" i="39"/>
  <c r="G232" i="39" s="1"/>
  <c r="H232" i="39" s="1"/>
  <c r="I232" i="39" s="1"/>
  <c r="J216" i="12"/>
  <c r="K216" i="12" s="1"/>
  <c r="D216" i="39"/>
  <c r="G216" i="39" s="1"/>
  <c r="H216" i="39" s="1"/>
  <c r="I216" i="39" s="1"/>
  <c r="J200" i="12"/>
  <c r="K200" i="12" s="1"/>
  <c r="D200" i="39"/>
  <c r="G200" i="39" s="1"/>
  <c r="H200" i="39" s="1"/>
  <c r="I200" i="39" s="1"/>
  <c r="D184" i="39"/>
  <c r="G184" i="39" s="1"/>
  <c r="H184" i="39" s="1"/>
  <c r="I184" i="39" s="1"/>
  <c r="G184" i="13" s="1"/>
  <c r="H184" i="13" s="1"/>
  <c r="I184" i="13" s="1"/>
  <c r="J184" i="13" s="1"/>
  <c r="J184" i="12"/>
  <c r="K184" i="12" s="1"/>
  <c r="J168" i="12"/>
  <c r="K168" i="12" s="1"/>
  <c r="D168" i="39"/>
  <c r="G168" i="39" s="1"/>
  <c r="H168" i="39" s="1"/>
  <c r="I168" i="39" s="1"/>
  <c r="J87" i="12"/>
  <c r="K87" i="12" s="1"/>
  <c r="D87" i="39"/>
  <c r="G87" i="39" s="1"/>
  <c r="H87" i="39" s="1"/>
  <c r="I87" i="39" s="1"/>
  <c r="J86" i="12"/>
  <c r="K86" i="12" s="1"/>
  <c r="D86" i="39"/>
  <c r="G86" i="39" s="1"/>
  <c r="H86" i="39" s="1"/>
  <c r="I86" i="39" s="1"/>
  <c r="J291" i="12"/>
  <c r="K291" i="12" s="1"/>
  <c r="G291" i="13" s="1"/>
  <c r="H291" i="13" s="1"/>
  <c r="I291" i="13" s="1"/>
  <c r="J291" i="13" s="1"/>
  <c r="D291" i="39"/>
  <c r="G291" i="39" s="1"/>
  <c r="H291" i="39" s="1"/>
  <c r="I291" i="39" s="1"/>
  <c r="J275" i="12"/>
  <c r="K275" i="12" s="1"/>
  <c r="D275" i="39"/>
  <c r="G275" i="39" s="1"/>
  <c r="H275" i="39" s="1"/>
  <c r="I275" i="39" s="1"/>
  <c r="J259" i="12"/>
  <c r="K259" i="12" s="1"/>
  <c r="D259" i="39"/>
  <c r="G259" i="39" s="1"/>
  <c r="H259" i="39" s="1"/>
  <c r="I259" i="39" s="1"/>
  <c r="J243" i="12"/>
  <c r="K243" i="12" s="1"/>
  <c r="D243" i="39"/>
  <c r="G243" i="39" s="1"/>
  <c r="H243" i="39" s="1"/>
  <c r="I243" i="39" s="1"/>
  <c r="J227" i="12"/>
  <c r="K227" i="12" s="1"/>
  <c r="D227" i="39"/>
  <c r="G227" i="39" s="1"/>
  <c r="H227" i="39" s="1"/>
  <c r="I227" i="39" s="1"/>
  <c r="J211" i="12"/>
  <c r="K211" i="12" s="1"/>
  <c r="D211" i="39"/>
  <c r="G211" i="39" s="1"/>
  <c r="H211" i="39" s="1"/>
  <c r="I211" i="39" s="1"/>
  <c r="J195" i="12"/>
  <c r="K195" i="12" s="1"/>
  <c r="D195" i="39"/>
  <c r="G195" i="39" s="1"/>
  <c r="H195" i="39" s="1"/>
  <c r="I195" i="39" s="1"/>
  <c r="J179" i="12"/>
  <c r="K179" i="12" s="1"/>
  <c r="D179" i="39"/>
  <c r="G179" i="39" s="1"/>
  <c r="H179" i="39" s="1"/>
  <c r="I179" i="39" s="1"/>
  <c r="J163" i="12"/>
  <c r="K163" i="12" s="1"/>
  <c r="D163" i="39"/>
  <c r="G163" i="39" s="1"/>
  <c r="H163" i="39" s="1"/>
  <c r="I163" i="39" s="1"/>
  <c r="J298" i="12"/>
  <c r="K298" i="12" s="1"/>
  <c r="D298" i="39"/>
  <c r="G298" i="39" s="1"/>
  <c r="H298" i="39" s="1"/>
  <c r="I298" i="39" s="1"/>
  <c r="J106" i="12"/>
  <c r="K106" i="12" s="1"/>
  <c r="G106" i="13" s="1"/>
  <c r="H106" i="13" s="1"/>
  <c r="I106" i="13" s="1"/>
  <c r="J106" i="13" s="1"/>
  <c r="D106" i="39"/>
  <c r="G106" i="39" s="1"/>
  <c r="H106" i="39" s="1"/>
  <c r="I106" i="39" s="1"/>
  <c r="J270" i="12"/>
  <c r="K270" i="12" s="1"/>
  <c r="D270" i="39"/>
  <c r="G270" i="39" s="1"/>
  <c r="H270" i="39" s="1"/>
  <c r="I270" i="39" s="1"/>
  <c r="J254" i="12"/>
  <c r="K254" i="12" s="1"/>
  <c r="D254" i="39"/>
  <c r="G254" i="39" s="1"/>
  <c r="H254" i="39" s="1"/>
  <c r="I254" i="39" s="1"/>
  <c r="J238" i="12"/>
  <c r="K238" i="12" s="1"/>
  <c r="D238" i="39"/>
  <c r="G238" i="39" s="1"/>
  <c r="H238" i="39" s="1"/>
  <c r="I238" i="39" s="1"/>
  <c r="G238" i="13" s="1"/>
  <c r="H238" i="13" s="1"/>
  <c r="I238" i="13" s="1"/>
  <c r="J238" i="13" s="1"/>
  <c r="J222" i="12"/>
  <c r="K222" i="12" s="1"/>
  <c r="D222" i="39"/>
  <c r="G222" i="39" s="1"/>
  <c r="H222" i="39" s="1"/>
  <c r="I222" i="39" s="1"/>
  <c r="J206" i="12"/>
  <c r="K206" i="12" s="1"/>
  <c r="D206" i="39"/>
  <c r="G206" i="39" s="1"/>
  <c r="H206" i="39" s="1"/>
  <c r="I206" i="39" s="1"/>
  <c r="J190" i="12"/>
  <c r="K190" i="12" s="1"/>
  <c r="D190" i="39"/>
  <c r="G190" i="39" s="1"/>
  <c r="H190" i="39" s="1"/>
  <c r="I190" i="39" s="1"/>
  <c r="J174" i="12"/>
  <c r="K174" i="12" s="1"/>
  <c r="D174" i="39"/>
  <c r="G174" i="39" s="1"/>
  <c r="H174" i="39" s="1"/>
  <c r="I174" i="39" s="1"/>
  <c r="J158" i="12"/>
  <c r="K158" i="12" s="1"/>
  <c r="D158" i="39"/>
  <c r="G158" i="39" s="1"/>
  <c r="H158" i="39" s="1"/>
  <c r="I158" i="39" s="1"/>
  <c r="J141" i="12"/>
  <c r="K141" i="12" s="1"/>
  <c r="D141" i="39"/>
  <c r="G141" i="39" s="1"/>
  <c r="H141" i="39" s="1"/>
  <c r="I141" i="39" s="1"/>
  <c r="J125" i="12"/>
  <c r="K125" i="12" s="1"/>
  <c r="D125" i="39"/>
  <c r="G125" i="39" s="1"/>
  <c r="H125" i="39" s="1"/>
  <c r="I125" i="39" s="1"/>
  <c r="J110" i="12"/>
  <c r="K110" i="12" s="1"/>
  <c r="D110" i="39"/>
  <c r="G110" i="39" s="1"/>
  <c r="H110" i="39" s="1"/>
  <c r="I110" i="39" s="1"/>
  <c r="J101" i="12"/>
  <c r="K101" i="12" s="1"/>
  <c r="D101" i="39"/>
  <c r="G101" i="39" s="1"/>
  <c r="H101" i="39" s="1"/>
  <c r="I101" i="39" s="1"/>
  <c r="J77" i="12"/>
  <c r="K77" i="12" s="1"/>
  <c r="D77" i="39"/>
  <c r="G77" i="39" s="1"/>
  <c r="H77" i="39" s="1"/>
  <c r="I77" i="39" s="1"/>
  <c r="J61" i="12"/>
  <c r="K61" i="12" s="1"/>
  <c r="D61" i="39"/>
  <c r="G61" i="39" s="1"/>
  <c r="H61" i="39" s="1"/>
  <c r="I61" i="39" s="1"/>
  <c r="J45" i="12"/>
  <c r="K45" i="12" s="1"/>
  <c r="D45" i="39"/>
  <c r="G45" i="39" s="1"/>
  <c r="H45" i="39" s="1"/>
  <c r="I45" i="39" s="1"/>
  <c r="J29" i="12"/>
  <c r="K29" i="12" s="1"/>
  <c r="D29" i="39"/>
  <c r="G29" i="39" s="1"/>
  <c r="H29" i="39" s="1"/>
  <c r="I29" i="39" s="1"/>
  <c r="J13" i="12"/>
  <c r="K13" i="12" s="1"/>
  <c r="D13" i="39"/>
  <c r="G13" i="39" s="1"/>
  <c r="H13" i="39" s="1"/>
  <c r="I13" i="39" s="1"/>
  <c r="J74" i="12"/>
  <c r="K74" i="12" s="1"/>
  <c r="D74" i="39"/>
  <c r="G74" i="39" s="1"/>
  <c r="H74" i="39" s="1"/>
  <c r="I74" i="39" s="1"/>
  <c r="J104" i="12"/>
  <c r="K104" i="12" s="1"/>
  <c r="D104" i="39"/>
  <c r="G104" i="39" s="1"/>
  <c r="H104" i="39" s="1"/>
  <c r="I104" i="39" s="1"/>
  <c r="J52" i="12"/>
  <c r="K52" i="12" s="1"/>
  <c r="D52" i="39"/>
  <c r="G52" i="39" s="1"/>
  <c r="H52" i="39" s="1"/>
  <c r="I52" i="39" s="1"/>
  <c r="J221" i="12"/>
  <c r="K221" i="12" s="1"/>
  <c r="D221" i="39"/>
  <c r="G221" i="39" s="1"/>
  <c r="H221" i="39" s="1"/>
  <c r="I221" i="39" s="1"/>
  <c r="J241" i="12"/>
  <c r="K241" i="12" s="1"/>
  <c r="D241" i="39"/>
  <c r="G241" i="39" s="1"/>
  <c r="H241" i="39" s="1"/>
  <c r="I241" i="39" s="1"/>
  <c r="J144" i="12"/>
  <c r="K144" i="12" s="1"/>
  <c r="D144" i="39"/>
  <c r="G144" i="39" s="1"/>
  <c r="H144" i="39" s="1"/>
  <c r="I144" i="39" s="1"/>
  <c r="J31" i="12"/>
  <c r="K31" i="12" s="1"/>
  <c r="D31" i="39"/>
  <c r="G31" i="39" s="1"/>
  <c r="H31" i="39" s="1"/>
  <c r="I31" i="39" s="1"/>
  <c r="J135" i="12"/>
  <c r="K135" i="12" s="1"/>
  <c r="D135" i="39"/>
  <c r="G135" i="39" s="1"/>
  <c r="H135" i="39" s="1"/>
  <c r="I135" i="39" s="1"/>
  <c r="J23" i="12"/>
  <c r="K23" i="12" s="1"/>
  <c r="D23" i="39"/>
  <c r="G23" i="39" s="1"/>
  <c r="H23" i="39" s="1"/>
  <c r="I23" i="39" s="1"/>
  <c r="J26" i="12"/>
  <c r="K26" i="12" s="1"/>
  <c r="D26" i="39"/>
  <c r="G26" i="39" s="1"/>
  <c r="H26" i="39" s="1"/>
  <c r="I26" i="39" s="1"/>
  <c r="G26" i="13" s="1"/>
  <c r="H26" i="13" s="1"/>
  <c r="I26" i="13" s="1"/>
  <c r="J26" i="13" s="1"/>
  <c r="J96" i="12"/>
  <c r="K96" i="12" s="1"/>
  <c r="D96" i="39"/>
  <c r="G96" i="39" s="1"/>
  <c r="H96" i="39" s="1"/>
  <c r="I96" i="39" s="1"/>
  <c r="J249" i="12"/>
  <c r="K249" i="12" s="1"/>
  <c r="D249" i="39"/>
  <c r="G249" i="39" s="1"/>
  <c r="H249" i="39" s="1"/>
  <c r="I249" i="39" s="1"/>
  <c r="J43" i="12"/>
  <c r="K43" i="12" s="1"/>
  <c r="D43" i="39"/>
  <c r="G43" i="39" s="1"/>
  <c r="H43" i="39" s="1"/>
  <c r="I43" i="39" s="1"/>
  <c r="J115" i="12"/>
  <c r="K115" i="12" s="1"/>
  <c r="D115" i="39"/>
  <c r="G115" i="39" s="1"/>
  <c r="H115" i="39" s="1"/>
  <c r="I115" i="39" s="1"/>
  <c r="J132" i="12"/>
  <c r="K132" i="12" s="1"/>
  <c r="D132" i="39"/>
  <c r="G132" i="39" s="1"/>
  <c r="H132" i="39" s="1"/>
  <c r="I132" i="39" s="1"/>
  <c r="J28" i="12"/>
  <c r="K28" i="12" s="1"/>
  <c r="D28" i="39"/>
  <c r="G28" i="39" s="1"/>
  <c r="H28" i="39" s="1"/>
  <c r="I28" i="39" s="1"/>
  <c r="J60" i="12"/>
  <c r="K60" i="12" s="1"/>
  <c r="D60" i="39"/>
  <c r="G60" i="39" s="1"/>
  <c r="H60" i="39" s="1"/>
  <c r="I60" i="39" s="1"/>
  <c r="J99" i="12"/>
  <c r="K99" i="12" s="1"/>
  <c r="D99" i="39"/>
  <c r="G99" i="39" s="1"/>
  <c r="H99" i="39" s="1"/>
  <c r="I99" i="39" s="1"/>
  <c r="J245" i="12"/>
  <c r="K245" i="12" s="1"/>
  <c r="D245" i="39"/>
  <c r="G245" i="39" s="1"/>
  <c r="H245" i="39" s="1"/>
  <c r="I245" i="39" s="1"/>
  <c r="J305" i="12"/>
  <c r="K305" i="12" s="1"/>
  <c r="D305" i="39"/>
  <c r="G305" i="39" s="1"/>
  <c r="H305" i="39" s="1"/>
  <c r="I305" i="39" s="1"/>
  <c r="J273" i="12"/>
  <c r="K273" i="12" s="1"/>
  <c r="D273" i="39"/>
  <c r="G273" i="39" s="1"/>
  <c r="H273" i="39" s="1"/>
  <c r="I273" i="39" s="1"/>
  <c r="J71" i="12"/>
  <c r="K71" i="12" s="1"/>
  <c r="D71" i="39"/>
  <c r="G71" i="39" s="1"/>
  <c r="H71" i="39" s="1"/>
  <c r="I71" i="39" s="1"/>
  <c r="J18" i="12"/>
  <c r="K18" i="12" s="1"/>
  <c r="D18" i="39"/>
  <c r="G18" i="39" s="1"/>
  <c r="H18" i="39" s="1"/>
  <c r="I18" i="39" s="1"/>
  <c r="J82" i="12"/>
  <c r="K82" i="12" s="1"/>
  <c r="D82" i="39"/>
  <c r="G82" i="39" s="1"/>
  <c r="H82" i="39" s="1"/>
  <c r="I82" i="39" s="1"/>
  <c r="J217" i="12"/>
  <c r="K217" i="12" s="1"/>
  <c r="D217" i="39"/>
  <c r="G217" i="39" s="1"/>
  <c r="H217" i="39" s="1"/>
  <c r="I217" i="39" s="1"/>
  <c r="J47" i="12"/>
  <c r="K47" i="12" s="1"/>
  <c r="D47" i="39"/>
  <c r="G47" i="39" s="1"/>
  <c r="H47" i="39" s="1"/>
  <c r="I47" i="39" s="1"/>
  <c r="J108" i="12"/>
  <c r="K108" i="12" s="1"/>
  <c r="D108" i="39"/>
  <c r="G108" i="39" s="1"/>
  <c r="H108" i="39" s="1"/>
  <c r="I108" i="39" s="1"/>
  <c r="J151" i="12"/>
  <c r="K151" i="12" s="1"/>
  <c r="D151" i="39"/>
  <c r="G151" i="39" s="1"/>
  <c r="H151" i="39" s="1"/>
  <c r="I151" i="39" s="1"/>
  <c r="J281" i="12"/>
  <c r="K281" i="12" s="1"/>
  <c r="D281" i="39"/>
  <c r="G281" i="39" s="1"/>
  <c r="H281" i="39" s="1"/>
  <c r="I281" i="39" s="1"/>
  <c r="J38" i="12"/>
  <c r="K38" i="12" s="1"/>
  <c r="D38" i="39"/>
  <c r="G38" i="39" s="1"/>
  <c r="H38" i="39" s="1"/>
  <c r="I38" i="39" s="1"/>
  <c r="J70" i="12"/>
  <c r="K70" i="12" s="1"/>
  <c r="D70" i="39"/>
  <c r="G70" i="39" s="1"/>
  <c r="H70" i="39" s="1"/>
  <c r="I70" i="39" s="1"/>
  <c r="J146" i="12"/>
  <c r="K146" i="12" s="1"/>
  <c r="D146" i="39"/>
  <c r="G146" i="39" s="1"/>
  <c r="H146" i="39" s="1"/>
  <c r="I146" i="39" s="1"/>
  <c r="J284" i="12"/>
  <c r="K284" i="12" s="1"/>
  <c r="D284" i="39"/>
  <c r="G284" i="39" s="1"/>
  <c r="H284" i="39" s="1"/>
  <c r="I284" i="39" s="1"/>
  <c r="J233" i="12"/>
  <c r="K233" i="12" s="1"/>
  <c r="D233" i="39"/>
  <c r="G233" i="39" s="1"/>
  <c r="H233" i="39" s="1"/>
  <c r="I233" i="39" s="1"/>
  <c r="J277" i="12"/>
  <c r="K277" i="12" s="1"/>
  <c r="D277" i="39"/>
  <c r="G277" i="39" s="1"/>
  <c r="H277" i="39" s="1"/>
  <c r="I277" i="39" s="1"/>
  <c r="J100" i="12"/>
  <c r="K100" i="12" s="1"/>
  <c r="D100" i="39"/>
  <c r="G100" i="39" s="1"/>
  <c r="H100" i="39" s="1"/>
  <c r="I100" i="39" s="1"/>
  <c r="J35" i="12"/>
  <c r="K35" i="12" s="1"/>
  <c r="D35" i="39"/>
  <c r="G35" i="39" s="1"/>
  <c r="H35" i="39" s="1"/>
  <c r="I35" i="39" s="1"/>
  <c r="J123" i="12"/>
  <c r="K123" i="12" s="1"/>
  <c r="D123" i="39"/>
  <c r="G123" i="39" s="1"/>
  <c r="H123" i="39" s="1"/>
  <c r="I123" i="39" s="1"/>
  <c r="J140" i="12"/>
  <c r="K140" i="12" s="1"/>
  <c r="D140" i="39"/>
  <c r="G140" i="39" s="1"/>
  <c r="H140" i="39" s="1"/>
  <c r="I140" i="39" s="1"/>
  <c r="J24" i="12"/>
  <c r="K24" i="12" s="1"/>
  <c r="D24" i="39"/>
  <c r="G24" i="39" s="1"/>
  <c r="H24" i="39" s="1"/>
  <c r="I24" i="39" s="1"/>
  <c r="J56" i="12"/>
  <c r="K56" i="12" s="1"/>
  <c r="D56" i="39"/>
  <c r="G56" i="39" s="1"/>
  <c r="H56" i="39" s="1"/>
  <c r="I56" i="39" s="1"/>
  <c r="J92" i="12"/>
  <c r="K92" i="12" s="1"/>
  <c r="D92" i="39"/>
  <c r="G92" i="39" s="1"/>
  <c r="H92" i="39" s="1"/>
  <c r="I92" i="39" s="1"/>
  <c r="J213" i="12"/>
  <c r="K213" i="12" s="1"/>
  <c r="D213" i="39"/>
  <c r="G213" i="39" s="1"/>
  <c r="H213" i="39" s="1"/>
  <c r="I213" i="39" s="1"/>
  <c r="J161" i="12"/>
  <c r="K161" i="12" s="1"/>
  <c r="D161" i="39"/>
  <c r="G161" i="39" s="1"/>
  <c r="H161" i="39" s="1"/>
  <c r="I161" i="39" s="1"/>
  <c r="J173" i="12"/>
  <c r="K173" i="12" s="1"/>
  <c r="D173" i="39"/>
  <c r="G173" i="39" s="1"/>
  <c r="H173" i="39" s="1"/>
  <c r="I173" i="39" s="1"/>
  <c r="J279" i="12"/>
  <c r="K279" i="12" s="1"/>
  <c r="D279" i="39"/>
  <c r="G279" i="39" s="1"/>
  <c r="H279" i="39" s="1"/>
  <c r="I279" i="39" s="1"/>
  <c r="J263" i="12"/>
  <c r="K263" i="12" s="1"/>
  <c r="D263" i="39"/>
  <c r="G263" i="39" s="1"/>
  <c r="H263" i="39" s="1"/>
  <c r="I263" i="39" s="1"/>
  <c r="J247" i="12"/>
  <c r="K247" i="12" s="1"/>
  <c r="D247" i="39"/>
  <c r="G247" i="39" s="1"/>
  <c r="H247" i="39" s="1"/>
  <c r="I247" i="39" s="1"/>
  <c r="J231" i="12"/>
  <c r="K231" i="12" s="1"/>
  <c r="D231" i="39"/>
  <c r="G231" i="39" s="1"/>
  <c r="H231" i="39" s="1"/>
  <c r="I231" i="39" s="1"/>
  <c r="J215" i="12"/>
  <c r="K215" i="12" s="1"/>
  <c r="D215" i="39"/>
  <c r="G215" i="39" s="1"/>
  <c r="H215" i="39" s="1"/>
  <c r="I215" i="39" s="1"/>
  <c r="J199" i="12"/>
  <c r="K199" i="12" s="1"/>
  <c r="D199" i="39"/>
  <c r="G199" i="39" s="1"/>
  <c r="H199" i="39" s="1"/>
  <c r="I199" i="39" s="1"/>
  <c r="J183" i="12"/>
  <c r="K183" i="12" s="1"/>
  <c r="D183" i="39"/>
  <c r="G183" i="39" s="1"/>
  <c r="H183" i="39" s="1"/>
  <c r="I183" i="39" s="1"/>
  <c r="G183" i="13" s="1"/>
  <c r="H183" i="13" s="1"/>
  <c r="I183" i="13" s="1"/>
  <c r="J183" i="13" s="1"/>
  <c r="J167" i="12"/>
  <c r="K167" i="12" s="1"/>
  <c r="D167" i="39"/>
  <c r="G167" i="39" s="1"/>
  <c r="H167" i="39" s="1"/>
  <c r="I167" i="39" s="1"/>
  <c r="J95" i="12"/>
  <c r="K95" i="12" s="1"/>
  <c r="D95" i="39"/>
  <c r="G95" i="39" s="1"/>
  <c r="H95" i="39" s="1"/>
  <c r="I95" i="39" s="1"/>
  <c r="J303" i="12"/>
  <c r="K303" i="12" s="1"/>
  <c r="D303" i="39"/>
  <c r="G303" i="39" s="1"/>
  <c r="H303" i="39" s="1"/>
  <c r="I303" i="39" s="1"/>
  <c r="J287" i="12"/>
  <c r="K287" i="12" s="1"/>
  <c r="D287" i="39"/>
  <c r="G287" i="39" s="1"/>
  <c r="H287" i="39" s="1"/>
  <c r="I287" i="39" s="1"/>
  <c r="J268" i="12"/>
  <c r="K268" i="12" s="1"/>
  <c r="D268" i="39"/>
  <c r="G268" i="39" s="1"/>
  <c r="H268" i="39" s="1"/>
  <c r="I268" i="39" s="1"/>
  <c r="J252" i="12"/>
  <c r="K252" i="12" s="1"/>
  <c r="D252" i="39"/>
  <c r="G252" i="39" s="1"/>
  <c r="H252" i="39" s="1"/>
  <c r="I252" i="39" s="1"/>
  <c r="J236" i="12"/>
  <c r="K236" i="12" s="1"/>
  <c r="D236" i="39"/>
  <c r="G236" i="39" s="1"/>
  <c r="H236" i="39" s="1"/>
  <c r="I236" i="39" s="1"/>
  <c r="J220" i="12"/>
  <c r="K220" i="12" s="1"/>
  <c r="D220" i="39"/>
  <c r="G220" i="39" s="1"/>
  <c r="H220" i="39" s="1"/>
  <c r="I220" i="39" s="1"/>
  <c r="J204" i="12"/>
  <c r="K204" i="12" s="1"/>
  <c r="D204" i="39"/>
  <c r="G204" i="39" s="1"/>
  <c r="H204" i="39" s="1"/>
  <c r="I204" i="39" s="1"/>
  <c r="J188" i="12"/>
  <c r="K188" i="12" s="1"/>
  <c r="D188" i="39"/>
  <c r="G188" i="39" s="1"/>
  <c r="H188" i="39" s="1"/>
  <c r="I188" i="39" s="1"/>
  <c r="J172" i="12"/>
  <c r="K172" i="12" s="1"/>
  <c r="D172" i="39"/>
  <c r="G172" i="39" s="1"/>
  <c r="H172" i="39" s="1"/>
  <c r="I172" i="39" s="1"/>
  <c r="J282" i="12"/>
  <c r="K282" i="12" s="1"/>
  <c r="D282" i="39"/>
  <c r="G282" i="39" s="1"/>
  <c r="H282" i="39" s="1"/>
  <c r="I282" i="39" s="1"/>
  <c r="J294" i="12"/>
  <c r="K294" i="12" s="1"/>
  <c r="D294" i="39"/>
  <c r="G294" i="39" s="1"/>
  <c r="H294" i="39" s="1"/>
  <c r="I294" i="39" s="1"/>
  <c r="J157" i="12"/>
  <c r="K157" i="12" s="1"/>
  <c r="D157" i="39"/>
  <c r="G157" i="39" s="1"/>
  <c r="H157" i="39" s="1"/>
  <c r="I157" i="39" s="1"/>
  <c r="J266" i="12"/>
  <c r="K266" i="12" s="1"/>
  <c r="D266" i="39"/>
  <c r="G266" i="39" s="1"/>
  <c r="H266" i="39" s="1"/>
  <c r="I266" i="39" s="1"/>
  <c r="J250" i="12"/>
  <c r="K250" i="12" s="1"/>
  <c r="D250" i="39"/>
  <c r="G250" i="39" s="1"/>
  <c r="H250" i="39" s="1"/>
  <c r="I250" i="39" s="1"/>
  <c r="J234" i="12"/>
  <c r="K234" i="12" s="1"/>
  <c r="D234" i="39"/>
  <c r="G234" i="39" s="1"/>
  <c r="H234" i="39" s="1"/>
  <c r="I234" i="39" s="1"/>
  <c r="J218" i="12"/>
  <c r="K218" i="12" s="1"/>
  <c r="D218" i="39"/>
  <c r="G218" i="39" s="1"/>
  <c r="H218" i="39" s="1"/>
  <c r="I218" i="39" s="1"/>
  <c r="J202" i="12"/>
  <c r="K202" i="12" s="1"/>
  <c r="D202" i="39"/>
  <c r="G202" i="39" s="1"/>
  <c r="H202" i="39" s="1"/>
  <c r="I202" i="39" s="1"/>
  <c r="J186" i="12"/>
  <c r="K186" i="12" s="1"/>
  <c r="D186" i="39"/>
  <c r="G186" i="39" s="1"/>
  <c r="H186" i="39" s="1"/>
  <c r="I186" i="39" s="1"/>
  <c r="G186" i="13" s="1"/>
  <c r="H186" i="13" s="1"/>
  <c r="I186" i="13" s="1"/>
  <c r="J186" i="13" s="1"/>
  <c r="J170" i="12"/>
  <c r="K170" i="12" s="1"/>
  <c r="D170" i="39"/>
  <c r="G170" i="39" s="1"/>
  <c r="H170" i="39" s="1"/>
  <c r="I170" i="39" s="1"/>
  <c r="J153" i="12"/>
  <c r="K153" i="12" s="1"/>
  <c r="D153" i="39"/>
  <c r="G153" i="39" s="1"/>
  <c r="H153" i="39" s="1"/>
  <c r="I153" i="39" s="1"/>
  <c r="G153" i="13" s="1"/>
  <c r="H153" i="13" s="1"/>
  <c r="I153" i="13" s="1"/>
  <c r="J153" i="13" s="1"/>
  <c r="J137" i="12"/>
  <c r="K137" i="12" s="1"/>
  <c r="D137" i="39"/>
  <c r="G137" i="39" s="1"/>
  <c r="H137" i="39" s="1"/>
  <c r="I137" i="39" s="1"/>
  <c r="J121" i="12"/>
  <c r="K121" i="12" s="1"/>
  <c r="D121" i="39"/>
  <c r="G121" i="39" s="1"/>
  <c r="H121" i="39" s="1"/>
  <c r="I121" i="39" s="1"/>
  <c r="J102" i="12"/>
  <c r="K102" i="12" s="1"/>
  <c r="D102" i="39"/>
  <c r="G102" i="39" s="1"/>
  <c r="H102" i="39" s="1"/>
  <c r="I102" i="39" s="1"/>
  <c r="J97" i="12"/>
  <c r="K97" i="12" s="1"/>
  <c r="D97" i="39"/>
  <c r="G97" i="39" s="1"/>
  <c r="H97" i="39" s="1"/>
  <c r="I97" i="39" s="1"/>
  <c r="J73" i="12"/>
  <c r="K73" i="12" s="1"/>
  <c r="D73" i="39"/>
  <c r="G73" i="39" s="1"/>
  <c r="H73" i="39" s="1"/>
  <c r="I73" i="39" s="1"/>
  <c r="J57" i="12"/>
  <c r="K57" i="12" s="1"/>
  <c r="D57" i="39"/>
  <c r="G57" i="39" s="1"/>
  <c r="H57" i="39" s="1"/>
  <c r="I57" i="39" s="1"/>
  <c r="J41" i="12"/>
  <c r="K41" i="12" s="1"/>
  <c r="D41" i="39"/>
  <c r="G41" i="39" s="1"/>
  <c r="H41" i="39" s="1"/>
  <c r="I41" i="39" s="1"/>
  <c r="J25" i="12"/>
  <c r="K25" i="12" s="1"/>
  <c r="D25" i="39"/>
  <c r="G25" i="39" s="1"/>
  <c r="H25" i="39" s="1"/>
  <c r="I25" i="39" s="1"/>
  <c r="J9" i="12"/>
  <c r="K9" i="12" s="1"/>
  <c r="D9" i="39"/>
  <c r="G9" i="39" s="1"/>
  <c r="H9" i="39" s="1"/>
  <c r="I9" i="39" s="1"/>
  <c r="J107" i="12"/>
  <c r="K107" i="12" s="1"/>
  <c r="D107" i="39"/>
  <c r="G107" i="39" s="1"/>
  <c r="H107" i="39" s="1"/>
  <c r="I107" i="39" s="1"/>
  <c r="J185" i="12"/>
  <c r="K185" i="12" s="1"/>
  <c r="D185" i="39"/>
  <c r="G185" i="39" s="1"/>
  <c r="H185" i="39" s="1"/>
  <c r="I185" i="39" s="1"/>
  <c r="J116" i="12"/>
  <c r="K116" i="12" s="1"/>
  <c r="D116" i="39"/>
  <c r="G116" i="39" s="1"/>
  <c r="H116" i="39" s="1"/>
  <c r="I116" i="39" s="1"/>
  <c r="J84" i="12"/>
  <c r="K84" i="12" s="1"/>
  <c r="D84" i="39"/>
  <c r="G84" i="39" s="1"/>
  <c r="H84" i="39" s="1"/>
  <c r="I84" i="39" s="1"/>
  <c r="J297" i="12"/>
  <c r="K297" i="12" s="1"/>
  <c r="D297" i="39"/>
  <c r="G297" i="39" s="1"/>
  <c r="H297" i="39" s="1"/>
  <c r="I297" i="39" s="1"/>
  <c r="J39" i="12"/>
  <c r="K39" i="12" s="1"/>
  <c r="D39" i="39"/>
  <c r="G39" i="39" s="1"/>
  <c r="H39" i="39" s="1"/>
  <c r="I39" i="39" s="1"/>
  <c r="J66" i="12"/>
  <c r="K66" i="12" s="1"/>
  <c r="D66" i="39"/>
  <c r="G66" i="39" s="1"/>
  <c r="H66" i="39" s="1"/>
  <c r="I66" i="39" s="1"/>
  <c r="G66" i="13" s="1"/>
  <c r="H66" i="13" s="1"/>
  <c r="I66" i="13" s="1"/>
  <c r="J66" i="13" s="1"/>
  <c r="J304" i="12"/>
  <c r="K304" i="12" s="1"/>
  <c r="D304" i="39"/>
  <c r="G304" i="39" s="1"/>
  <c r="H304" i="39" s="1"/>
  <c r="I304" i="39" s="1"/>
  <c r="J94" i="12"/>
  <c r="K94" i="12" s="1"/>
  <c r="D94" i="39"/>
  <c r="G94" i="39" s="1"/>
  <c r="H94" i="39" s="1"/>
  <c r="I94" i="39" s="1"/>
  <c r="J111" i="12"/>
  <c r="K111" i="12" s="1"/>
  <c r="D111" i="39"/>
  <c r="G111" i="39" s="1"/>
  <c r="H111" i="39" s="1"/>
  <c r="I111" i="39" s="1"/>
  <c r="J42" i="12"/>
  <c r="K42" i="12" s="1"/>
  <c r="D42" i="39"/>
  <c r="G42" i="39" s="1"/>
  <c r="H42" i="39" s="1"/>
  <c r="I42" i="39" s="1"/>
  <c r="J197" i="12"/>
  <c r="K197" i="12" s="1"/>
  <c r="D197" i="39"/>
  <c r="G197" i="39" s="1"/>
  <c r="H197" i="39" s="1"/>
  <c r="I197" i="39" s="1"/>
  <c r="J126" i="12"/>
  <c r="K126" i="12" s="1"/>
  <c r="D126" i="39"/>
  <c r="G126" i="39" s="1"/>
  <c r="H126" i="39" s="1"/>
  <c r="I126" i="39" s="1"/>
  <c r="J59" i="12"/>
  <c r="K59" i="12" s="1"/>
  <c r="D59" i="39"/>
  <c r="G59" i="39" s="1"/>
  <c r="H59" i="39" s="1"/>
  <c r="I59" i="39" s="1"/>
  <c r="J131" i="12"/>
  <c r="K131" i="12" s="1"/>
  <c r="D131" i="39"/>
  <c r="G131" i="39" s="1"/>
  <c r="H131" i="39" s="1"/>
  <c r="I131" i="39" s="1"/>
  <c r="J148" i="12"/>
  <c r="K148" i="12" s="1"/>
  <c r="D148" i="39"/>
  <c r="G148" i="39" s="1"/>
  <c r="H148" i="39" s="1"/>
  <c r="I148" i="39" s="1"/>
  <c r="J36" i="12"/>
  <c r="K36" i="12" s="1"/>
  <c r="D36" i="39"/>
  <c r="G36" i="39" s="1"/>
  <c r="H36" i="39" s="1"/>
  <c r="I36" i="39" s="1"/>
  <c r="J68" i="12"/>
  <c r="K68" i="12" s="1"/>
  <c r="D68" i="39"/>
  <c r="G68" i="39" s="1"/>
  <c r="H68" i="39" s="1"/>
  <c r="I68" i="39" s="1"/>
  <c r="J138" i="12"/>
  <c r="K138" i="12" s="1"/>
  <c r="D138" i="39"/>
  <c r="G138" i="39" s="1"/>
  <c r="H138" i="39" s="1"/>
  <c r="I138" i="39" s="1"/>
  <c r="J261" i="12"/>
  <c r="K261" i="12" s="1"/>
  <c r="D261" i="39"/>
  <c r="G261" i="39" s="1"/>
  <c r="H261" i="39" s="1"/>
  <c r="I261" i="39" s="1"/>
  <c r="J177" i="12"/>
  <c r="K177" i="12" s="1"/>
  <c r="D177" i="39"/>
  <c r="G177" i="39" s="1"/>
  <c r="H177" i="39" s="1"/>
  <c r="I177" i="39" s="1"/>
  <c r="J292" i="12"/>
  <c r="K292" i="12" s="1"/>
  <c r="D292" i="39"/>
  <c r="G292" i="39" s="1"/>
  <c r="H292" i="39" s="1"/>
  <c r="I292" i="39" s="1"/>
  <c r="J127" i="12"/>
  <c r="K127" i="12" s="1"/>
  <c r="D127" i="39"/>
  <c r="G127" i="39" s="1"/>
  <c r="H127" i="39" s="1"/>
  <c r="I127" i="39" s="1"/>
  <c r="J34" i="12"/>
  <c r="K34" i="12" s="1"/>
  <c r="D34" i="39"/>
  <c r="G34" i="39" s="1"/>
  <c r="H34" i="39" s="1"/>
  <c r="I34" i="39" s="1"/>
  <c r="J130" i="12"/>
  <c r="K130" i="12" s="1"/>
  <c r="D130" i="39"/>
  <c r="G130" i="39" s="1"/>
  <c r="H130" i="39" s="1"/>
  <c r="I130" i="39" s="1"/>
  <c r="J280" i="12"/>
  <c r="K280" i="12" s="1"/>
  <c r="D280" i="39"/>
  <c r="G280" i="39" s="1"/>
  <c r="H280" i="39" s="1"/>
  <c r="I280" i="39" s="1"/>
  <c r="J63" i="12"/>
  <c r="K63" i="12" s="1"/>
  <c r="D63" i="39"/>
  <c r="G63" i="39" s="1"/>
  <c r="H63" i="39" s="1"/>
  <c r="I63" i="39" s="1"/>
  <c r="J103" i="12"/>
  <c r="K103" i="12" s="1"/>
  <c r="D103" i="39"/>
  <c r="G103" i="39" s="1"/>
  <c r="H103" i="39" s="1"/>
  <c r="I103" i="39" s="1"/>
  <c r="J120" i="12"/>
  <c r="K120" i="12" s="1"/>
  <c r="D120" i="39"/>
  <c r="G120" i="39" s="1"/>
  <c r="H120" i="39" s="1"/>
  <c r="I120" i="39" s="1"/>
  <c r="J14" i="12"/>
  <c r="K14" i="12" s="1"/>
  <c r="D14" i="39"/>
  <c r="G14" i="39" s="1"/>
  <c r="H14" i="39" s="1"/>
  <c r="I14" i="39" s="1"/>
  <c r="J46" i="12"/>
  <c r="K46" i="12" s="1"/>
  <c r="D46" i="39"/>
  <c r="G46" i="39" s="1"/>
  <c r="H46" i="39" s="1"/>
  <c r="I46" i="39" s="1"/>
  <c r="J78" i="12"/>
  <c r="K78" i="12" s="1"/>
  <c r="D78" i="39"/>
  <c r="G78" i="39" s="1"/>
  <c r="H78" i="39" s="1"/>
  <c r="I78" i="39" s="1"/>
  <c r="J205" i="12"/>
  <c r="K205" i="12" s="1"/>
  <c r="D205" i="39"/>
  <c r="G205" i="39" s="1"/>
  <c r="H205" i="39" s="1"/>
  <c r="I205" i="39" s="1"/>
  <c r="J300" i="12"/>
  <c r="K300" i="12" s="1"/>
  <c r="D300" i="39"/>
  <c r="G300" i="39" s="1"/>
  <c r="H300" i="39" s="1"/>
  <c r="I300" i="39" s="1"/>
  <c r="J265" i="12"/>
  <c r="K265" i="12" s="1"/>
  <c r="D265" i="39"/>
  <c r="G265" i="39" s="1"/>
  <c r="H265" i="39" s="1"/>
  <c r="I265" i="39" s="1"/>
  <c r="J142" i="12"/>
  <c r="K142" i="12" s="1"/>
  <c r="D142" i="39"/>
  <c r="G142" i="39" s="1"/>
  <c r="H142" i="39" s="1"/>
  <c r="I142" i="39" s="1"/>
  <c r="J143" i="12"/>
  <c r="K143" i="12" s="1"/>
  <c r="D143" i="39"/>
  <c r="G143" i="39" s="1"/>
  <c r="H143" i="39" s="1"/>
  <c r="I143" i="39" s="1"/>
  <c r="J51" i="12"/>
  <c r="K51" i="12" s="1"/>
  <c r="D51" i="39"/>
  <c r="G51" i="39" s="1"/>
  <c r="H51" i="39" s="1"/>
  <c r="I51" i="39" s="1"/>
  <c r="J139" i="12"/>
  <c r="K139" i="12" s="1"/>
  <c r="D139" i="39"/>
  <c r="G139" i="39" s="1"/>
  <c r="H139" i="39" s="1"/>
  <c r="I139" i="39" s="1"/>
  <c r="J156" i="12"/>
  <c r="K156" i="12" s="1"/>
  <c r="D156" i="39"/>
  <c r="G156" i="39" s="1"/>
  <c r="H156" i="39" s="1"/>
  <c r="I156" i="39" s="1"/>
  <c r="J32" i="12"/>
  <c r="K32" i="12" s="1"/>
  <c r="D32" i="39"/>
  <c r="G32" i="39" s="1"/>
  <c r="H32" i="39" s="1"/>
  <c r="I32" i="39" s="1"/>
  <c r="J64" i="12"/>
  <c r="K64" i="12" s="1"/>
  <c r="D64" i="39"/>
  <c r="G64" i="39" s="1"/>
  <c r="H64" i="39" s="1"/>
  <c r="I64" i="39" s="1"/>
  <c r="J122" i="12"/>
  <c r="K122" i="12" s="1"/>
  <c r="D122" i="39"/>
  <c r="G122" i="39" s="1"/>
  <c r="H122" i="39" s="1"/>
  <c r="I122" i="39" s="1"/>
  <c r="G122" i="13" s="1"/>
  <c r="H122" i="13" s="1"/>
  <c r="I122" i="13" s="1"/>
  <c r="J122" i="13" s="1"/>
  <c r="J285" i="12"/>
  <c r="K285" i="12" s="1"/>
  <c r="D285" i="39"/>
  <c r="G285" i="39" s="1"/>
  <c r="H285" i="39" s="1"/>
  <c r="I285" i="39" s="1"/>
  <c r="J193" i="12"/>
  <c r="K193" i="12" s="1"/>
  <c r="D193" i="39"/>
  <c r="G193" i="39" s="1"/>
  <c r="H193" i="39" s="1"/>
  <c r="I193" i="39" s="1"/>
  <c r="J237" i="12"/>
  <c r="K237" i="12" s="1"/>
  <c r="D237" i="39"/>
  <c r="G237" i="39" s="1"/>
  <c r="H237" i="39" s="1"/>
  <c r="I237" i="39" s="1"/>
  <c r="J272" i="12"/>
  <c r="K272" i="12" s="1"/>
  <c r="D272" i="39"/>
  <c r="G272" i="39" s="1"/>
  <c r="H272" i="39" s="1"/>
  <c r="I272" i="39" s="1"/>
  <c r="J256" i="12"/>
  <c r="K256" i="12" s="1"/>
  <c r="D256" i="39"/>
  <c r="G256" i="39" s="1"/>
  <c r="H256" i="39" s="1"/>
  <c r="I256" i="39" s="1"/>
  <c r="J240" i="12"/>
  <c r="K240" i="12" s="1"/>
  <c r="D240" i="39"/>
  <c r="G240" i="39" s="1"/>
  <c r="H240" i="39" s="1"/>
  <c r="I240" i="39" s="1"/>
  <c r="J224" i="12"/>
  <c r="K224" i="12" s="1"/>
  <c r="D224" i="39"/>
  <c r="G224" i="39" s="1"/>
  <c r="H224" i="39" s="1"/>
  <c r="I224" i="39" s="1"/>
  <c r="J208" i="12"/>
  <c r="K208" i="12" s="1"/>
  <c r="D208" i="39"/>
  <c r="G208" i="39" s="1"/>
  <c r="H208" i="39" s="1"/>
  <c r="I208" i="39" s="1"/>
  <c r="J192" i="12"/>
  <c r="K192" i="12" s="1"/>
  <c r="D192" i="39"/>
  <c r="G192" i="39" s="1"/>
  <c r="H192" i="39" s="1"/>
  <c r="I192" i="39" s="1"/>
  <c r="D176" i="39"/>
  <c r="G176" i="39" s="1"/>
  <c r="H176" i="39" s="1"/>
  <c r="I176" i="39" s="1"/>
  <c r="J176" i="12"/>
  <c r="K176" i="12" s="1"/>
  <c r="J160" i="12"/>
  <c r="K160" i="12" s="1"/>
  <c r="D160" i="39"/>
  <c r="G160" i="39" s="1"/>
  <c r="H160" i="39" s="1"/>
  <c r="I160" i="39" s="1"/>
  <c r="J91" i="12"/>
  <c r="K91" i="12" s="1"/>
  <c r="D91" i="39"/>
  <c r="G91" i="39" s="1"/>
  <c r="H91" i="39" s="1"/>
  <c r="I91" i="39" s="1"/>
  <c r="J299" i="12"/>
  <c r="K299" i="12" s="1"/>
  <c r="D299" i="39"/>
  <c r="G299" i="39" s="1"/>
  <c r="H299" i="39" s="1"/>
  <c r="I299" i="39" s="1"/>
  <c r="J283" i="12"/>
  <c r="K283" i="12" s="1"/>
  <c r="D283" i="39"/>
  <c r="G283" i="39" s="1"/>
  <c r="H283" i="39" s="1"/>
  <c r="I283" i="39" s="1"/>
  <c r="J267" i="12"/>
  <c r="K267" i="12" s="1"/>
  <c r="D267" i="39"/>
  <c r="G267" i="39" s="1"/>
  <c r="H267" i="39" s="1"/>
  <c r="I267" i="39" s="1"/>
  <c r="J251" i="12"/>
  <c r="K251" i="12" s="1"/>
  <c r="D251" i="39"/>
  <c r="G251" i="39" s="1"/>
  <c r="H251" i="39" s="1"/>
  <c r="I251" i="39" s="1"/>
  <c r="J235" i="12"/>
  <c r="K235" i="12" s="1"/>
  <c r="D235" i="39"/>
  <c r="G235" i="39" s="1"/>
  <c r="H235" i="39" s="1"/>
  <c r="I235" i="39" s="1"/>
  <c r="J219" i="12"/>
  <c r="K219" i="12" s="1"/>
  <c r="D219" i="39"/>
  <c r="G219" i="39" s="1"/>
  <c r="H219" i="39" s="1"/>
  <c r="I219" i="39" s="1"/>
  <c r="J203" i="12"/>
  <c r="K203" i="12" s="1"/>
  <c r="D203" i="39"/>
  <c r="G203" i="39" s="1"/>
  <c r="H203" i="39" s="1"/>
  <c r="I203" i="39" s="1"/>
  <c r="J187" i="12"/>
  <c r="K187" i="12" s="1"/>
  <c r="D187" i="39"/>
  <c r="G187" i="39" s="1"/>
  <c r="H187" i="39" s="1"/>
  <c r="I187" i="39" s="1"/>
  <c r="J171" i="12"/>
  <c r="K171" i="12" s="1"/>
  <c r="D171" i="39"/>
  <c r="G171" i="39" s="1"/>
  <c r="H171" i="39" s="1"/>
  <c r="I171" i="39" s="1"/>
  <c r="J98" i="12"/>
  <c r="K98" i="12" s="1"/>
  <c r="D98" i="39"/>
  <c r="G98" i="39" s="1"/>
  <c r="H98" i="39" s="1"/>
  <c r="I98" i="39" s="1"/>
  <c r="J290" i="12"/>
  <c r="K290" i="12" s="1"/>
  <c r="D290" i="39"/>
  <c r="G290" i="39" s="1"/>
  <c r="H290" i="39" s="1"/>
  <c r="I290" i="39" s="1"/>
  <c r="J278" i="12"/>
  <c r="K278" i="12" s="1"/>
  <c r="D278" i="39"/>
  <c r="G278" i="39" s="1"/>
  <c r="H278" i="39" s="1"/>
  <c r="I278" i="39" s="1"/>
  <c r="J262" i="12"/>
  <c r="K262" i="12" s="1"/>
  <c r="D262" i="39"/>
  <c r="G262" i="39" s="1"/>
  <c r="H262" i="39" s="1"/>
  <c r="I262" i="39" s="1"/>
  <c r="J246" i="12"/>
  <c r="K246" i="12" s="1"/>
  <c r="D246" i="39"/>
  <c r="G246" i="39" s="1"/>
  <c r="H246" i="39" s="1"/>
  <c r="I246" i="39" s="1"/>
  <c r="J230" i="12"/>
  <c r="K230" i="12" s="1"/>
  <c r="D230" i="39"/>
  <c r="G230" i="39" s="1"/>
  <c r="H230" i="39" s="1"/>
  <c r="I230" i="39" s="1"/>
  <c r="J214" i="12"/>
  <c r="K214" i="12" s="1"/>
  <c r="D214" i="39"/>
  <c r="G214" i="39" s="1"/>
  <c r="H214" i="39" s="1"/>
  <c r="I214" i="39" s="1"/>
  <c r="J198" i="12"/>
  <c r="K198" i="12" s="1"/>
  <c r="D198" i="39"/>
  <c r="G198" i="39" s="1"/>
  <c r="H198" i="39" s="1"/>
  <c r="I198" i="39" s="1"/>
  <c r="J182" i="12"/>
  <c r="K182" i="12" s="1"/>
  <c r="D182" i="39"/>
  <c r="G182" i="39" s="1"/>
  <c r="H182" i="39" s="1"/>
  <c r="I182" i="39" s="1"/>
  <c r="J166" i="12"/>
  <c r="K166" i="12" s="1"/>
  <c r="D166" i="39"/>
  <c r="G166" i="39" s="1"/>
  <c r="H166" i="39" s="1"/>
  <c r="I166" i="39" s="1"/>
  <c r="J149" i="12"/>
  <c r="K149" i="12" s="1"/>
  <c r="D149" i="39"/>
  <c r="G149" i="39" s="1"/>
  <c r="H149" i="39" s="1"/>
  <c r="I149" i="39" s="1"/>
  <c r="J133" i="12"/>
  <c r="K133" i="12" s="1"/>
  <c r="D133" i="39"/>
  <c r="G133" i="39" s="1"/>
  <c r="H133" i="39" s="1"/>
  <c r="I133" i="39" s="1"/>
  <c r="J117" i="12"/>
  <c r="K117" i="12" s="1"/>
  <c r="D117" i="39"/>
  <c r="G117" i="39" s="1"/>
  <c r="H117" i="39" s="1"/>
  <c r="I117" i="39" s="1"/>
  <c r="J109" i="12"/>
  <c r="K109" i="12" s="1"/>
  <c r="D109" i="39"/>
  <c r="G109" i="39" s="1"/>
  <c r="H109" i="39" s="1"/>
  <c r="I109" i="39" s="1"/>
  <c r="J93" i="12"/>
  <c r="K93" i="12" s="1"/>
  <c r="D93" i="39"/>
  <c r="G93" i="39" s="1"/>
  <c r="H93" i="39" s="1"/>
  <c r="I93" i="39" s="1"/>
  <c r="J69" i="12"/>
  <c r="K69" i="12" s="1"/>
  <c r="D69" i="39"/>
  <c r="G69" i="39" s="1"/>
  <c r="H69" i="39" s="1"/>
  <c r="I69" i="39" s="1"/>
  <c r="J53" i="12"/>
  <c r="K53" i="12" s="1"/>
  <c r="D53" i="39"/>
  <c r="G53" i="39" s="1"/>
  <c r="H53" i="39" s="1"/>
  <c r="I53" i="39" s="1"/>
  <c r="J37" i="12"/>
  <c r="K37" i="12" s="1"/>
  <c r="D37" i="39"/>
  <c r="G37" i="39" s="1"/>
  <c r="H37" i="39" s="1"/>
  <c r="I37" i="39" s="1"/>
  <c r="J21" i="12"/>
  <c r="K21" i="12" s="1"/>
  <c r="D21" i="39"/>
  <c r="G21" i="39" s="1"/>
  <c r="H21" i="39" s="1"/>
  <c r="I21" i="39" s="1"/>
  <c r="J89" i="12"/>
  <c r="K89" i="12" s="1"/>
  <c r="D89" i="39"/>
  <c r="G89" i="39" s="1"/>
  <c r="H89" i="39" s="1"/>
  <c r="I89" i="39" s="1"/>
  <c r="J27" i="12"/>
  <c r="K27" i="12" s="1"/>
  <c r="D27" i="39"/>
  <c r="G27" i="39" s="1"/>
  <c r="H27" i="39" s="1"/>
  <c r="I27" i="39" s="1"/>
  <c r="J20" i="12"/>
  <c r="K20" i="12" s="1"/>
  <c r="D20" i="39"/>
  <c r="G20" i="39" s="1"/>
  <c r="H20" i="39" s="1"/>
  <c r="I20" i="39" s="1"/>
  <c r="J128" i="12"/>
  <c r="K128" i="12" s="1"/>
  <c r="D128" i="39"/>
  <c r="G128" i="39" s="1"/>
  <c r="H128" i="39" s="1"/>
  <c r="I128" i="39" s="1"/>
  <c r="J58" i="12"/>
  <c r="K58" i="12" s="1"/>
  <c r="D58" i="39"/>
  <c r="G58" i="39" s="1"/>
  <c r="H58" i="39" s="1"/>
  <c r="I58" i="39" s="1"/>
  <c r="J296" i="12"/>
  <c r="K296" i="12" s="1"/>
  <c r="D296" i="39"/>
  <c r="G296" i="39" s="1"/>
  <c r="H296" i="39" s="1"/>
  <c r="I296" i="39" s="1"/>
  <c r="J11" i="12"/>
  <c r="K11" i="12" s="1"/>
  <c r="D11" i="39"/>
  <c r="G11" i="39" s="1"/>
  <c r="H11" i="39" s="1"/>
  <c r="I11" i="39" s="1"/>
  <c r="J75" i="12"/>
  <c r="K75" i="12" s="1"/>
  <c r="D75" i="39"/>
  <c r="G75" i="39" s="1"/>
  <c r="H75" i="39" s="1"/>
  <c r="I75" i="39" s="1"/>
  <c r="J147" i="12"/>
  <c r="K147" i="12" s="1"/>
  <c r="D147" i="39"/>
  <c r="G147" i="39" s="1"/>
  <c r="H147" i="39" s="1"/>
  <c r="I147" i="39" s="1"/>
  <c r="J12" i="12"/>
  <c r="K12" i="12" s="1"/>
  <c r="D12" i="39"/>
  <c r="G12" i="39" s="1"/>
  <c r="H12" i="39" s="1"/>
  <c r="I12" i="39" s="1"/>
  <c r="J44" i="12"/>
  <c r="K44" i="12" s="1"/>
  <c r="D44" i="39"/>
  <c r="G44" i="39" s="1"/>
  <c r="H44" i="39" s="1"/>
  <c r="I44" i="39" s="1"/>
  <c r="J76" i="12"/>
  <c r="K76" i="12" s="1"/>
  <c r="D76" i="39"/>
  <c r="G76" i="39" s="1"/>
  <c r="H76" i="39" s="1"/>
  <c r="I76" i="39" s="1"/>
  <c r="J181" i="12"/>
  <c r="K181" i="12" s="1"/>
  <c r="D181" i="39"/>
  <c r="G181" i="39" s="1"/>
  <c r="H181" i="39" s="1"/>
  <c r="I181" i="39" s="1"/>
  <c r="J289" i="12"/>
  <c r="K289" i="12" s="1"/>
  <c r="D289" i="39"/>
  <c r="G289" i="39" s="1"/>
  <c r="H289" i="39" s="1"/>
  <c r="I289" i="39" s="1"/>
  <c r="J209" i="12"/>
  <c r="K209" i="12" s="1"/>
  <c r="D209" i="39"/>
  <c r="G209" i="39" s="1"/>
  <c r="H209" i="39" s="1"/>
  <c r="I209" i="39" s="1"/>
  <c r="J134" i="12"/>
  <c r="K134" i="12" s="1"/>
  <c r="D134" i="39"/>
  <c r="G134" i="39" s="1"/>
  <c r="H134" i="39" s="1"/>
  <c r="I134" i="39" s="1"/>
  <c r="J112" i="12"/>
  <c r="K112" i="12" s="1"/>
  <c r="D112" i="39"/>
  <c r="G112" i="39" s="1"/>
  <c r="H112" i="39" s="1"/>
  <c r="I112" i="39" s="1"/>
  <c r="J50" i="12"/>
  <c r="K50" i="12" s="1"/>
  <c r="D50" i="39"/>
  <c r="G50" i="39" s="1"/>
  <c r="H50" i="39" s="1"/>
  <c r="I50" i="39" s="1"/>
  <c r="J288" i="12"/>
  <c r="K288" i="12" s="1"/>
  <c r="D288" i="39"/>
  <c r="G288" i="39" s="1"/>
  <c r="H288" i="39" s="1"/>
  <c r="I288" i="39" s="1"/>
  <c r="J15" i="12"/>
  <c r="K15" i="12" s="1"/>
  <c r="D15" i="39"/>
  <c r="G15" i="39" s="1"/>
  <c r="H15" i="39" s="1"/>
  <c r="I15" i="39" s="1"/>
  <c r="J79" i="12"/>
  <c r="K79" i="12" s="1"/>
  <c r="D79" i="39"/>
  <c r="G79" i="39" s="1"/>
  <c r="H79" i="39" s="1"/>
  <c r="I79" i="39" s="1"/>
  <c r="J119" i="12"/>
  <c r="K119" i="12" s="1"/>
  <c r="D119" i="39"/>
  <c r="G119" i="39" s="1"/>
  <c r="H119" i="39" s="1"/>
  <c r="I119" i="39" s="1"/>
  <c r="J136" i="12"/>
  <c r="K136" i="12" s="1"/>
  <c r="D136" i="39"/>
  <c r="G136" i="39" s="1"/>
  <c r="H136" i="39" s="1"/>
  <c r="I136" i="39" s="1"/>
  <c r="J22" i="12"/>
  <c r="K22" i="12" s="1"/>
  <c r="D22" i="39"/>
  <c r="G22" i="39" s="1"/>
  <c r="H22" i="39" s="1"/>
  <c r="I22" i="39" s="1"/>
  <c r="J54" i="12"/>
  <c r="K54" i="12" s="1"/>
  <c r="D54" i="39"/>
  <c r="G54" i="39" s="1"/>
  <c r="H54" i="39" s="1"/>
  <c r="I54" i="39" s="1"/>
  <c r="J88" i="12"/>
  <c r="K88" i="12" s="1"/>
  <c r="D88" i="39"/>
  <c r="G88" i="39" s="1"/>
  <c r="H88" i="39" s="1"/>
  <c r="I88" i="39" s="1"/>
  <c r="J229" i="12"/>
  <c r="K229" i="12" s="1"/>
  <c r="D229" i="39"/>
  <c r="G229" i="39" s="1"/>
  <c r="H229" i="39" s="1"/>
  <c r="I229" i="39" s="1"/>
  <c r="J169" i="12"/>
  <c r="K169" i="12" s="1"/>
  <c r="D169" i="39"/>
  <c r="G169" i="39" s="1"/>
  <c r="H169" i="39" s="1"/>
  <c r="I169" i="39" s="1"/>
  <c r="G169" i="13" s="1"/>
  <c r="H169" i="13" s="1"/>
  <c r="I169" i="13" s="1"/>
  <c r="J169" i="13" s="1"/>
  <c r="J165" i="12"/>
  <c r="K165" i="12" s="1"/>
  <c r="D165" i="39"/>
  <c r="G165" i="39" s="1"/>
  <c r="H165" i="39" s="1"/>
  <c r="I165" i="39" s="1"/>
  <c r="J7" i="12"/>
  <c r="K7" i="12" s="1"/>
  <c r="D7" i="39"/>
  <c r="G7" i="39" s="1"/>
  <c r="H7" i="39" s="1"/>
  <c r="I7" i="39" s="1"/>
  <c r="J10" i="12"/>
  <c r="K10" i="12" s="1"/>
  <c r="D10" i="39"/>
  <c r="G10" i="39" s="1"/>
  <c r="H10" i="39" s="1"/>
  <c r="I10" i="39" s="1"/>
  <c r="J67" i="12"/>
  <c r="K67" i="12" s="1"/>
  <c r="D67" i="39"/>
  <c r="G67" i="39" s="1"/>
  <c r="H67" i="39" s="1"/>
  <c r="I67" i="39" s="1"/>
  <c r="J155" i="12"/>
  <c r="K155" i="12" s="1"/>
  <c r="D155" i="39"/>
  <c r="G155" i="39" s="1"/>
  <c r="H155" i="39" s="1"/>
  <c r="I155" i="39" s="1"/>
  <c r="J8" i="12"/>
  <c r="K8" i="12" s="1"/>
  <c r="D8" i="39"/>
  <c r="G8" i="39" s="1"/>
  <c r="H8" i="39" s="1"/>
  <c r="I8" i="39" s="1"/>
  <c r="J40" i="12"/>
  <c r="K40" i="12" s="1"/>
  <c r="D40" i="39"/>
  <c r="G40" i="39" s="1"/>
  <c r="H40" i="39" s="1"/>
  <c r="I40" i="39" s="1"/>
  <c r="J72" i="12"/>
  <c r="K72" i="12" s="1"/>
  <c r="D72" i="39"/>
  <c r="G72" i="39" s="1"/>
  <c r="H72" i="39" s="1"/>
  <c r="I72" i="39" s="1"/>
  <c r="J154" i="12"/>
  <c r="K154" i="12" s="1"/>
  <c r="D154" i="39"/>
  <c r="G154" i="39" s="1"/>
  <c r="H154" i="39" s="1"/>
  <c r="I154" i="39" s="1"/>
  <c r="J293" i="12"/>
  <c r="K293" i="12" s="1"/>
  <c r="D293" i="39"/>
  <c r="G293" i="39" s="1"/>
  <c r="H293" i="39" s="1"/>
  <c r="I293" i="39" s="1"/>
  <c r="J225" i="12"/>
  <c r="K225" i="12" s="1"/>
  <c r="D225" i="39"/>
  <c r="G225" i="39" s="1"/>
  <c r="H225" i="39" s="1"/>
  <c r="I225" i="39" s="1"/>
  <c r="J118" i="12"/>
  <c r="K118" i="12" s="1"/>
  <c r="D118" i="39"/>
  <c r="G118" i="39" s="1"/>
  <c r="H118" i="39" s="1"/>
  <c r="I118" i="39" s="1"/>
  <c r="J271" i="12"/>
  <c r="K271" i="12" s="1"/>
  <c r="D271" i="39"/>
  <c r="G271" i="39" s="1"/>
  <c r="H271" i="39" s="1"/>
  <c r="I271" i="39" s="1"/>
  <c r="J255" i="12"/>
  <c r="K255" i="12" s="1"/>
  <c r="D255" i="39"/>
  <c r="G255" i="39" s="1"/>
  <c r="H255" i="39" s="1"/>
  <c r="I255" i="39" s="1"/>
  <c r="J239" i="12"/>
  <c r="K239" i="12" s="1"/>
  <c r="D239" i="39"/>
  <c r="G239" i="39" s="1"/>
  <c r="H239" i="39" s="1"/>
  <c r="I239" i="39" s="1"/>
  <c r="J223" i="12"/>
  <c r="K223" i="12" s="1"/>
  <c r="D223" i="39"/>
  <c r="G223" i="39" s="1"/>
  <c r="H223" i="39" s="1"/>
  <c r="I223" i="39" s="1"/>
  <c r="J207" i="12"/>
  <c r="K207" i="12" s="1"/>
  <c r="D207" i="39"/>
  <c r="G207" i="39" s="1"/>
  <c r="H207" i="39" s="1"/>
  <c r="I207" i="39" s="1"/>
  <c r="J191" i="12"/>
  <c r="K191" i="12" s="1"/>
  <c r="D191" i="39"/>
  <c r="G191" i="39" s="1"/>
  <c r="H191" i="39" s="1"/>
  <c r="I191" i="39" s="1"/>
  <c r="J175" i="12"/>
  <c r="K175" i="12" s="1"/>
  <c r="D175" i="39"/>
  <c r="G175" i="39" s="1"/>
  <c r="H175" i="39" s="1"/>
  <c r="I175" i="39" s="1"/>
  <c r="J159" i="12"/>
  <c r="K159" i="12" s="1"/>
  <c r="D159" i="39"/>
  <c r="G159" i="39" s="1"/>
  <c r="H159" i="39" s="1"/>
  <c r="I159" i="39" s="1"/>
  <c r="J90" i="12"/>
  <c r="K90" i="12" s="1"/>
  <c r="D90" i="39"/>
  <c r="G90" i="39" s="1"/>
  <c r="H90" i="39" s="1"/>
  <c r="I90" i="39" s="1"/>
  <c r="J295" i="12"/>
  <c r="K295" i="12" s="1"/>
  <c r="D295" i="39"/>
  <c r="G295" i="39" s="1"/>
  <c r="H295" i="39" s="1"/>
  <c r="I295" i="39" s="1"/>
  <c r="J276" i="12"/>
  <c r="K276" i="12" s="1"/>
  <c r="D276" i="39"/>
  <c r="G276" i="39" s="1"/>
  <c r="H276" i="39" s="1"/>
  <c r="I276" i="39" s="1"/>
  <c r="J260" i="12"/>
  <c r="K260" i="12" s="1"/>
  <c r="D260" i="39"/>
  <c r="G260" i="39" s="1"/>
  <c r="H260" i="39" s="1"/>
  <c r="I260" i="39" s="1"/>
  <c r="J244" i="12"/>
  <c r="K244" i="12" s="1"/>
  <c r="D244" i="39"/>
  <c r="G244" i="39" s="1"/>
  <c r="H244" i="39" s="1"/>
  <c r="I244" i="39" s="1"/>
  <c r="J228" i="12"/>
  <c r="K228" i="12" s="1"/>
  <c r="D228" i="39"/>
  <c r="G228" i="39" s="1"/>
  <c r="H228" i="39" s="1"/>
  <c r="I228" i="39" s="1"/>
  <c r="J212" i="12"/>
  <c r="K212" i="12" s="1"/>
  <c r="D212" i="39"/>
  <c r="G212" i="39" s="1"/>
  <c r="H212" i="39" s="1"/>
  <c r="I212" i="39" s="1"/>
  <c r="J196" i="12"/>
  <c r="K196" i="12" s="1"/>
  <c r="D196" i="39"/>
  <c r="G196" i="39" s="1"/>
  <c r="H196" i="39" s="1"/>
  <c r="I196" i="39" s="1"/>
  <c r="J180" i="12"/>
  <c r="K180" i="12" s="1"/>
  <c r="D180" i="39"/>
  <c r="G180" i="39" s="1"/>
  <c r="H180" i="39" s="1"/>
  <c r="I180" i="39" s="1"/>
  <c r="J164" i="12"/>
  <c r="K164" i="12" s="1"/>
  <c r="D164" i="39"/>
  <c r="G164" i="39" s="1"/>
  <c r="H164" i="39" s="1"/>
  <c r="I164" i="39" s="1"/>
  <c r="J302" i="12"/>
  <c r="K302" i="12" s="1"/>
  <c r="D302" i="39"/>
  <c r="G302" i="39" s="1"/>
  <c r="H302" i="39" s="1"/>
  <c r="I302" i="39" s="1"/>
  <c r="J286" i="12"/>
  <c r="K286" i="12" s="1"/>
  <c r="D286" i="39"/>
  <c r="G286" i="39" s="1"/>
  <c r="H286" i="39" s="1"/>
  <c r="I286" i="39" s="1"/>
  <c r="J274" i="12"/>
  <c r="K274" i="12" s="1"/>
  <c r="D274" i="39"/>
  <c r="G274" i="39" s="1"/>
  <c r="H274" i="39" s="1"/>
  <c r="I274" i="39" s="1"/>
  <c r="J258" i="12"/>
  <c r="K258" i="12" s="1"/>
  <c r="D258" i="39"/>
  <c r="G258" i="39" s="1"/>
  <c r="H258" i="39" s="1"/>
  <c r="I258" i="39" s="1"/>
  <c r="J242" i="12"/>
  <c r="K242" i="12" s="1"/>
  <c r="D242" i="39"/>
  <c r="G242" i="39" s="1"/>
  <c r="H242" i="39" s="1"/>
  <c r="I242" i="39" s="1"/>
  <c r="J226" i="12"/>
  <c r="K226" i="12" s="1"/>
  <c r="D226" i="39"/>
  <c r="G226" i="39" s="1"/>
  <c r="H226" i="39" s="1"/>
  <c r="I226" i="39" s="1"/>
  <c r="J210" i="12"/>
  <c r="K210" i="12" s="1"/>
  <c r="D210" i="39"/>
  <c r="G210" i="39" s="1"/>
  <c r="H210" i="39" s="1"/>
  <c r="I210" i="39" s="1"/>
  <c r="J194" i="12"/>
  <c r="K194" i="12" s="1"/>
  <c r="D194" i="39"/>
  <c r="G194" i="39" s="1"/>
  <c r="H194" i="39" s="1"/>
  <c r="I194" i="39" s="1"/>
  <c r="J178" i="12"/>
  <c r="K178" i="12" s="1"/>
  <c r="D178" i="39"/>
  <c r="G178" i="39" s="1"/>
  <c r="H178" i="39" s="1"/>
  <c r="I178" i="39" s="1"/>
  <c r="J162" i="12"/>
  <c r="K162" i="12" s="1"/>
  <c r="D162" i="39"/>
  <c r="G162" i="39" s="1"/>
  <c r="H162" i="39" s="1"/>
  <c r="I162" i="39" s="1"/>
  <c r="J145" i="12"/>
  <c r="K145" i="12" s="1"/>
  <c r="D145" i="39"/>
  <c r="G145" i="39" s="1"/>
  <c r="H145" i="39" s="1"/>
  <c r="I145" i="39" s="1"/>
  <c r="J129" i="12"/>
  <c r="K129" i="12" s="1"/>
  <c r="D129" i="39"/>
  <c r="G129" i="39" s="1"/>
  <c r="H129" i="39" s="1"/>
  <c r="I129" i="39" s="1"/>
  <c r="J113" i="12"/>
  <c r="K113" i="12" s="1"/>
  <c r="D113" i="39"/>
  <c r="G113" i="39" s="1"/>
  <c r="H113" i="39" s="1"/>
  <c r="I113" i="39" s="1"/>
  <c r="J105" i="12"/>
  <c r="K105" i="12" s="1"/>
  <c r="D105" i="39"/>
  <c r="G105" i="39" s="1"/>
  <c r="H105" i="39" s="1"/>
  <c r="I105" i="39" s="1"/>
  <c r="J81" i="12"/>
  <c r="K81" i="12" s="1"/>
  <c r="D81" i="39"/>
  <c r="G81" i="39" s="1"/>
  <c r="H81" i="39" s="1"/>
  <c r="I81" i="39" s="1"/>
  <c r="J65" i="12"/>
  <c r="K65" i="12" s="1"/>
  <c r="D65" i="39"/>
  <c r="G65" i="39" s="1"/>
  <c r="H65" i="39" s="1"/>
  <c r="I65" i="39" s="1"/>
  <c r="J49" i="12"/>
  <c r="K49" i="12" s="1"/>
  <c r="D49" i="39"/>
  <c r="G49" i="39" s="1"/>
  <c r="H49" i="39" s="1"/>
  <c r="I49" i="39" s="1"/>
  <c r="J33" i="12"/>
  <c r="K33" i="12" s="1"/>
  <c r="D33" i="39"/>
  <c r="G33" i="39" s="1"/>
  <c r="H33" i="39" s="1"/>
  <c r="I33" i="39" s="1"/>
  <c r="J17" i="12"/>
  <c r="K17" i="12" s="1"/>
  <c r="D17" i="39"/>
  <c r="G17" i="39" s="1"/>
  <c r="H17" i="39" s="1"/>
  <c r="I17" i="39" s="1"/>
  <c r="J85" i="12"/>
  <c r="K85" i="12" s="1"/>
  <c r="D85" i="39"/>
  <c r="G85" i="39" s="1"/>
  <c r="H85" i="39" s="1"/>
  <c r="I85" i="39" s="1"/>
  <c r="F41" i="48"/>
  <c r="H6" i="12"/>
  <c r="I6" i="12" s="1"/>
  <c r="D6" i="39" s="1"/>
  <c r="J306" i="12"/>
  <c r="G132" i="13" l="1"/>
  <c r="H132" i="13" s="1"/>
  <c r="I132" i="13" s="1"/>
  <c r="J132" i="13" s="1"/>
  <c r="G43" i="13"/>
  <c r="H43" i="13" s="1"/>
  <c r="I43" i="13" s="1"/>
  <c r="J43" i="13" s="1"/>
  <c r="G31" i="13"/>
  <c r="H31" i="13" s="1"/>
  <c r="I31" i="13" s="1"/>
  <c r="J31" i="13" s="1"/>
  <c r="G241" i="13"/>
  <c r="H241" i="13" s="1"/>
  <c r="I241" i="13" s="1"/>
  <c r="J241" i="13" s="1"/>
  <c r="G74" i="13"/>
  <c r="H74" i="13" s="1"/>
  <c r="I74" i="13" s="1"/>
  <c r="J74" i="13" s="1"/>
  <c r="G190" i="13"/>
  <c r="H190" i="13" s="1"/>
  <c r="I190" i="13" s="1"/>
  <c r="J190" i="13" s="1"/>
  <c r="G234" i="13"/>
  <c r="H234" i="13" s="1"/>
  <c r="I234" i="13" s="1"/>
  <c r="J234" i="13" s="1"/>
  <c r="G298" i="13"/>
  <c r="H298" i="13" s="1"/>
  <c r="I298" i="13" s="1"/>
  <c r="J298" i="13" s="1"/>
  <c r="G267" i="13"/>
  <c r="H267" i="13" s="1"/>
  <c r="I267" i="13" s="1"/>
  <c r="J267" i="13" s="1"/>
  <c r="G137" i="13"/>
  <c r="H137" i="13" s="1"/>
  <c r="I137" i="13" s="1"/>
  <c r="J137" i="13" s="1"/>
  <c r="H143" i="34" s="1"/>
  <c r="I143" i="34" s="1"/>
  <c r="K143" i="34" s="1"/>
  <c r="F136" i="25" s="1"/>
  <c r="I136" i="25" s="1"/>
  <c r="G294" i="13"/>
  <c r="H294" i="13" s="1"/>
  <c r="I294" i="13" s="1"/>
  <c r="J294" i="13" s="1"/>
  <c r="G189" i="13"/>
  <c r="H189" i="13" s="1"/>
  <c r="I189" i="13" s="1"/>
  <c r="J189" i="13" s="1"/>
  <c r="G210" i="13"/>
  <c r="H210" i="13" s="1"/>
  <c r="I210" i="13" s="1"/>
  <c r="J210" i="13" s="1"/>
  <c r="G229" i="13"/>
  <c r="H229" i="13" s="1"/>
  <c r="I229" i="13" s="1"/>
  <c r="J229" i="13" s="1"/>
  <c r="H235" i="34" s="1"/>
  <c r="I235" i="34" s="1"/>
  <c r="K235" i="34" s="1"/>
  <c r="F228" i="25" s="1"/>
  <c r="I228" i="25" s="1"/>
  <c r="G54" i="13"/>
  <c r="H54" i="13" s="1"/>
  <c r="I54" i="13" s="1"/>
  <c r="J54" i="13" s="1"/>
  <c r="G79" i="13"/>
  <c r="H79" i="13" s="1"/>
  <c r="I79" i="13" s="1"/>
  <c r="J79" i="13" s="1"/>
  <c r="G162" i="13"/>
  <c r="H162" i="13" s="1"/>
  <c r="I162" i="13" s="1"/>
  <c r="J162" i="13" s="1"/>
  <c r="G44" i="13"/>
  <c r="H44" i="13" s="1"/>
  <c r="I44" i="13" s="1"/>
  <c r="J44" i="13" s="1"/>
  <c r="H50" i="34" s="1"/>
  <c r="I50" i="34" s="1"/>
  <c r="K50" i="34" s="1"/>
  <c r="F43" i="25" s="1"/>
  <c r="I43" i="25" s="1"/>
  <c r="G147" i="13"/>
  <c r="H147" i="13" s="1"/>
  <c r="I147" i="13" s="1"/>
  <c r="J147" i="13" s="1"/>
  <c r="H153" i="34" s="1"/>
  <c r="I153" i="34" s="1"/>
  <c r="K153" i="34" s="1"/>
  <c r="F146" i="25" s="1"/>
  <c r="I146" i="25" s="1"/>
  <c r="G11" i="13"/>
  <c r="H11" i="13" s="1"/>
  <c r="I11" i="13" s="1"/>
  <c r="J11" i="13" s="1"/>
  <c r="G90" i="13"/>
  <c r="H90" i="13" s="1"/>
  <c r="I90" i="13" s="1"/>
  <c r="J90" i="13" s="1"/>
  <c r="G175" i="13"/>
  <c r="H175" i="13" s="1"/>
  <c r="I175" i="13" s="1"/>
  <c r="J175" i="13" s="1"/>
  <c r="H181" i="34" s="1"/>
  <c r="I181" i="34" s="1"/>
  <c r="K181" i="34" s="1"/>
  <c r="F174" i="25" s="1"/>
  <c r="I174" i="25" s="1"/>
  <c r="G239" i="13"/>
  <c r="H239" i="13" s="1"/>
  <c r="I239" i="13" s="1"/>
  <c r="J239" i="13" s="1"/>
  <c r="G10" i="13"/>
  <c r="H10" i="13" s="1"/>
  <c r="I10" i="13" s="1"/>
  <c r="J10" i="13" s="1"/>
  <c r="G7" i="13"/>
  <c r="H7" i="13" s="1"/>
  <c r="I7" i="13" s="1"/>
  <c r="J7" i="13" s="1"/>
  <c r="G20" i="13"/>
  <c r="H20" i="13" s="1"/>
  <c r="I20" i="13" s="1"/>
  <c r="J20" i="13" s="1"/>
  <c r="H26" i="34" s="1"/>
  <c r="I26" i="34" s="1"/>
  <c r="K26" i="34" s="1"/>
  <c r="F19" i="25" s="1"/>
  <c r="I19" i="25" s="1"/>
  <c r="G69" i="13"/>
  <c r="H69" i="13" s="1"/>
  <c r="I69" i="13" s="1"/>
  <c r="J69" i="13" s="1"/>
  <c r="G133" i="13"/>
  <c r="H133" i="13" s="1"/>
  <c r="I133" i="13" s="1"/>
  <c r="J133" i="13" s="1"/>
  <c r="H139" i="34" s="1"/>
  <c r="I139" i="34" s="1"/>
  <c r="K139" i="34" s="1"/>
  <c r="F132" i="25" s="1"/>
  <c r="I132" i="25" s="1"/>
  <c r="G290" i="13"/>
  <c r="H290" i="13" s="1"/>
  <c r="I290" i="13" s="1"/>
  <c r="J290" i="13" s="1"/>
  <c r="G203" i="13"/>
  <c r="H203" i="13" s="1"/>
  <c r="I203" i="13" s="1"/>
  <c r="J203" i="13" s="1"/>
  <c r="H209" i="34" s="1"/>
  <c r="I209" i="34" s="1"/>
  <c r="K209" i="34" s="1"/>
  <c r="F202" i="25" s="1"/>
  <c r="I202" i="25" s="1"/>
  <c r="G299" i="13"/>
  <c r="H299" i="13" s="1"/>
  <c r="I299" i="13" s="1"/>
  <c r="J299" i="13" s="1"/>
  <c r="H305" i="34" s="1"/>
  <c r="I305" i="34" s="1"/>
  <c r="K305" i="34" s="1"/>
  <c r="F298" i="25" s="1"/>
  <c r="I298" i="25" s="1"/>
  <c r="G192" i="13"/>
  <c r="H192" i="13" s="1"/>
  <c r="I192" i="13" s="1"/>
  <c r="J192" i="13" s="1"/>
  <c r="H198" i="34" s="1"/>
  <c r="I198" i="34" s="1"/>
  <c r="K198" i="34" s="1"/>
  <c r="F191" i="25" s="1"/>
  <c r="I191" i="25" s="1"/>
  <c r="G224" i="13"/>
  <c r="H224" i="13" s="1"/>
  <c r="I224" i="13" s="1"/>
  <c r="J224" i="13" s="1"/>
  <c r="G256" i="13"/>
  <c r="H256" i="13" s="1"/>
  <c r="I256" i="13" s="1"/>
  <c r="J256" i="13" s="1"/>
  <c r="H262" i="34" s="1"/>
  <c r="I262" i="34" s="1"/>
  <c r="K262" i="34" s="1"/>
  <c r="F255" i="25" s="1"/>
  <c r="I255" i="25" s="1"/>
  <c r="G237" i="13"/>
  <c r="H237" i="13" s="1"/>
  <c r="I237" i="13" s="1"/>
  <c r="J237" i="13" s="1"/>
  <c r="H243" i="34" s="1"/>
  <c r="I243" i="34" s="1"/>
  <c r="K243" i="34" s="1"/>
  <c r="F236" i="25" s="1"/>
  <c r="I236" i="25" s="1"/>
  <c r="G285" i="13"/>
  <c r="H285" i="13" s="1"/>
  <c r="I285" i="13" s="1"/>
  <c r="J285" i="13" s="1"/>
  <c r="H291" i="34" s="1"/>
  <c r="I291" i="34" s="1"/>
  <c r="K291" i="34" s="1"/>
  <c r="F284" i="25" s="1"/>
  <c r="I284" i="25" s="1"/>
  <c r="G300" i="13"/>
  <c r="H300" i="13" s="1"/>
  <c r="I300" i="13" s="1"/>
  <c r="J300" i="13" s="1"/>
  <c r="G78" i="13"/>
  <c r="H78" i="13" s="1"/>
  <c r="I78" i="13" s="1"/>
  <c r="J78" i="13" s="1"/>
  <c r="H84" i="34" s="1"/>
  <c r="I84" i="34" s="1"/>
  <c r="K84" i="34" s="1"/>
  <c r="F77" i="25" s="1"/>
  <c r="I77" i="25" s="1"/>
  <c r="G14" i="13"/>
  <c r="H14" i="13" s="1"/>
  <c r="I14" i="13" s="1"/>
  <c r="J14" i="13" s="1"/>
  <c r="G148" i="13"/>
  <c r="H148" i="13" s="1"/>
  <c r="I148" i="13" s="1"/>
  <c r="J148" i="13" s="1"/>
  <c r="H154" i="34" s="1"/>
  <c r="I154" i="34" s="1"/>
  <c r="K154" i="34" s="1"/>
  <c r="F147" i="25" s="1"/>
  <c r="I147" i="25" s="1"/>
  <c r="G197" i="13"/>
  <c r="H197" i="13" s="1"/>
  <c r="I197" i="13" s="1"/>
  <c r="J197" i="13" s="1"/>
  <c r="G9" i="13"/>
  <c r="H9" i="13" s="1"/>
  <c r="I9" i="13" s="1"/>
  <c r="J9" i="13" s="1"/>
  <c r="G27" i="13"/>
  <c r="H27" i="13" s="1"/>
  <c r="I27" i="13" s="1"/>
  <c r="J27" i="13" s="1"/>
  <c r="G21" i="13"/>
  <c r="H21" i="13" s="1"/>
  <c r="I21" i="13" s="1"/>
  <c r="J21" i="13" s="1"/>
  <c r="H27" i="34" s="1"/>
  <c r="I27" i="34" s="1"/>
  <c r="K27" i="34" s="1"/>
  <c r="F20" i="25" s="1"/>
  <c r="I20" i="25" s="1"/>
  <c r="G98" i="13"/>
  <c r="H98" i="13" s="1"/>
  <c r="I98" i="13" s="1"/>
  <c r="J98" i="13" s="1"/>
  <c r="G172" i="13"/>
  <c r="H172" i="13" s="1"/>
  <c r="I172" i="13" s="1"/>
  <c r="J172" i="13" s="1"/>
  <c r="H178" i="34" s="1"/>
  <c r="I178" i="34" s="1"/>
  <c r="K178" i="34" s="1"/>
  <c r="F171" i="25" s="1"/>
  <c r="I171" i="25" s="1"/>
  <c r="G204" i="13"/>
  <c r="H204" i="13" s="1"/>
  <c r="I204" i="13" s="1"/>
  <c r="J204" i="13" s="1"/>
  <c r="H210" i="34" s="1"/>
  <c r="I210" i="34" s="1"/>
  <c r="K210" i="34" s="1"/>
  <c r="F203" i="25" s="1"/>
  <c r="I203" i="25" s="1"/>
  <c r="G236" i="13"/>
  <c r="H236" i="13" s="1"/>
  <c r="I236" i="13" s="1"/>
  <c r="J236" i="13" s="1"/>
  <c r="H242" i="34" s="1"/>
  <c r="I242" i="34" s="1"/>
  <c r="K242" i="34" s="1"/>
  <c r="F235" i="25" s="1"/>
  <c r="I235" i="25" s="1"/>
  <c r="G268" i="13"/>
  <c r="H268" i="13" s="1"/>
  <c r="I268" i="13" s="1"/>
  <c r="J268" i="13" s="1"/>
  <c r="G56" i="13"/>
  <c r="H56" i="13" s="1"/>
  <c r="I56" i="13" s="1"/>
  <c r="J56" i="13" s="1"/>
  <c r="H62" i="34" s="1"/>
  <c r="I62" i="34" s="1"/>
  <c r="K62" i="34" s="1"/>
  <c r="F55" i="25" s="1"/>
  <c r="I55" i="25" s="1"/>
  <c r="G140" i="13"/>
  <c r="H140" i="13" s="1"/>
  <c r="I140" i="13" s="1"/>
  <c r="J140" i="13" s="1"/>
  <c r="G35" i="13"/>
  <c r="H35" i="13" s="1"/>
  <c r="I35" i="13" s="1"/>
  <c r="J35" i="13" s="1"/>
  <c r="H41" i="34" s="1"/>
  <c r="I41" i="34" s="1"/>
  <c r="K41" i="34" s="1"/>
  <c r="F34" i="25" s="1"/>
  <c r="I34" i="25" s="1"/>
  <c r="G217" i="13"/>
  <c r="H217" i="13" s="1"/>
  <c r="I217" i="13" s="1"/>
  <c r="J217" i="13" s="1"/>
  <c r="G18" i="13"/>
  <c r="H18" i="13" s="1"/>
  <c r="I18" i="13" s="1"/>
  <c r="J18" i="13" s="1"/>
  <c r="H24" i="34" s="1"/>
  <c r="I24" i="34" s="1"/>
  <c r="K24" i="34" s="1"/>
  <c r="F17" i="25" s="1"/>
  <c r="I17" i="25" s="1"/>
  <c r="G273" i="13"/>
  <c r="H273" i="13" s="1"/>
  <c r="I273" i="13" s="1"/>
  <c r="J273" i="13" s="1"/>
  <c r="H279" i="34" s="1"/>
  <c r="I279" i="34" s="1"/>
  <c r="K279" i="34" s="1"/>
  <c r="F272" i="25" s="1"/>
  <c r="I272" i="25" s="1"/>
  <c r="G64" i="13"/>
  <c r="H64" i="13" s="1"/>
  <c r="I64" i="13" s="1"/>
  <c r="J64" i="13" s="1"/>
  <c r="H70" i="34" s="1"/>
  <c r="I70" i="34" s="1"/>
  <c r="K70" i="34" s="1"/>
  <c r="F63" i="25" s="1"/>
  <c r="I63" i="25" s="1"/>
  <c r="G131" i="13"/>
  <c r="H131" i="13" s="1"/>
  <c r="I131" i="13" s="1"/>
  <c r="J131" i="13" s="1"/>
  <c r="G126" i="13"/>
  <c r="H126" i="13" s="1"/>
  <c r="I126" i="13" s="1"/>
  <c r="J126" i="13" s="1"/>
  <c r="H132" i="34" s="1"/>
  <c r="I132" i="34" s="1"/>
  <c r="K132" i="34" s="1"/>
  <c r="F125" i="25" s="1"/>
  <c r="I125" i="25" s="1"/>
  <c r="G94" i="13"/>
  <c r="H94" i="13" s="1"/>
  <c r="I94" i="13" s="1"/>
  <c r="J94" i="13" s="1"/>
  <c r="H100" i="34" s="1"/>
  <c r="I100" i="34" s="1"/>
  <c r="K100" i="34" s="1"/>
  <c r="F93" i="25" s="1"/>
  <c r="I93" i="25" s="1"/>
  <c r="G167" i="13"/>
  <c r="H167" i="13" s="1"/>
  <c r="I167" i="13" s="1"/>
  <c r="J167" i="13" s="1"/>
  <c r="H173" i="34" s="1"/>
  <c r="I173" i="34" s="1"/>
  <c r="K173" i="34" s="1"/>
  <c r="F166" i="25" s="1"/>
  <c r="I166" i="25" s="1"/>
  <c r="G231" i="13"/>
  <c r="H231" i="13" s="1"/>
  <c r="I231" i="13" s="1"/>
  <c r="J231" i="13" s="1"/>
  <c r="G28" i="13"/>
  <c r="H28" i="13" s="1"/>
  <c r="I28" i="13" s="1"/>
  <c r="J28" i="13" s="1"/>
  <c r="H34" i="34" s="1"/>
  <c r="I34" i="34" s="1"/>
  <c r="K34" i="34" s="1"/>
  <c r="F27" i="25" s="1"/>
  <c r="I27" i="25" s="1"/>
  <c r="G104" i="13"/>
  <c r="H104" i="13" s="1"/>
  <c r="I104" i="13" s="1"/>
  <c r="J104" i="13" s="1"/>
  <c r="H110" i="34" s="1"/>
  <c r="I110" i="34" s="1"/>
  <c r="K110" i="34" s="1"/>
  <c r="F103" i="25" s="1"/>
  <c r="I103" i="25" s="1"/>
  <c r="G211" i="13"/>
  <c r="H211" i="13" s="1"/>
  <c r="I211" i="13" s="1"/>
  <c r="J211" i="13" s="1"/>
  <c r="H217" i="34" s="1"/>
  <c r="I217" i="34" s="1"/>
  <c r="K217" i="34" s="1"/>
  <c r="F210" i="25" s="1"/>
  <c r="I210" i="25" s="1"/>
  <c r="G17" i="13"/>
  <c r="H17" i="13" s="1"/>
  <c r="I17" i="13" s="1"/>
  <c r="J17" i="13" s="1"/>
  <c r="G113" i="13"/>
  <c r="H113" i="13" s="1"/>
  <c r="I113" i="13" s="1"/>
  <c r="J113" i="13" s="1"/>
  <c r="H119" i="34" s="1"/>
  <c r="I119" i="34" s="1"/>
  <c r="K119" i="34" s="1"/>
  <c r="F112" i="25" s="1"/>
  <c r="I112" i="25" s="1"/>
  <c r="G242" i="13"/>
  <c r="H242" i="13" s="1"/>
  <c r="I242" i="13" s="1"/>
  <c r="J242" i="13" s="1"/>
  <c r="G274" i="13"/>
  <c r="H274" i="13" s="1"/>
  <c r="I274" i="13" s="1"/>
  <c r="J274" i="13" s="1"/>
  <c r="H280" i="34" s="1"/>
  <c r="I280" i="34" s="1"/>
  <c r="K280" i="34" s="1"/>
  <c r="F273" i="25" s="1"/>
  <c r="I273" i="25" s="1"/>
  <c r="G112" i="13"/>
  <c r="H112" i="13" s="1"/>
  <c r="I112" i="13" s="1"/>
  <c r="J112" i="13" s="1"/>
  <c r="G209" i="13"/>
  <c r="H209" i="13" s="1"/>
  <c r="I209" i="13" s="1"/>
  <c r="J209" i="13" s="1"/>
  <c r="H215" i="34" s="1"/>
  <c r="I215" i="34" s="1"/>
  <c r="K215" i="34" s="1"/>
  <c r="F208" i="25" s="1"/>
  <c r="I208" i="25" s="1"/>
  <c r="G280" i="13"/>
  <c r="H280" i="13" s="1"/>
  <c r="I280" i="13" s="1"/>
  <c r="J280" i="13" s="1"/>
  <c r="H286" i="34" s="1"/>
  <c r="I286" i="34" s="1"/>
  <c r="K286" i="34" s="1"/>
  <c r="F279" i="25" s="1"/>
  <c r="I279" i="25" s="1"/>
  <c r="G292" i="13"/>
  <c r="H292" i="13" s="1"/>
  <c r="I292" i="13" s="1"/>
  <c r="J292" i="13" s="1"/>
  <c r="G57" i="13"/>
  <c r="H57" i="13" s="1"/>
  <c r="I57" i="13" s="1"/>
  <c r="J57" i="13" s="1"/>
  <c r="G284" i="13"/>
  <c r="H284" i="13" s="1"/>
  <c r="I284" i="13" s="1"/>
  <c r="J284" i="13" s="1"/>
  <c r="H290" i="34" s="1"/>
  <c r="I290" i="34" s="1"/>
  <c r="K290" i="34" s="1"/>
  <c r="F283" i="25" s="1"/>
  <c r="I283" i="25" s="1"/>
  <c r="G281" i="13"/>
  <c r="H281" i="13" s="1"/>
  <c r="I281" i="13" s="1"/>
  <c r="J281" i="13" s="1"/>
  <c r="H287" i="34" s="1"/>
  <c r="I287" i="34" s="1"/>
  <c r="K287" i="34" s="1"/>
  <c r="F280" i="25" s="1"/>
  <c r="I280" i="25" s="1"/>
  <c r="G77" i="13"/>
  <c r="H77" i="13" s="1"/>
  <c r="I77" i="13" s="1"/>
  <c r="J77" i="13" s="1"/>
  <c r="H83" i="34" s="1"/>
  <c r="I83" i="34" s="1"/>
  <c r="K83" i="34" s="1"/>
  <c r="F76" i="25" s="1"/>
  <c r="I76" i="25" s="1"/>
  <c r="G174" i="13"/>
  <c r="H174" i="13" s="1"/>
  <c r="I174" i="13" s="1"/>
  <c r="J174" i="13" s="1"/>
  <c r="G33" i="13"/>
  <c r="H33" i="13" s="1"/>
  <c r="I33" i="13" s="1"/>
  <c r="J33" i="13" s="1"/>
  <c r="G65" i="13"/>
  <c r="H65" i="13" s="1"/>
  <c r="I65" i="13" s="1"/>
  <c r="J65" i="13" s="1"/>
  <c r="G271" i="13"/>
  <c r="H271" i="13" s="1"/>
  <c r="I271" i="13" s="1"/>
  <c r="J271" i="13" s="1"/>
  <c r="H277" i="34" s="1"/>
  <c r="I277" i="34" s="1"/>
  <c r="K277" i="34" s="1"/>
  <c r="F270" i="25" s="1"/>
  <c r="I270" i="25" s="1"/>
  <c r="G225" i="13"/>
  <c r="H225" i="13" s="1"/>
  <c r="I225" i="13" s="1"/>
  <c r="J225" i="13" s="1"/>
  <c r="G40" i="13"/>
  <c r="H40" i="13" s="1"/>
  <c r="I40" i="13" s="1"/>
  <c r="J40" i="13" s="1"/>
  <c r="H46" i="34" s="1"/>
  <c r="I46" i="34" s="1"/>
  <c r="K46" i="34" s="1"/>
  <c r="F39" i="25" s="1"/>
  <c r="I39" i="25" s="1"/>
  <c r="G166" i="13"/>
  <c r="H166" i="13" s="1"/>
  <c r="I166" i="13" s="1"/>
  <c r="J166" i="13" s="1"/>
  <c r="H172" i="34" s="1"/>
  <c r="I172" i="34" s="1"/>
  <c r="K172" i="34" s="1"/>
  <c r="F165" i="25" s="1"/>
  <c r="I165" i="25" s="1"/>
  <c r="G198" i="13"/>
  <c r="H198" i="13" s="1"/>
  <c r="I198" i="13" s="1"/>
  <c r="J198" i="13" s="1"/>
  <c r="H204" i="34" s="1"/>
  <c r="I204" i="34" s="1"/>
  <c r="K204" i="34" s="1"/>
  <c r="F197" i="25" s="1"/>
  <c r="I197" i="25" s="1"/>
  <c r="G230" i="13"/>
  <c r="H230" i="13" s="1"/>
  <c r="I230" i="13" s="1"/>
  <c r="J230" i="13" s="1"/>
  <c r="G176" i="13"/>
  <c r="H176" i="13" s="1"/>
  <c r="I176" i="13" s="1"/>
  <c r="J176" i="13" s="1"/>
  <c r="H182" i="34" s="1"/>
  <c r="I182" i="34" s="1"/>
  <c r="K182" i="34" s="1"/>
  <c r="F175" i="25" s="1"/>
  <c r="I175" i="25" s="1"/>
  <c r="G304" i="13"/>
  <c r="H304" i="13" s="1"/>
  <c r="I304" i="13" s="1"/>
  <c r="J304" i="13" s="1"/>
  <c r="G84" i="13"/>
  <c r="H84" i="13" s="1"/>
  <c r="I84" i="13" s="1"/>
  <c r="J84" i="13" s="1"/>
  <c r="H90" i="34" s="1"/>
  <c r="I90" i="34" s="1"/>
  <c r="K90" i="34" s="1"/>
  <c r="F83" i="25" s="1"/>
  <c r="I83" i="25" s="1"/>
  <c r="G41" i="13"/>
  <c r="H41" i="13" s="1"/>
  <c r="I41" i="13" s="1"/>
  <c r="J41" i="13" s="1"/>
  <c r="G73" i="13"/>
  <c r="H73" i="13" s="1"/>
  <c r="I73" i="13" s="1"/>
  <c r="J73" i="13" s="1"/>
  <c r="H79" i="34" s="1"/>
  <c r="I79" i="34" s="1"/>
  <c r="K79" i="34" s="1"/>
  <c r="F72" i="25" s="1"/>
  <c r="I72" i="25" s="1"/>
  <c r="G252" i="13"/>
  <c r="H252" i="13" s="1"/>
  <c r="I252" i="13" s="1"/>
  <c r="J252" i="13" s="1"/>
  <c r="H258" i="34" s="1"/>
  <c r="I258" i="34" s="1"/>
  <c r="K258" i="34" s="1"/>
  <c r="F251" i="25" s="1"/>
  <c r="I251" i="25" s="1"/>
  <c r="G61" i="13"/>
  <c r="H61" i="13" s="1"/>
  <c r="I61" i="13" s="1"/>
  <c r="J61" i="13" s="1"/>
  <c r="H67" i="34" s="1"/>
  <c r="I67" i="34" s="1"/>
  <c r="K67" i="34" s="1"/>
  <c r="F60" i="25" s="1"/>
  <c r="I60" i="25" s="1"/>
  <c r="G125" i="13"/>
  <c r="H125" i="13" s="1"/>
  <c r="I125" i="13" s="1"/>
  <c r="J125" i="13" s="1"/>
  <c r="G302" i="13"/>
  <c r="H302" i="13" s="1"/>
  <c r="I302" i="13" s="1"/>
  <c r="J302" i="13" s="1"/>
  <c r="H308" i="34" s="1"/>
  <c r="I308" i="34" s="1"/>
  <c r="K308" i="34" s="1"/>
  <c r="F301" i="25" s="1"/>
  <c r="I301" i="25" s="1"/>
  <c r="G212" i="13"/>
  <c r="H212" i="13" s="1"/>
  <c r="I212" i="13" s="1"/>
  <c r="J212" i="13" s="1"/>
  <c r="G244" i="13"/>
  <c r="H244" i="13" s="1"/>
  <c r="I244" i="13" s="1"/>
  <c r="J244" i="13" s="1"/>
  <c r="G276" i="13"/>
  <c r="H276" i="13" s="1"/>
  <c r="I276" i="13" s="1"/>
  <c r="J276" i="13" s="1"/>
  <c r="H282" i="34" s="1"/>
  <c r="I282" i="34" s="1"/>
  <c r="K282" i="34" s="1"/>
  <c r="F275" i="25" s="1"/>
  <c r="I275" i="25" s="1"/>
  <c r="G159" i="13"/>
  <c r="H159" i="13" s="1"/>
  <c r="I159" i="13" s="1"/>
  <c r="J159" i="13" s="1"/>
  <c r="H165" i="34" s="1"/>
  <c r="I165" i="34" s="1"/>
  <c r="K165" i="34" s="1"/>
  <c r="F158" i="25" s="1"/>
  <c r="I158" i="25" s="1"/>
  <c r="G191" i="13"/>
  <c r="H191" i="13" s="1"/>
  <c r="I191" i="13" s="1"/>
  <c r="J191" i="13" s="1"/>
  <c r="H197" i="34" s="1"/>
  <c r="I197" i="34" s="1"/>
  <c r="K197" i="34" s="1"/>
  <c r="F190" i="25" s="1"/>
  <c r="I190" i="25" s="1"/>
  <c r="G155" i="13"/>
  <c r="H155" i="13" s="1"/>
  <c r="I155" i="13" s="1"/>
  <c r="J155" i="13" s="1"/>
  <c r="H161" i="34" s="1"/>
  <c r="I161" i="34" s="1"/>
  <c r="K161" i="34" s="1"/>
  <c r="F154" i="25" s="1"/>
  <c r="I154" i="25" s="1"/>
  <c r="G288" i="13"/>
  <c r="H288" i="13" s="1"/>
  <c r="I288" i="13" s="1"/>
  <c r="J288" i="13" s="1"/>
  <c r="H294" i="34" s="1"/>
  <c r="I294" i="34" s="1"/>
  <c r="K294" i="34" s="1"/>
  <c r="F287" i="25" s="1"/>
  <c r="I287" i="25" s="1"/>
  <c r="G134" i="13"/>
  <c r="H134" i="13" s="1"/>
  <c r="I134" i="13" s="1"/>
  <c r="J134" i="13" s="1"/>
  <c r="G289" i="13"/>
  <c r="H289" i="13" s="1"/>
  <c r="I289" i="13" s="1"/>
  <c r="J289" i="13" s="1"/>
  <c r="H295" i="34" s="1"/>
  <c r="I295" i="34" s="1"/>
  <c r="K295" i="34" s="1"/>
  <c r="F288" i="25" s="1"/>
  <c r="I288" i="25" s="1"/>
  <c r="G58" i="13"/>
  <c r="H58" i="13" s="1"/>
  <c r="I58" i="13" s="1"/>
  <c r="J58" i="13" s="1"/>
  <c r="H64" i="34" s="1"/>
  <c r="I64" i="34" s="1"/>
  <c r="K64" i="34" s="1"/>
  <c r="F57" i="25" s="1"/>
  <c r="I57" i="25" s="1"/>
  <c r="G93" i="13"/>
  <c r="H93" i="13" s="1"/>
  <c r="I93" i="13" s="1"/>
  <c r="J93" i="13" s="1"/>
  <c r="H99" i="34" s="1"/>
  <c r="I99" i="34" s="1"/>
  <c r="K99" i="34" s="1"/>
  <c r="F92" i="25" s="1"/>
  <c r="I92" i="25" s="1"/>
  <c r="G262" i="13"/>
  <c r="H262" i="13" s="1"/>
  <c r="I262" i="13" s="1"/>
  <c r="J262" i="13" s="1"/>
  <c r="H268" i="34" s="1"/>
  <c r="I268" i="34" s="1"/>
  <c r="K268" i="34" s="1"/>
  <c r="F261" i="25" s="1"/>
  <c r="I261" i="25" s="1"/>
  <c r="G219" i="13"/>
  <c r="H219" i="13" s="1"/>
  <c r="I219" i="13" s="1"/>
  <c r="J219" i="13" s="1"/>
  <c r="G32" i="13"/>
  <c r="H32" i="13" s="1"/>
  <c r="I32" i="13" s="1"/>
  <c r="J32" i="13" s="1"/>
  <c r="G103" i="13"/>
  <c r="H103" i="13" s="1"/>
  <c r="I103" i="13" s="1"/>
  <c r="J103" i="13" s="1"/>
  <c r="H109" i="34" s="1"/>
  <c r="I109" i="34" s="1"/>
  <c r="K109" i="34" s="1"/>
  <c r="F102" i="25" s="1"/>
  <c r="I102" i="25" s="1"/>
  <c r="G138" i="13"/>
  <c r="H138" i="13" s="1"/>
  <c r="I138" i="13" s="1"/>
  <c r="J138" i="13" s="1"/>
  <c r="H144" i="34" s="1"/>
  <c r="I144" i="34" s="1"/>
  <c r="K144" i="34" s="1"/>
  <c r="F137" i="25" s="1"/>
  <c r="I137" i="25" s="1"/>
  <c r="G111" i="13"/>
  <c r="H111" i="13" s="1"/>
  <c r="I111" i="13" s="1"/>
  <c r="J111" i="13" s="1"/>
  <c r="H117" i="34" s="1"/>
  <c r="I117" i="34" s="1"/>
  <c r="K117" i="34" s="1"/>
  <c r="F110" i="25" s="1"/>
  <c r="I110" i="25" s="1"/>
  <c r="G116" i="13"/>
  <c r="H116" i="13" s="1"/>
  <c r="I116" i="13" s="1"/>
  <c r="J116" i="13" s="1"/>
  <c r="G102" i="13"/>
  <c r="H102" i="13" s="1"/>
  <c r="I102" i="13" s="1"/>
  <c r="J102" i="13" s="1"/>
  <c r="H108" i="34" s="1"/>
  <c r="I108" i="34" s="1"/>
  <c r="K108" i="34" s="1"/>
  <c r="F101" i="25" s="1"/>
  <c r="I101" i="25" s="1"/>
  <c r="G250" i="13"/>
  <c r="H250" i="13" s="1"/>
  <c r="I250" i="13" s="1"/>
  <c r="J250" i="13" s="1"/>
  <c r="H256" i="34" s="1"/>
  <c r="I256" i="34" s="1"/>
  <c r="K256" i="34" s="1"/>
  <c r="F249" i="25" s="1"/>
  <c r="I249" i="25" s="1"/>
  <c r="G303" i="13"/>
  <c r="H303" i="13" s="1"/>
  <c r="I303" i="13" s="1"/>
  <c r="J303" i="13" s="1"/>
  <c r="H309" i="34" s="1"/>
  <c r="I309" i="34" s="1"/>
  <c r="K309" i="34" s="1"/>
  <c r="F302" i="25" s="1"/>
  <c r="I302" i="25" s="1"/>
  <c r="G247" i="13"/>
  <c r="H247" i="13" s="1"/>
  <c r="I247" i="13" s="1"/>
  <c r="J247" i="13" s="1"/>
  <c r="H253" i="34" s="1"/>
  <c r="I253" i="34" s="1"/>
  <c r="K253" i="34" s="1"/>
  <c r="F246" i="25" s="1"/>
  <c r="I246" i="25" s="1"/>
  <c r="G279" i="13"/>
  <c r="H279" i="13" s="1"/>
  <c r="I279" i="13" s="1"/>
  <c r="J279" i="13" s="1"/>
  <c r="H285" i="34" s="1"/>
  <c r="I285" i="34" s="1"/>
  <c r="K285" i="34" s="1"/>
  <c r="F278" i="25" s="1"/>
  <c r="I278" i="25" s="1"/>
  <c r="G277" i="13"/>
  <c r="H277" i="13" s="1"/>
  <c r="I277" i="13" s="1"/>
  <c r="J277" i="13" s="1"/>
  <c r="H283" i="34" s="1"/>
  <c r="I283" i="34" s="1"/>
  <c r="K283" i="34" s="1"/>
  <c r="F276" i="25" s="1"/>
  <c r="I276" i="25" s="1"/>
  <c r="G60" i="13"/>
  <c r="H60" i="13" s="1"/>
  <c r="I60" i="13" s="1"/>
  <c r="J60" i="13" s="1"/>
  <c r="H66" i="34" s="1"/>
  <c r="I66" i="34" s="1"/>
  <c r="K66" i="34" s="1"/>
  <c r="F59" i="25" s="1"/>
  <c r="I59" i="25" s="1"/>
  <c r="G135" i="13"/>
  <c r="H135" i="13" s="1"/>
  <c r="I135" i="13" s="1"/>
  <c r="J135" i="13" s="1"/>
  <c r="H141" i="34" s="1"/>
  <c r="I141" i="34" s="1"/>
  <c r="K141" i="34" s="1"/>
  <c r="F134" i="25" s="1"/>
  <c r="I134" i="25" s="1"/>
  <c r="G101" i="13"/>
  <c r="H101" i="13" s="1"/>
  <c r="I101" i="13" s="1"/>
  <c r="J101" i="13" s="1"/>
  <c r="H107" i="34" s="1"/>
  <c r="I107" i="34" s="1"/>
  <c r="K107" i="34" s="1"/>
  <c r="F100" i="25" s="1"/>
  <c r="I100" i="25" s="1"/>
  <c r="G270" i="13"/>
  <c r="H270" i="13" s="1"/>
  <c r="I270" i="13" s="1"/>
  <c r="J270" i="13" s="1"/>
  <c r="H276" i="34" s="1"/>
  <c r="I276" i="34" s="1"/>
  <c r="K276" i="34" s="1"/>
  <c r="F269" i="25" s="1"/>
  <c r="I269" i="25" s="1"/>
  <c r="G243" i="13"/>
  <c r="H243" i="13" s="1"/>
  <c r="I243" i="13" s="1"/>
  <c r="J243" i="13" s="1"/>
  <c r="H249" i="34" s="1"/>
  <c r="I249" i="34" s="1"/>
  <c r="K249" i="34" s="1"/>
  <c r="F242" i="25" s="1"/>
  <c r="I242" i="25" s="1"/>
  <c r="G86" i="13"/>
  <c r="H86" i="13" s="1"/>
  <c r="I86" i="13" s="1"/>
  <c r="J86" i="13" s="1"/>
  <c r="H92" i="34" s="1"/>
  <c r="I92" i="34" s="1"/>
  <c r="K92" i="34" s="1"/>
  <c r="F85" i="25" s="1"/>
  <c r="I85" i="25" s="1"/>
  <c r="G168" i="13"/>
  <c r="H168" i="13" s="1"/>
  <c r="I168" i="13" s="1"/>
  <c r="J168" i="13" s="1"/>
  <c r="H174" i="34" s="1"/>
  <c r="I174" i="34" s="1"/>
  <c r="K174" i="34" s="1"/>
  <c r="F167" i="25" s="1"/>
  <c r="I167" i="25" s="1"/>
  <c r="G232" i="13"/>
  <c r="H232" i="13" s="1"/>
  <c r="I232" i="13" s="1"/>
  <c r="J232" i="13" s="1"/>
  <c r="H238" i="34" s="1"/>
  <c r="I238" i="34" s="1"/>
  <c r="K238" i="34" s="1"/>
  <c r="F231" i="25" s="1"/>
  <c r="I231" i="25" s="1"/>
  <c r="G257" i="13"/>
  <c r="H257" i="13" s="1"/>
  <c r="I257" i="13" s="1"/>
  <c r="J257" i="13" s="1"/>
  <c r="H263" i="34" s="1"/>
  <c r="I263" i="34" s="1"/>
  <c r="K263" i="34" s="1"/>
  <c r="F256" i="25" s="1"/>
  <c r="I256" i="25" s="1"/>
  <c r="G49" i="13"/>
  <c r="H49" i="13" s="1"/>
  <c r="I49" i="13" s="1"/>
  <c r="J49" i="13" s="1"/>
  <c r="H55" i="34" s="1"/>
  <c r="I55" i="34" s="1"/>
  <c r="K55" i="34" s="1"/>
  <c r="F48" i="25" s="1"/>
  <c r="I48" i="25" s="1"/>
  <c r="G81" i="13"/>
  <c r="H81" i="13" s="1"/>
  <c r="I81" i="13" s="1"/>
  <c r="J81" i="13" s="1"/>
  <c r="H87" i="34" s="1"/>
  <c r="I87" i="34" s="1"/>
  <c r="K87" i="34" s="1"/>
  <c r="F80" i="25" s="1"/>
  <c r="I80" i="25" s="1"/>
  <c r="G226" i="13"/>
  <c r="H226" i="13" s="1"/>
  <c r="I226" i="13" s="1"/>
  <c r="J226" i="13" s="1"/>
  <c r="H232" i="34" s="1"/>
  <c r="I232" i="34" s="1"/>
  <c r="K232" i="34" s="1"/>
  <c r="F225" i="25" s="1"/>
  <c r="I225" i="25" s="1"/>
  <c r="G255" i="13"/>
  <c r="H255" i="13" s="1"/>
  <c r="I255" i="13" s="1"/>
  <c r="J255" i="13" s="1"/>
  <c r="H261" i="34" s="1"/>
  <c r="I261" i="34" s="1"/>
  <c r="K261" i="34" s="1"/>
  <c r="F254" i="25" s="1"/>
  <c r="I254" i="25" s="1"/>
  <c r="G118" i="13"/>
  <c r="H118" i="13" s="1"/>
  <c r="I118" i="13" s="1"/>
  <c r="J118" i="13" s="1"/>
  <c r="H124" i="34" s="1"/>
  <c r="I124" i="34" s="1"/>
  <c r="K124" i="34" s="1"/>
  <c r="F117" i="25" s="1"/>
  <c r="I117" i="25" s="1"/>
  <c r="G165" i="13"/>
  <c r="H165" i="13" s="1"/>
  <c r="I165" i="13" s="1"/>
  <c r="J165" i="13" s="1"/>
  <c r="G88" i="13"/>
  <c r="H88" i="13" s="1"/>
  <c r="I88" i="13" s="1"/>
  <c r="J88" i="13" s="1"/>
  <c r="H94" i="34" s="1"/>
  <c r="I94" i="34" s="1"/>
  <c r="K94" i="34" s="1"/>
  <c r="F87" i="25" s="1"/>
  <c r="I87" i="25" s="1"/>
  <c r="G12" i="13"/>
  <c r="H12" i="13" s="1"/>
  <c r="I12" i="13" s="1"/>
  <c r="J12" i="13" s="1"/>
  <c r="G89" i="13"/>
  <c r="H89" i="13" s="1"/>
  <c r="I89" i="13" s="1"/>
  <c r="J89" i="13" s="1"/>
  <c r="H95" i="34" s="1"/>
  <c r="I95" i="34" s="1"/>
  <c r="K95" i="34" s="1"/>
  <c r="F88" i="25" s="1"/>
  <c r="I88" i="25" s="1"/>
  <c r="G37" i="13"/>
  <c r="H37" i="13" s="1"/>
  <c r="I37" i="13" s="1"/>
  <c r="J37" i="13" s="1"/>
  <c r="H43" i="34" s="1"/>
  <c r="I43" i="34" s="1"/>
  <c r="K43" i="34" s="1"/>
  <c r="F36" i="25" s="1"/>
  <c r="I36" i="25" s="1"/>
  <c r="G149" i="13"/>
  <c r="H149" i="13" s="1"/>
  <c r="I149" i="13" s="1"/>
  <c r="J149" i="13" s="1"/>
  <c r="H155" i="34" s="1"/>
  <c r="I155" i="34" s="1"/>
  <c r="K155" i="34" s="1"/>
  <c r="F148" i="25" s="1"/>
  <c r="I148" i="25" s="1"/>
  <c r="G182" i="13"/>
  <c r="H182" i="13" s="1"/>
  <c r="I182" i="13" s="1"/>
  <c r="J182" i="13" s="1"/>
  <c r="G171" i="13"/>
  <c r="H171" i="13" s="1"/>
  <c r="I171" i="13" s="1"/>
  <c r="J171" i="13" s="1"/>
  <c r="H177" i="34" s="1"/>
  <c r="I177" i="34" s="1"/>
  <c r="K177" i="34" s="1"/>
  <c r="F170" i="25" s="1"/>
  <c r="I170" i="25" s="1"/>
  <c r="G283" i="13"/>
  <c r="H283" i="13" s="1"/>
  <c r="I283" i="13" s="1"/>
  <c r="J283" i="13" s="1"/>
  <c r="H289" i="34" s="1"/>
  <c r="I289" i="34" s="1"/>
  <c r="K289" i="34" s="1"/>
  <c r="F282" i="25" s="1"/>
  <c r="I282" i="25" s="1"/>
  <c r="G208" i="13"/>
  <c r="H208" i="13" s="1"/>
  <c r="I208" i="13" s="1"/>
  <c r="J208" i="13" s="1"/>
  <c r="H214" i="34" s="1"/>
  <c r="I214" i="34" s="1"/>
  <c r="K214" i="34" s="1"/>
  <c r="F207" i="25" s="1"/>
  <c r="I207" i="25" s="1"/>
  <c r="G272" i="13"/>
  <c r="H272" i="13" s="1"/>
  <c r="I272" i="13" s="1"/>
  <c r="J272" i="13" s="1"/>
  <c r="H278" i="34" s="1"/>
  <c r="I278" i="34" s="1"/>
  <c r="K278" i="34" s="1"/>
  <c r="F271" i="25" s="1"/>
  <c r="I271" i="25" s="1"/>
  <c r="G205" i="13"/>
  <c r="H205" i="13" s="1"/>
  <c r="I205" i="13" s="1"/>
  <c r="J205" i="13" s="1"/>
  <c r="H211" i="34" s="1"/>
  <c r="I211" i="34" s="1"/>
  <c r="K211" i="34" s="1"/>
  <c r="F204" i="25" s="1"/>
  <c r="I204" i="25" s="1"/>
  <c r="G34" i="13"/>
  <c r="H34" i="13" s="1"/>
  <c r="I34" i="13" s="1"/>
  <c r="J34" i="13" s="1"/>
  <c r="H40" i="34" s="1"/>
  <c r="I40" i="34" s="1"/>
  <c r="K40" i="34" s="1"/>
  <c r="F33" i="25" s="1"/>
  <c r="I33" i="25" s="1"/>
  <c r="G39" i="13"/>
  <c r="H39" i="13" s="1"/>
  <c r="I39" i="13" s="1"/>
  <c r="J39" i="13" s="1"/>
  <c r="G25" i="13"/>
  <c r="H25" i="13" s="1"/>
  <c r="I25" i="13" s="1"/>
  <c r="J25" i="13" s="1"/>
  <c r="H31" i="34" s="1"/>
  <c r="I31" i="34" s="1"/>
  <c r="K31" i="34" s="1"/>
  <c r="F24" i="25" s="1"/>
  <c r="I24" i="25" s="1"/>
  <c r="G170" i="13"/>
  <c r="H170" i="13" s="1"/>
  <c r="I170" i="13" s="1"/>
  <c r="J170" i="13" s="1"/>
  <c r="H176" i="34" s="1"/>
  <c r="I176" i="34" s="1"/>
  <c r="K176" i="34" s="1"/>
  <c r="F169" i="25" s="1"/>
  <c r="I169" i="25" s="1"/>
  <c r="G202" i="13"/>
  <c r="H202" i="13" s="1"/>
  <c r="I202" i="13" s="1"/>
  <c r="J202" i="13" s="1"/>
  <c r="G282" i="13"/>
  <c r="H282" i="13" s="1"/>
  <c r="I282" i="13" s="1"/>
  <c r="J282" i="13" s="1"/>
  <c r="H288" i="34" s="1"/>
  <c r="I288" i="34" s="1"/>
  <c r="K288" i="34" s="1"/>
  <c r="F281" i="25" s="1"/>
  <c r="I281" i="25" s="1"/>
  <c r="G188" i="13"/>
  <c r="H188" i="13" s="1"/>
  <c r="I188" i="13" s="1"/>
  <c r="J188" i="13" s="1"/>
  <c r="H194" i="34" s="1"/>
  <c r="I194" i="34" s="1"/>
  <c r="K194" i="34" s="1"/>
  <c r="F187" i="25" s="1"/>
  <c r="I187" i="25" s="1"/>
  <c r="G199" i="13"/>
  <c r="H199" i="13" s="1"/>
  <c r="I199" i="13" s="1"/>
  <c r="J199" i="13" s="1"/>
  <c r="H205" i="34" s="1"/>
  <c r="I205" i="34" s="1"/>
  <c r="K205" i="34" s="1"/>
  <c r="F198" i="25" s="1"/>
  <c r="I198" i="25" s="1"/>
  <c r="G24" i="13"/>
  <c r="H24" i="13" s="1"/>
  <c r="I24" i="13" s="1"/>
  <c r="J24" i="13" s="1"/>
  <c r="H30" i="34" s="1"/>
  <c r="I30" i="34" s="1"/>
  <c r="K30" i="34" s="1"/>
  <c r="F23" i="25" s="1"/>
  <c r="I23" i="25" s="1"/>
  <c r="G70" i="13"/>
  <c r="H70" i="13" s="1"/>
  <c r="I70" i="13" s="1"/>
  <c r="J70" i="13" s="1"/>
  <c r="H76" i="34" s="1"/>
  <c r="I76" i="34" s="1"/>
  <c r="K76" i="34" s="1"/>
  <c r="F69" i="25" s="1"/>
  <c r="I69" i="25" s="1"/>
  <c r="G82" i="13"/>
  <c r="H82" i="13" s="1"/>
  <c r="I82" i="13" s="1"/>
  <c r="J82" i="13" s="1"/>
  <c r="H88" i="34" s="1"/>
  <c r="I88" i="34" s="1"/>
  <c r="K88" i="34" s="1"/>
  <c r="F81" i="25" s="1"/>
  <c r="I81" i="25" s="1"/>
  <c r="G23" i="13"/>
  <c r="H23" i="13" s="1"/>
  <c r="I23" i="13" s="1"/>
  <c r="J23" i="13" s="1"/>
  <c r="H29" i="34" s="1"/>
  <c r="I29" i="34" s="1"/>
  <c r="K29" i="34" s="1"/>
  <c r="F22" i="25" s="1"/>
  <c r="I22" i="25" s="1"/>
  <c r="G45" i="13"/>
  <c r="H45" i="13" s="1"/>
  <c r="I45" i="13" s="1"/>
  <c r="J45" i="13" s="1"/>
  <c r="H51" i="34" s="1"/>
  <c r="I51" i="34" s="1"/>
  <c r="K51" i="34" s="1"/>
  <c r="F44" i="25" s="1"/>
  <c r="I44" i="25" s="1"/>
  <c r="G254" i="13"/>
  <c r="H254" i="13" s="1"/>
  <c r="I254" i="13" s="1"/>
  <c r="J254" i="13" s="1"/>
  <c r="H260" i="34" s="1"/>
  <c r="I260" i="34" s="1"/>
  <c r="K260" i="34" s="1"/>
  <c r="F253" i="25" s="1"/>
  <c r="I253" i="25" s="1"/>
  <c r="G163" i="13"/>
  <c r="H163" i="13" s="1"/>
  <c r="I163" i="13" s="1"/>
  <c r="J163" i="13" s="1"/>
  <c r="H169" i="34" s="1"/>
  <c r="I169" i="34" s="1"/>
  <c r="K169" i="34" s="1"/>
  <c r="F162" i="25" s="1"/>
  <c r="I162" i="25" s="1"/>
  <c r="G227" i="13"/>
  <c r="H227" i="13" s="1"/>
  <c r="I227" i="13" s="1"/>
  <c r="J227" i="13" s="1"/>
  <c r="H233" i="34" s="1"/>
  <c r="I233" i="34" s="1"/>
  <c r="K233" i="34" s="1"/>
  <c r="F226" i="25" s="1"/>
  <c r="I226" i="25" s="1"/>
  <c r="G145" i="13"/>
  <c r="H145" i="13" s="1"/>
  <c r="I145" i="13" s="1"/>
  <c r="J145" i="13" s="1"/>
  <c r="H151" i="34" s="1"/>
  <c r="I151" i="34" s="1"/>
  <c r="K151" i="34" s="1"/>
  <c r="F144" i="25" s="1"/>
  <c r="I144" i="25" s="1"/>
  <c r="G286" i="13"/>
  <c r="H286" i="13" s="1"/>
  <c r="I286" i="13" s="1"/>
  <c r="J286" i="13" s="1"/>
  <c r="H292" i="34" s="1"/>
  <c r="I292" i="34" s="1"/>
  <c r="K292" i="34" s="1"/>
  <c r="F285" i="25" s="1"/>
  <c r="I285" i="25" s="1"/>
  <c r="G196" i="13"/>
  <c r="H196" i="13" s="1"/>
  <c r="I196" i="13" s="1"/>
  <c r="J196" i="13" s="1"/>
  <c r="G260" i="13"/>
  <c r="H260" i="13" s="1"/>
  <c r="I260" i="13" s="1"/>
  <c r="J260" i="13" s="1"/>
  <c r="H266" i="34" s="1"/>
  <c r="I266" i="34" s="1"/>
  <c r="K266" i="34" s="1"/>
  <c r="F259" i="25" s="1"/>
  <c r="I259" i="25" s="1"/>
  <c r="G207" i="13"/>
  <c r="H207" i="13" s="1"/>
  <c r="I207" i="13" s="1"/>
  <c r="J207" i="13" s="1"/>
  <c r="H213" i="34" s="1"/>
  <c r="I213" i="34" s="1"/>
  <c r="K213" i="34" s="1"/>
  <c r="F206" i="25" s="1"/>
  <c r="I206" i="25" s="1"/>
  <c r="G8" i="13"/>
  <c r="H8" i="13" s="1"/>
  <c r="I8" i="13" s="1"/>
  <c r="J8" i="13" s="1"/>
  <c r="G15" i="13"/>
  <c r="H15" i="13" s="1"/>
  <c r="I15" i="13" s="1"/>
  <c r="J15" i="13" s="1"/>
  <c r="H21" i="34" s="1"/>
  <c r="I21" i="34" s="1"/>
  <c r="K21" i="34" s="1"/>
  <c r="F14" i="25" s="1"/>
  <c r="I14" i="25" s="1"/>
  <c r="G181" i="13"/>
  <c r="H181" i="13" s="1"/>
  <c r="I181" i="13" s="1"/>
  <c r="J181" i="13" s="1"/>
  <c r="H187" i="34" s="1"/>
  <c r="I187" i="34" s="1"/>
  <c r="K187" i="34" s="1"/>
  <c r="F180" i="25" s="1"/>
  <c r="I180" i="25" s="1"/>
  <c r="G109" i="13"/>
  <c r="H109" i="13" s="1"/>
  <c r="I109" i="13" s="1"/>
  <c r="J109" i="13" s="1"/>
  <c r="H115" i="34" s="1"/>
  <c r="I115" i="34" s="1"/>
  <c r="K115" i="34" s="1"/>
  <c r="F108" i="25" s="1"/>
  <c r="I108" i="25" s="1"/>
  <c r="G246" i="13"/>
  <c r="H246" i="13" s="1"/>
  <c r="I246" i="13" s="1"/>
  <c r="J246" i="13" s="1"/>
  <c r="H252" i="34" s="1"/>
  <c r="I252" i="34" s="1"/>
  <c r="K252" i="34" s="1"/>
  <c r="F245" i="25" s="1"/>
  <c r="I245" i="25" s="1"/>
  <c r="G235" i="13"/>
  <c r="H235" i="13" s="1"/>
  <c r="I235" i="13" s="1"/>
  <c r="J235" i="13" s="1"/>
  <c r="H241" i="34" s="1"/>
  <c r="I241" i="34" s="1"/>
  <c r="K241" i="34" s="1"/>
  <c r="F234" i="25" s="1"/>
  <c r="I234" i="25" s="1"/>
  <c r="G156" i="13"/>
  <c r="H156" i="13" s="1"/>
  <c r="I156" i="13" s="1"/>
  <c r="J156" i="13" s="1"/>
  <c r="H162" i="34" s="1"/>
  <c r="I162" i="34" s="1"/>
  <c r="K162" i="34" s="1"/>
  <c r="F155" i="25" s="1"/>
  <c r="I155" i="25" s="1"/>
  <c r="G261" i="13"/>
  <c r="H261" i="13" s="1"/>
  <c r="I261" i="13" s="1"/>
  <c r="J261" i="13" s="1"/>
  <c r="H267" i="34" s="1"/>
  <c r="I267" i="34" s="1"/>
  <c r="K267" i="34" s="1"/>
  <c r="F260" i="25" s="1"/>
  <c r="I260" i="25" s="1"/>
  <c r="G68" i="13"/>
  <c r="H68" i="13" s="1"/>
  <c r="I68" i="13" s="1"/>
  <c r="J68" i="13" s="1"/>
  <c r="H74" i="34" s="1"/>
  <c r="I74" i="34" s="1"/>
  <c r="K74" i="34" s="1"/>
  <c r="F67" i="25" s="1"/>
  <c r="I67" i="25" s="1"/>
  <c r="G42" i="13"/>
  <c r="H42" i="13" s="1"/>
  <c r="I42" i="13" s="1"/>
  <c r="J42" i="13" s="1"/>
  <c r="H48" i="34" s="1"/>
  <c r="I48" i="34" s="1"/>
  <c r="K48" i="34" s="1"/>
  <c r="F41" i="25" s="1"/>
  <c r="I41" i="25" s="1"/>
  <c r="G185" i="13"/>
  <c r="H185" i="13" s="1"/>
  <c r="I185" i="13" s="1"/>
  <c r="J185" i="13" s="1"/>
  <c r="H191" i="34" s="1"/>
  <c r="I191" i="34" s="1"/>
  <c r="K191" i="34" s="1"/>
  <c r="F184" i="25" s="1"/>
  <c r="I184" i="25" s="1"/>
  <c r="G97" i="13"/>
  <c r="H97" i="13" s="1"/>
  <c r="I97" i="13" s="1"/>
  <c r="J97" i="13" s="1"/>
  <c r="H103" i="34" s="1"/>
  <c r="I103" i="34" s="1"/>
  <c r="K103" i="34" s="1"/>
  <c r="F96" i="25" s="1"/>
  <c r="I96" i="25" s="1"/>
  <c r="G266" i="13"/>
  <c r="H266" i="13" s="1"/>
  <c r="I266" i="13" s="1"/>
  <c r="J266" i="13" s="1"/>
  <c r="H272" i="34" s="1"/>
  <c r="I272" i="34" s="1"/>
  <c r="K272" i="34" s="1"/>
  <c r="F265" i="25" s="1"/>
  <c r="I265" i="25" s="1"/>
  <c r="G287" i="13"/>
  <c r="H287" i="13" s="1"/>
  <c r="I287" i="13" s="1"/>
  <c r="J287" i="13" s="1"/>
  <c r="H293" i="34" s="1"/>
  <c r="I293" i="34" s="1"/>
  <c r="K293" i="34" s="1"/>
  <c r="F286" i="25" s="1"/>
  <c r="I286" i="25" s="1"/>
  <c r="G263" i="13"/>
  <c r="H263" i="13" s="1"/>
  <c r="I263" i="13" s="1"/>
  <c r="J263" i="13" s="1"/>
  <c r="H269" i="34" s="1"/>
  <c r="I269" i="34" s="1"/>
  <c r="K269" i="34" s="1"/>
  <c r="F262" i="25" s="1"/>
  <c r="I262" i="25" s="1"/>
  <c r="G173" i="13"/>
  <c r="H173" i="13" s="1"/>
  <c r="I173" i="13" s="1"/>
  <c r="J173" i="13" s="1"/>
  <c r="G213" i="13"/>
  <c r="H213" i="13" s="1"/>
  <c r="I213" i="13" s="1"/>
  <c r="J213" i="13" s="1"/>
  <c r="H219" i="34" s="1"/>
  <c r="I219" i="34" s="1"/>
  <c r="K219" i="34" s="1"/>
  <c r="F212" i="25" s="1"/>
  <c r="I212" i="25" s="1"/>
  <c r="G100" i="13"/>
  <c r="H100" i="13" s="1"/>
  <c r="I100" i="13" s="1"/>
  <c r="J100" i="13" s="1"/>
  <c r="G108" i="13"/>
  <c r="H108" i="13" s="1"/>
  <c r="I108" i="13" s="1"/>
  <c r="J108" i="13" s="1"/>
  <c r="G305" i="13"/>
  <c r="H305" i="13" s="1"/>
  <c r="I305" i="13" s="1"/>
  <c r="J305" i="13" s="1"/>
  <c r="G99" i="13"/>
  <c r="H99" i="13" s="1"/>
  <c r="I99" i="13" s="1"/>
  <c r="J99" i="13" s="1"/>
  <c r="H105" i="34" s="1"/>
  <c r="I105" i="34" s="1"/>
  <c r="K105" i="34" s="1"/>
  <c r="F98" i="25" s="1"/>
  <c r="I98" i="25" s="1"/>
  <c r="G87" i="13"/>
  <c r="H87" i="13" s="1"/>
  <c r="I87" i="13" s="1"/>
  <c r="J87" i="13" s="1"/>
  <c r="H93" i="34" s="1"/>
  <c r="I93" i="34" s="1"/>
  <c r="K93" i="34" s="1"/>
  <c r="F86" i="25" s="1"/>
  <c r="I86" i="25" s="1"/>
  <c r="G248" i="13"/>
  <c r="H248" i="13" s="1"/>
  <c r="I248" i="13" s="1"/>
  <c r="J248" i="13" s="1"/>
  <c r="H254" i="34" s="1"/>
  <c r="I254" i="34" s="1"/>
  <c r="K254" i="34" s="1"/>
  <c r="F247" i="25" s="1"/>
  <c r="I247" i="25" s="1"/>
  <c r="G301" i="13"/>
  <c r="H301" i="13" s="1"/>
  <c r="I301" i="13" s="1"/>
  <c r="J301" i="13" s="1"/>
  <c r="H307" i="34" s="1"/>
  <c r="I307" i="34" s="1"/>
  <c r="K307" i="34" s="1"/>
  <c r="F300" i="25" s="1"/>
  <c r="I300" i="25" s="1"/>
  <c r="G253" i="13"/>
  <c r="H253" i="13" s="1"/>
  <c r="I253" i="13" s="1"/>
  <c r="J253" i="13" s="1"/>
  <c r="H259" i="34" s="1"/>
  <c r="I259" i="34" s="1"/>
  <c r="K259" i="34" s="1"/>
  <c r="F252" i="25" s="1"/>
  <c r="I252" i="25" s="1"/>
  <c r="G85" i="13"/>
  <c r="H85" i="13" s="1"/>
  <c r="I85" i="13" s="1"/>
  <c r="J85" i="13" s="1"/>
  <c r="H91" i="34" s="1"/>
  <c r="I91" i="34" s="1"/>
  <c r="K91" i="34" s="1"/>
  <c r="F84" i="25" s="1"/>
  <c r="I84" i="25" s="1"/>
  <c r="G129" i="13"/>
  <c r="H129" i="13" s="1"/>
  <c r="I129" i="13" s="1"/>
  <c r="J129" i="13" s="1"/>
  <c r="G194" i="13"/>
  <c r="H194" i="13" s="1"/>
  <c r="I194" i="13" s="1"/>
  <c r="J194" i="13" s="1"/>
  <c r="H200" i="34" s="1"/>
  <c r="I200" i="34" s="1"/>
  <c r="K200" i="34" s="1"/>
  <c r="F193" i="25" s="1"/>
  <c r="I193" i="25" s="1"/>
  <c r="G164" i="13"/>
  <c r="H164" i="13" s="1"/>
  <c r="I164" i="13" s="1"/>
  <c r="J164" i="13" s="1"/>
  <c r="H170" i="34" s="1"/>
  <c r="I170" i="34" s="1"/>
  <c r="K170" i="34" s="1"/>
  <c r="F163" i="25" s="1"/>
  <c r="I163" i="25" s="1"/>
  <c r="G154" i="13"/>
  <c r="H154" i="13" s="1"/>
  <c r="I154" i="13" s="1"/>
  <c r="J154" i="13" s="1"/>
  <c r="H160" i="34" s="1"/>
  <c r="I160" i="34" s="1"/>
  <c r="K160" i="34" s="1"/>
  <c r="F153" i="25" s="1"/>
  <c r="I153" i="25" s="1"/>
  <c r="G67" i="13"/>
  <c r="H67" i="13" s="1"/>
  <c r="I67" i="13" s="1"/>
  <c r="J67" i="13" s="1"/>
  <c r="H73" i="34" s="1"/>
  <c r="I73" i="34" s="1"/>
  <c r="K73" i="34" s="1"/>
  <c r="F66" i="25" s="1"/>
  <c r="I66" i="25" s="1"/>
  <c r="G22" i="13"/>
  <c r="H22" i="13" s="1"/>
  <c r="I22" i="13" s="1"/>
  <c r="J22" i="13" s="1"/>
  <c r="H28" i="34" s="1"/>
  <c r="I28" i="34" s="1"/>
  <c r="K28" i="34" s="1"/>
  <c r="F21" i="25" s="1"/>
  <c r="I21" i="25" s="1"/>
  <c r="G119" i="13"/>
  <c r="H119" i="13" s="1"/>
  <c r="I119" i="13" s="1"/>
  <c r="J119" i="13" s="1"/>
  <c r="H125" i="34" s="1"/>
  <c r="I125" i="34" s="1"/>
  <c r="K125" i="34" s="1"/>
  <c r="F118" i="25" s="1"/>
  <c r="I118" i="25" s="1"/>
  <c r="G75" i="13"/>
  <c r="H75" i="13" s="1"/>
  <c r="I75" i="13" s="1"/>
  <c r="J75" i="13" s="1"/>
  <c r="H81" i="34" s="1"/>
  <c r="I81" i="34" s="1"/>
  <c r="K81" i="34" s="1"/>
  <c r="F74" i="25" s="1"/>
  <c r="I74" i="25" s="1"/>
  <c r="G53" i="13"/>
  <c r="H53" i="13" s="1"/>
  <c r="I53" i="13" s="1"/>
  <c r="J53" i="13" s="1"/>
  <c r="H59" i="34" s="1"/>
  <c r="I59" i="34" s="1"/>
  <c r="K59" i="34" s="1"/>
  <c r="F52" i="25" s="1"/>
  <c r="I52" i="25" s="1"/>
  <c r="G214" i="13"/>
  <c r="H214" i="13" s="1"/>
  <c r="I214" i="13" s="1"/>
  <c r="J214" i="13" s="1"/>
  <c r="H220" i="34" s="1"/>
  <c r="I220" i="34" s="1"/>
  <c r="K220" i="34" s="1"/>
  <c r="F213" i="25" s="1"/>
  <c r="I213" i="25" s="1"/>
  <c r="G187" i="13"/>
  <c r="H187" i="13" s="1"/>
  <c r="I187" i="13" s="1"/>
  <c r="J187" i="13" s="1"/>
  <c r="H193" i="34" s="1"/>
  <c r="I193" i="34" s="1"/>
  <c r="K193" i="34" s="1"/>
  <c r="F186" i="25" s="1"/>
  <c r="I186" i="25" s="1"/>
  <c r="G91" i="13"/>
  <c r="H91" i="13" s="1"/>
  <c r="I91" i="13" s="1"/>
  <c r="J91" i="13" s="1"/>
  <c r="G240" i="13"/>
  <c r="H240" i="13" s="1"/>
  <c r="I240" i="13" s="1"/>
  <c r="J240" i="13" s="1"/>
  <c r="H246" i="34" s="1"/>
  <c r="I246" i="34" s="1"/>
  <c r="K246" i="34" s="1"/>
  <c r="F239" i="25" s="1"/>
  <c r="I239" i="25" s="1"/>
  <c r="G193" i="13"/>
  <c r="H193" i="13" s="1"/>
  <c r="I193" i="13" s="1"/>
  <c r="J193" i="13" s="1"/>
  <c r="H199" i="34" s="1"/>
  <c r="I199" i="34" s="1"/>
  <c r="K199" i="34" s="1"/>
  <c r="F192" i="25" s="1"/>
  <c r="I192" i="25" s="1"/>
  <c r="G139" i="13"/>
  <c r="H139" i="13" s="1"/>
  <c r="I139" i="13" s="1"/>
  <c r="J139" i="13" s="1"/>
  <c r="H145" i="34" s="1"/>
  <c r="I145" i="34" s="1"/>
  <c r="K145" i="34" s="1"/>
  <c r="F138" i="25" s="1"/>
  <c r="I138" i="25" s="1"/>
  <c r="G143" i="13"/>
  <c r="H143" i="13" s="1"/>
  <c r="I143" i="13" s="1"/>
  <c r="J143" i="13" s="1"/>
  <c r="H149" i="34" s="1"/>
  <c r="I149" i="34" s="1"/>
  <c r="K149" i="34" s="1"/>
  <c r="F142" i="25" s="1"/>
  <c r="I142" i="25" s="1"/>
  <c r="G265" i="13"/>
  <c r="H265" i="13" s="1"/>
  <c r="I265" i="13" s="1"/>
  <c r="J265" i="13" s="1"/>
  <c r="H271" i="34" s="1"/>
  <c r="I271" i="34" s="1"/>
  <c r="K271" i="34" s="1"/>
  <c r="F264" i="25" s="1"/>
  <c r="I264" i="25" s="1"/>
  <c r="G120" i="13"/>
  <c r="H120" i="13" s="1"/>
  <c r="I120" i="13" s="1"/>
  <c r="J120" i="13" s="1"/>
  <c r="H126" i="34" s="1"/>
  <c r="I126" i="34" s="1"/>
  <c r="K126" i="34" s="1"/>
  <c r="F119" i="25" s="1"/>
  <c r="I119" i="25" s="1"/>
  <c r="G63" i="13"/>
  <c r="H63" i="13" s="1"/>
  <c r="I63" i="13" s="1"/>
  <c r="J63" i="13" s="1"/>
  <c r="H69" i="34" s="1"/>
  <c r="I69" i="34" s="1"/>
  <c r="K69" i="34" s="1"/>
  <c r="F62" i="25" s="1"/>
  <c r="I62" i="25" s="1"/>
  <c r="G177" i="13"/>
  <c r="H177" i="13" s="1"/>
  <c r="I177" i="13" s="1"/>
  <c r="J177" i="13" s="1"/>
  <c r="G297" i="13"/>
  <c r="H297" i="13" s="1"/>
  <c r="I297" i="13" s="1"/>
  <c r="J297" i="13" s="1"/>
  <c r="G218" i="13"/>
  <c r="H218" i="13" s="1"/>
  <c r="I218" i="13" s="1"/>
  <c r="J218" i="13" s="1"/>
  <c r="G95" i="13"/>
  <c r="H95" i="13" s="1"/>
  <c r="I95" i="13" s="1"/>
  <c r="J95" i="13" s="1"/>
  <c r="H101" i="34" s="1"/>
  <c r="I101" i="34" s="1"/>
  <c r="K101" i="34" s="1"/>
  <c r="F94" i="25" s="1"/>
  <c r="I94" i="25" s="1"/>
  <c r="G123" i="13"/>
  <c r="H123" i="13" s="1"/>
  <c r="I123" i="13" s="1"/>
  <c r="J123" i="13" s="1"/>
  <c r="H129" i="34" s="1"/>
  <c r="I129" i="34" s="1"/>
  <c r="K129" i="34" s="1"/>
  <c r="F122" i="25" s="1"/>
  <c r="I122" i="25" s="1"/>
  <c r="G146" i="13"/>
  <c r="H146" i="13" s="1"/>
  <c r="I146" i="13" s="1"/>
  <c r="J146" i="13" s="1"/>
  <c r="H152" i="34" s="1"/>
  <c r="I152" i="34" s="1"/>
  <c r="K152" i="34" s="1"/>
  <c r="F145" i="25" s="1"/>
  <c r="I145" i="25" s="1"/>
  <c r="G38" i="13"/>
  <c r="H38" i="13" s="1"/>
  <c r="I38" i="13" s="1"/>
  <c r="J38" i="13" s="1"/>
  <c r="H44" i="34" s="1"/>
  <c r="I44" i="34" s="1"/>
  <c r="K44" i="34" s="1"/>
  <c r="F37" i="25" s="1"/>
  <c r="I37" i="25" s="1"/>
  <c r="G71" i="13"/>
  <c r="H71" i="13" s="1"/>
  <c r="I71" i="13" s="1"/>
  <c r="J71" i="13" s="1"/>
  <c r="H77" i="34" s="1"/>
  <c r="I77" i="34" s="1"/>
  <c r="K77" i="34" s="1"/>
  <c r="F70" i="25" s="1"/>
  <c r="I70" i="25" s="1"/>
  <c r="G245" i="13"/>
  <c r="H245" i="13" s="1"/>
  <c r="I245" i="13" s="1"/>
  <c r="J245" i="13" s="1"/>
  <c r="H251" i="34" s="1"/>
  <c r="I251" i="34" s="1"/>
  <c r="K251" i="34" s="1"/>
  <c r="F244" i="25" s="1"/>
  <c r="I244" i="25" s="1"/>
  <c r="G249" i="13"/>
  <c r="H249" i="13" s="1"/>
  <c r="I249" i="13" s="1"/>
  <c r="J249" i="13" s="1"/>
  <c r="H255" i="34" s="1"/>
  <c r="I255" i="34" s="1"/>
  <c r="K255" i="34" s="1"/>
  <c r="F248" i="25" s="1"/>
  <c r="I248" i="25" s="1"/>
  <c r="G144" i="13"/>
  <c r="H144" i="13" s="1"/>
  <c r="I144" i="13" s="1"/>
  <c r="J144" i="13" s="1"/>
  <c r="H150" i="34" s="1"/>
  <c r="I150" i="34" s="1"/>
  <c r="K150" i="34" s="1"/>
  <c r="F143" i="25" s="1"/>
  <c r="I143" i="25" s="1"/>
  <c r="G52" i="13"/>
  <c r="H52" i="13" s="1"/>
  <c r="I52" i="13" s="1"/>
  <c r="J52" i="13" s="1"/>
  <c r="H58" i="34" s="1"/>
  <c r="I58" i="34" s="1"/>
  <c r="K58" i="34" s="1"/>
  <c r="F51" i="25" s="1"/>
  <c r="I51" i="25" s="1"/>
  <c r="G13" i="13"/>
  <c r="H13" i="13" s="1"/>
  <c r="I13" i="13" s="1"/>
  <c r="J13" i="13" s="1"/>
  <c r="G110" i="13"/>
  <c r="H110" i="13" s="1"/>
  <c r="I110" i="13" s="1"/>
  <c r="J110" i="13" s="1"/>
  <c r="H116" i="34" s="1"/>
  <c r="I116" i="34" s="1"/>
  <c r="K116" i="34" s="1"/>
  <c r="F109" i="25" s="1"/>
  <c r="I109" i="25" s="1"/>
  <c r="G158" i="13"/>
  <c r="H158" i="13" s="1"/>
  <c r="I158" i="13" s="1"/>
  <c r="J158" i="13" s="1"/>
  <c r="H164" i="34" s="1"/>
  <c r="I164" i="34" s="1"/>
  <c r="K164" i="34" s="1"/>
  <c r="F157" i="25" s="1"/>
  <c r="I157" i="25" s="1"/>
  <c r="G206" i="13"/>
  <c r="H206" i="13" s="1"/>
  <c r="I206" i="13" s="1"/>
  <c r="J206" i="13" s="1"/>
  <c r="H212" i="34" s="1"/>
  <c r="I212" i="34" s="1"/>
  <c r="K212" i="34" s="1"/>
  <c r="F205" i="25" s="1"/>
  <c r="I205" i="25" s="1"/>
  <c r="G195" i="13"/>
  <c r="H195" i="13" s="1"/>
  <c r="I195" i="13" s="1"/>
  <c r="J195" i="13" s="1"/>
  <c r="G259" i="13"/>
  <c r="H259" i="13" s="1"/>
  <c r="I259" i="13" s="1"/>
  <c r="J259" i="13" s="1"/>
  <c r="H265" i="34" s="1"/>
  <c r="I265" i="34" s="1"/>
  <c r="K265" i="34" s="1"/>
  <c r="F258" i="25" s="1"/>
  <c r="I258" i="25" s="1"/>
  <c r="G200" i="13"/>
  <c r="H200" i="13" s="1"/>
  <c r="I200" i="13" s="1"/>
  <c r="J200" i="13" s="1"/>
  <c r="H206" i="34" s="1"/>
  <c r="I206" i="34" s="1"/>
  <c r="K206" i="34" s="1"/>
  <c r="F199" i="25" s="1"/>
  <c r="I199" i="25" s="1"/>
  <c r="G150" i="13"/>
  <c r="H150" i="13" s="1"/>
  <c r="I150" i="13" s="1"/>
  <c r="J150" i="13" s="1"/>
  <c r="H156" i="34" s="1"/>
  <c r="I156" i="34" s="1"/>
  <c r="K156" i="34" s="1"/>
  <c r="F149" i="25" s="1"/>
  <c r="I149" i="25" s="1"/>
  <c r="G80" i="13"/>
  <c r="H80" i="13" s="1"/>
  <c r="I80" i="13" s="1"/>
  <c r="J80" i="13" s="1"/>
  <c r="H86" i="34" s="1"/>
  <c r="I86" i="34" s="1"/>
  <c r="K86" i="34" s="1"/>
  <c r="F79" i="25" s="1"/>
  <c r="I79" i="25" s="1"/>
  <c r="G124" i="13"/>
  <c r="H124" i="13" s="1"/>
  <c r="I124" i="13" s="1"/>
  <c r="J124" i="13" s="1"/>
  <c r="H130" i="34" s="1"/>
  <c r="I130" i="34" s="1"/>
  <c r="K130" i="34" s="1"/>
  <c r="F123" i="25" s="1"/>
  <c r="I123" i="25" s="1"/>
  <c r="G105" i="13"/>
  <c r="H105" i="13" s="1"/>
  <c r="I105" i="13" s="1"/>
  <c r="J105" i="13" s="1"/>
  <c r="H111" i="34" s="1"/>
  <c r="I111" i="34" s="1"/>
  <c r="K111" i="34" s="1"/>
  <c r="F104" i="25" s="1"/>
  <c r="I104" i="25" s="1"/>
  <c r="G178" i="13"/>
  <c r="H178" i="13" s="1"/>
  <c r="I178" i="13" s="1"/>
  <c r="J178" i="13" s="1"/>
  <c r="G258" i="13"/>
  <c r="H258" i="13" s="1"/>
  <c r="I258" i="13" s="1"/>
  <c r="J258" i="13" s="1"/>
  <c r="H264" i="34" s="1"/>
  <c r="I264" i="34" s="1"/>
  <c r="K264" i="34" s="1"/>
  <c r="F257" i="25" s="1"/>
  <c r="I257" i="25" s="1"/>
  <c r="G180" i="13"/>
  <c r="H180" i="13" s="1"/>
  <c r="I180" i="13" s="1"/>
  <c r="J180" i="13" s="1"/>
  <c r="H186" i="34" s="1"/>
  <c r="I186" i="34" s="1"/>
  <c r="K186" i="34" s="1"/>
  <c r="F179" i="25" s="1"/>
  <c r="I179" i="25" s="1"/>
  <c r="G228" i="13"/>
  <c r="H228" i="13" s="1"/>
  <c r="I228" i="13" s="1"/>
  <c r="J228" i="13" s="1"/>
  <c r="H234" i="34" s="1"/>
  <c r="I234" i="34" s="1"/>
  <c r="K234" i="34" s="1"/>
  <c r="F227" i="25" s="1"/>
  <c r="I227" i="25" s="1"/>
  <c r="G295" i="13"/>
  <c r="H295" i="13" s="1"/>
  <c r="I295" i="13" s="1"/>
  <c r="J295" i="13" s="1"/>
  <c r="H301" i="34" s="1"/>
  <c r="I301" i="34" s="1"/>
  <c r="K301" i="34" s="1"/>
  <c r="F294" i="25" s="1"/>
  <c r="I294" i="25" s="1"/>
  <c r="G223" i="13"/>
  <c r="H223" i="13" s="1"/>
  <c r="I223" i="13" s="1"/>
  <c r="J223" i="13" s="1"/>
  <c r="H229" i="34" s="1"/>
  <c r="I229" i="34" s="1"/>
  <c r="K229" i="34" s="1"/>
  <c r="F222" i="25" s="1"/>
  <c r="I222" i="25" s="1"/>
  <c r="G293" i="13"/>
  <c r="H293" i="13" s="1"/>
  <c r="I293" i="13" s="1"/>
  <c r="J293" i="13" s="1"/>
  <c r="H299" i="34" s="1"/>
  <c r="I299" i="34" s="1"/>
  <c r="K299" i="34" s="1"/>
  <c r="F292" i="25" s="1"/>
  <c r="I292" i="25" s="1"/>
  <c r="G72" i="13"/>
  <c r="H72" i="13" s="1"/>
  <c r="I72" i="13" s="1"/>
  <c r="J72" i="13" s="1"/>
  <c r="G136" i="13"/>
  <c r="H136" i="13" s="1"/>
  <c r="I136" i="13" s="1"/>
  <c r="J136" i="13" s="1"/>
  <c r="H142" i="34" s="1"/>
  <c r="I142" i="34" s="1"/>
  <c r="K142" i="34" s="1"/>
  <c r="F135" i="25" s="1"/>
  <c r="I135" i="25" s="1"/>
  <c r="G50" i="13"/>
  <c r="H50" i="13" s="1"/>
  <c r="I50" i="13" s="1"/>
  <c r="J50" i="13" s="1"/>
  <c r="H56" i="34" s="1"/>
  <c r="I56" i="34" s="1"/>
  <c r="K56" i="34" s="1"/>
  <c r="F49" i="25" s="1"/>
  <c r="I49" i="25" s="1"/>
  <c r="G76" i="13"/>
  <c r="H76" i="13" s="1"/>
  <c r="I76" i="13" s="1"/>
  <c r="J76" i="13" s="1"/>
  <c r="H82" i="34" s="1"/>
  <c r="I82" i="34" s="1"/>
  <c r="K82" i="34" s="1"/>
  <c r="F75" i="25" s="1"/>
  <c r="I75" i="25" s="1"/>
  <c r="G296" i="13"/>
  <c r="H296" i="13" s="1"/>
  <c r="I296" i="13" s="1"/>
  <c r="J296" i="13" s="1"/>
  <c r="H302" i="34" s="1"/>
  <c r="I302" i="34" s="1"/>
  <c r="K302" i="34" s="1"/>
  <c r="F295" i="25" s="1"/>
  <c r="I295" i="25" s="1"/>
  <c r="G128" i="13"/>
  <c r="H128" i="13" s="1"/>
  <c r="I128" i="13" s="1"/>
  <c r="J128" i="13" s="1"/>
  <c r="H134" i="34" s="1"/>
  <c r="I134" i="34" s="1"/>
  <c r="K134" i="34" s="1"/>
  <c r="F127" i="25" s="1"/>
  <c r="I127" i="25" s="1"/>
  <c r="G117" i="13"/>
  <c r="H117" i="13" s="1"/>
  <c r="I117" i="13" s="1"/>
  <c r="J117" i="13" s="1"/>
  <c r="H123" i="34" s="1"/>
  <c r="I123" i="34" s="1"/>
  <c r="K123" i="34" s="1"/>
  <c r="F116" i="25" s="1"/>
  <c r="I116" i="25" s="1"/>
  <c r="G278" i="13"/>
  <c r="H278" i="13" s="1"/>
  <c r="I278" i="13" s="1"/>
  <c r="J278" i="13" s="1"/>
  <c r="H284" i="34" s="1"/>
  <c r="I284" i="34" s="1"/>
  <c r="K284" i="34" s="1"/>
  <c r="F277" i="25" s="1"/>
  <c r="I277" i="25" s="1"/>
  <c r="G251" i="13"/>
  <c r="H251" i="13" s="1"/>
  <c r="I251" i="13" s="1"/>
  <c r="J251" i="13" s="1"/>
  <c r="H257" i="34" s="1"/>
  <c r="I257" i="34" s="1"/>
  <c r="K257" i="34" s="1"/>
  <c r="F250" i="25" s="1"/>
  <c r="I250" i="25" s="1"/>
  <c r="G160" i="13"/>
  <c r="H160" i="13" s="1"/>
  <c r="I160" i="13" s="1"/>
  <c r="J160" i="13" s="1"/>
  <c r="H166" i="34" s="1"/>
  <c r="I166" i="34" s="1"/>
  <c r="K166" i="34" s="1"/>
  <c r="F159" i="25" s="1"/>
  <c r="I159" i="25" s="1"/>
  <c r="G51" i="13"/>
  <c r="H51" i="13" s="1"/>
  <c r="I51" i="13" s="1"/>
  <c r="J51" i="13" s="1"/>
  <c r="H57" i="34" s="1"/>
  <c r="I57" i="34" s="1"/>
  <c r="K57" i="34" s="1"/>
  <c r="F50" i="25" s="1"/>
  <c r="I50" i="25" s="1"/>
  <c r="G142" i="13"/>
  <c r="H142" i="13" s="1"/>
  <c r="I142" i="13" s="1"/>
  <c r="J142" i="13" s="1"/>
  <c r="H148" i="34" s="1"/>
  <c r="I148" i="34" s="1"/>
  <c r="K148" i="34" s="1"/>
  <c r="F141" i="25" s="1"/>
  <c r="I141" i="25" s="1"/>
  <c r="G46" i="13"/>
  <c r="H46" i="13" s="1"/>
  <c r="I46" i="13" s="1"/>
  <c r="J46" i="13" s="1"/>
  <c r="H52" i="34" s="1"/>
  <c r="I52" i="34" s="1"/>
  <c r="K52" i="34" s="1"/>
  <c r="F45" i="25" s="1"/>
  <c r="I45" i="25" s="1"/>
  <c r="G130" i="13"/>
  <c r="H130" i="13" s="1"/>
  <c r="I130" i="13" s="1"/>
  <c r="J130" i="13" s="1"/>
  <c r="H136" i="34" s="1"/>
  <c r="I136" i="34" s="1"/>
  <c r="K136" i="34" s="1"/>
  <c r="F129" i="25" s="1"/>
  <c r="I129" i="25" s="1"/>
  <c r="G127" i="13"/>
  <c r="H127" i="13" s="1"/>
  <c r="I127" i="13" s="1"/>
  <c r="J127" i="13" s="1"/>
  <c r="H133" i="34" s="1"/>
  <c r="I133" i="34" s="1"/>
  <c r="K133" i="34" s="1"/>
  <c r="F126" i="25" s="1"/>
  <c r="I126" i="25" s="1"/>
  <c r="G36" i="13"/>
  <c r="H36" i="13" s="1"/>
  <c r="I36" i="13" s="1"/>
  <c r="J36" i="13" s="1"/>
  <c r="H42" i="34" s="1"/>
  <c r="I42" i="34" s="1"/>
  <c r="K42" i="34" s="1"/>
  <c r="F35" i="25" s="1"/>
  <c r="I35" i="25" s="1"/>
  <c r="G59" i="13"/>
  <c r="H59" i="13" s="1"/>
  <c r="I59" i="13" s="1"/>
  <c r="J59" i="13" s="1"/>
  <c r="H65" i="34" s="1"/>
  <c r="I65" i="34" s="1"/>
  <c r="K65" i="34" s="1"/>
  <c r="F58" i="25" s="1"/>
  <c r="I58" i="25" s="1"/>
  <c r="G107" i="13"/>
  <c r="H107" i="13" s="1"/>
  <c r="I107" i="13" s="1"/>
  <c r="J107" i="13" s="1"/>
  <c r="H113" i="34" s="1"/>
  <c r="I113" i="34" s="1"/>
  <c r="K113" i="34" s="1"/>
  <c r="F106" i="25" s="1"/>
  <c r="I106" i="25" s="1"/>
  <c r="G121" i="13"/>
  <c r="H121" i="13" s="1"/>
  <c r="I121" i="13" s="1"/>
  <c r="J121" i="13" s="1"/>
  <c r="H127" i="34" s="1"/>
  <c r="I127" i="34" s="1"/>
  <c r="K127" i="34" s="1"/>
  <c r="F120" i="25" s="1"/>
  <c r="I120" i="25" s="1"/>
  <c r="G157" i="13"/>
  <c r="H157" i="13" s="1"/>
  <c r="I157" i="13" s="1"/>
  <c r="J157" i="13" s="1"/>
  <c r="H163" i="34" s="1"/>
  <c r="I163" i="34" s="1"/>
  <c r="K163" i="34" s="1"/>
  <c r="F156" i="25" s="1"/>
  <c r="I156" i="25" s="1"/>
  <c r="G220" i="13"/>
  <c r="H220" i="13" s="1"/>
  <c r="I220" i="13" s="1"/>
  <c r="J220" i="13" s="1"/>
  <c r="H226" i="34" s="1"/>
  <c r="I226" i="34" s="1"/>
  <c r="K226" i="34" s="1"/>
  <c r="F219" i="25" s="1"/>
  <c r="I219" i="25" s="1"/>
  <c r="G215" i="13"/>
  <c r="H215" i="13" s="1"/>
  <c r="I215" i="13" s="1"/>
  <c r="J215" i="13" s="1"/>
  <c r="H221" i="34" s="1"/>
  <c r="I221" i="34" s="1"/>
  <c r="K221" i="34" s="1"/>
  <c r="F214" i="25" s="1"/>
  <c r="I214" i="25" s="1"/>
  <c r="G161" i="13"/>
  <c r="H161" i="13" s="1"/>
  <c r="I161" i="13" s="1"/>
  <c r="J161" i="13" s="1"/>
  <c r="H167" i="34" s="1"/>
  <c r="I167" i="34" s="1"/>
  <c r="K167" i="34" s="1"/>
  <c r="F160" i="25" s="1"/>
  <c r="I160" i="25" s="1"/>
  <c r="G92" i="13"/>
  <c r="H92" i="13" s="1"/>
  <c r="I92" i="13" s="1"/>
  <c r="J92" i="13" s="1"/>
  <c r="H98" i="34" s="1"/>
  <c r="I98" i="34" s="1"/>
  <c r="K98" i="34" s="1"/>
  <c r="F91" i="25" s="1"/>
  <c r="I91" i="25" s="1"/>
  <c r="G233" i="13"/>
  <c r="H233" i="13" s="1"/>
  <c r="I233" i="13" s="1"/>
  <c r="J233" i="13" s="1"/>
  <c r="H239" i="34" s="1"/>
  <c r="I239" i="34" s="1"/>
  <c r="K239" i="34" s="1"/>
  <c r="F232" i="25" s="1"/>
  <c r="I232" i="25" s="1"/>
  <c r="G151" i="13"/>
  <c r="H151" i="13" s="1"/>
  <c r="I151" i="13" s="1"/>
  <c r="J151" i="13" s="1"/>
  <c r="H157" i="34" s="1"/>
  <c r="I157" i="34" s="1"/>
  <c r="K157" i="34" s="1"/>
  <c r="F150" i="25" s="1"/>
  <c r="I150" i="25" s="1"/>
  <c r="G47" i="13"/>
  <c r="H47" i="13" s="1"/>
  <c r="I47" i="13" s="1"/>
  <c r="J47" i="13" s="1"/>
  <c r="H53" i="34" s="1"/>
  <c r="I53" i="34" s="1"/>
  <c r="K53" i="34" s="1"/>
  <c r="F46" i="25" s="1"/>
  <c r="I46" i="25" s="1"/>
  <c r="G115" i="13"/>
  <c r="H115" i="13" s="1"/>
  <c r="I115" i="13" s="1"/>
  <c r="J115" i="13" s="1"/>
  <c r="H121" i="34" s="1"/>
  <c r="I121" i="34" s="1"/>
  <c r="K121" i="34" s="1"/>
  <c r="F114" i="25" s="1"/>
  <c r="I114" i="25" s="1"/>
  <c r="G96" i="13"/>
  <c r="H96" i="13" s="1"/>
  <c r="I96" i="13" s="1"/>
  <c r="J96" i="13" s="1"/>
  <c r="H102" i="34" s="1"/>
  <c r="I102" i="34" s="1"/>
  <c r="K102" i="34" s="1"/>
  <c r="F95" i="25" s="1"/>
  <c r="I95" i="25" s="1"/>
  <c r="G221" i="13"/>
  <c r="H221" i="13" s="1"/>
  <c r="I221" i="13" s="1"/>
  <c r="J221" i="13" s="1"/>
  <c r="H227" i="34" s="1"/>
  <c r="I227" i="34" s="1"/>
  <c r="K227" i="34" s="1"/>
  <c r="F220" i="25" s="1"/>
  <c r="I220" i="25" s="1"/>
  <c r="G29" i="13"/>
  <c r="H29" i="13" s="1"/>
  <c r="I29" i="13" s="1"/>
  <c r="J29" i="13" s="1"/>
  <c r="H35" i="34" s="1"/>
  <c r="I35" i="34" s="1"/>
  <c r="K35" i="34" s="1"/>
  <c r="F28" i="25" s="1"/>
  <c r="I28" i="25" s="1"/>
  <c r="G141" i="13"/>
  <c r="H141" i="13" s="1"/>
  <c r="I141" i="13" s="1"/>
  <c r="J141" i="13" s="1"/>
  <c r="H147" i="34" s="1"/>
  <c r="I147" i="34" s="1"/>
  <c r="K147" i="34" s="1"/>
  <c r="F140" i="25" s="1"/>
  <c r="I140" i="25" s="1"/>
  <c r="G222" i="13"/>
  <c r="H222" i="13" s="1"/>
  <c r="I222" i="13" s="1"/>
  <c r="J222" i="13" s="1"/>
  <c r="H228" i="34" s="1"/>
  <c r="I228" i="34" s="1"/>
  <c r="K228" i="34" s="1"/>
  <c r="F221" i="25" s="1"/>
  <c r="I221" i="25" s="1"/>
  <c r="G179" i="13"/>
  <c r="H179" i="13" s="1"/>
  <c r="I179" i="13" s="1"/>
  <c r="J179" i="13" s="1"/>
  <c r="H185" i="34" s="1"/>
  <c r="I185" i="34" s="1"/>
  <c r="K185" i="34" s="1"/>
  <c r="F178" i="25" s="1"/>
  <c r="I178" i="25" s="1"/>
  <c r="G275" i="13"/>
  <c r="H275" i="13" s="1"/>
  <c r="I275" i="13" s="1"/>
  <c r="J275" i="13" s="1"/>
  <c r="H281" i="34" s="1"/>
  <c r="I281" i="34" s="1"/>
  <c r="K281" i="34" s="1"/>
  <c r="F274" i="25" s="1"/>
  <c r="I274" i="25" s="1"/>
  <c r="G216" i="13"/>
  <c r="H216" i="13" s="1"/>
  <c r="I216" i="13" s="1"/>
  <c r="J216" i="13" s="1"/>
  <c r="H222" i="34" s="1"/>
  <c r="I222" i="34" s="1"/>
  <c r="K222" i="34" s="1"/>
  <c r="F215" i="25" s="1"/>
  <c r="I215" i="25" s="1"/>
  <c r="G264" i="13"/>
  <c r="H264" i="13" s="1"/>
  <c r="I264" i="13" s="1"/>
  <c r="J264" i="13" s="1"/>
  <c r="H270" i="34" s="1"/>
  <c r="I270" i="34" s="1"/>
  <c r="K270" i="34" s="1"/>
  <c r="F263" i="25" s="1"/>
  <c r="I263" i="25" s="1"/>
  <c r="G48" i="13"/>
  <c r="H48" i="13" s="1"/>
  <c r="I48" i="13" s="1"/>
  <c r="J48" i="13" s="1"/>
  <c r="H54" i="34" s="1"/>
  <c r="I54" i="34" s="1"/>
  <c r="K54" i="34" s="1"/>
  <c r="F47" i="25" s="1"/>
  <c r="I47" i="25" s="1"/>
  <c r="G201" i="13"/>
  <c r="H201" i="13" s="1"/>
  <c r="I201" i="13" s="1"/>
  <c r="J201" i="13" s="1"/>
  <c r="H207" i="34" s="1"/>
  <c r="I207" i="34" s="1"/>
  <c r="K207" i="34" s="1"/>
  <c r="F200" i="25" s="1"/>
  <c r="I200" i="25" s="1"/>
  <c r="G62" i="13"/>
  <c r="H62" i="13" s="1"/>
  <c r="I62" i="13" s="1"/>
  <c r="J62" i="13" s="1"/>
  <c r="H68" i="34" s="1"/>
  <c r="I68" i="34" s="1"/>
  <c r="K68" i="34" s="1"/>
  <c r="F61" i="25" s="1"/>
  <c r="I61" i="25" s="1"/>
  <c r="H171" i="34"/>
  <c r="I171" i="34" s="1"/>
  <c r="K171" i="34" s="1"/>
  <c r="F164" i="25" s="1"/>
  <c r="I164" i="25" s="1"/>
  <c r="H140" i="34"/>
  <c r="I140" i="34" s="1"/>
  <c r="K140" i="34" s="1"/>
  <c r="F133" i="25" s="1"/>
  <c r="I133" i="25" s="1"/>
  <c r="H106" i="34"/>
  <c r="I106" i="34" s="1"/>
  <c r="K106" i="34" s="1"/>
  <c r="F99" i="25" s="1"/>
  <c r="I99" i="25" s="1"/>
  <c r="H60" i="34"/>
  <c r="I60" i="34" s="1"/>
  <c r="K60" i="34" s="1"/>
  <c r="F53" i="25" s="1"/>
  <c r="I53" i="25" s="1"/>
  <c r="H37" i="34"/>
  <c r="I37" i="34" s="1"/>
  <c r="K37" i="34" s="1"/>
  <c r="F30" i="25" s="1"/>
  <c r="I30" i="25" s="1"/>
  <c r="H80" i="34"/>
  <c r="I80" i="34" s="1"/>
  <c r="K80" i="34" s="1"/>
  <c r="F73" i="25" s="1"/>
  <c r="I73" i="25" s="1"/>
  <c r="H72" i="34"/>
  <c r="I72" i="34" s="1"/>
  <c r="K72" i="34" s="1"/>
  <c r="F65" i="25" s="1"/>
  <c r="I65" i="25" s="1"/>
  <c r="H224" i="34"/>
  <c r="I224" i="34" s="1"/>
  <c r="K224" i="34" s="1"/>
  <c r="F217" i="25" s="1"/>
  <c r="I217" i="25" s="1"/>
  <c r="H33" i="34"/>
  <c r="I33" i="34" s="1"/>
  <c r="K33" i="34" s="1"/>
  <c r="F26" i="25" s="1"/>
  <c r="I26" i="25" s="1"/>
  <c r="H175" i="34"/>
  <c r="I175" i="34" s="1"/>
  <c r="K175" i="34" s="1"/>
  <c r="F168" i="25" s="1"/>
  <c r="I168" i="25" s="1"/>
  <c r="H274" i="34"/>
  <c r="I274" i="34" s="1"/>
  <c r="K274" i="34" s="1"/>
  <c r="F267" i="25" s="1"/>
  <c r="I267" i="25" s="1"/>
  <c r="H231" i="34"/>
  <c r="I231" i="34" s="1"/>
  <c r="K231" i="34" s="1"/>
  <c r="F224" i="25" s="1"/>
  <c r="I224" i="25" s="1"/>
  <c r="H158" i="34"/>
  <c r="I158" i="34" s="1"/>
  <c r="K158" i="34" s="1"/>
  <c r="F151" i="25" s="1"/>
  <c r="I151" i="25" s="1"/>
  <c r="H112" i="34"/>
  <c r="I112" i="34" s="1"/>
  <c r="K112" i="34" s="1"/>
  <c r="F105" i="25" s="1"/>
  <c r="I105" i="25" s="1"/>
  <c r="H304" i="34"/>
  <c r="I304" i="34" s="1"/>
  <c r="K304" i="34" s="1"/>
  <c r="F297" i="25" s="1"/>
  <c r="I297" i="25" s="1"/>
  <c r="H303" i="34"/>
  <c r="I303" i="34" s="1"/>
  <c r="K303" i="34" s="1"/>
  <c r="F296" i="25" s="1"/>
  <c r="I296" i="25" s="1"/>
  <c r="H96" i="34"/>
  <c r="I96" i="34" s="1"/>
  <c r="K96" i="34" s="1"/>
  <c r="F89" i="25" s="1"/>
  <c r="I89" i="25" s="1"/>
  <c r="H49" i="34"/>
  <c r="I49" i="34" s="1"/>
  <c r="K49" i="34" s="1"/>
  <c r="F42" i="25" s="1"/>
  <c r="I42" i="25" s="1"/>
  <c r="H104" i="34"/>
  <c r="I104" i="34" s="1"/>
  <c r="K104" i="34" s="1"/>
  <c r="F97" i="25" s="1"/>
  <c r="I97" i="25" s="1"/>
  <c r="H36" i="34"/>
  <c r="I36" i="34" s="1"/>
  <c r="K36" i="34" s="1"/>
  <c r="F29" i="25" s="1"/>
  <c r="I29" i="25" s="1"/>
  <c r="H32" i="34"/>
  <c r="I32" i="34" s="1"/>
  <c r="K32" i="34" s="1"/>
  <c r="F25" i="25" s="1"/>
  <c r="I25" i="25" s="1"/>
  <c r="H25" i="34"/>
  <c r="I25" i="34" s="1"/>
  <c r="K25" i="34" s="1"/>
  <c r="F18" i="25" s="1"/>
  <c r="I18" i="25" s="1"/>
  <c r="H89" i="34"/>
  <c r="I89" i="34" s="1"/>
  <c r="K89" i="34" s="1"/>
  <c r="F82" i="25" s="1"/>
  <c r="I82" i="25" s="1"/>
  <c r="H188" i="34"/>
  <c r="I188" i="34" s="1"/>
  <c r="K188" i="34" s="1"/>
  <c r="F181" i="25" s="1"/>
  <c r="I181" i="25" s="1"/>
  <c r="H85" i="34"/>
  <c r="I85" i="34" s="1"/>
  <c r="K85" i="34" s="1"/>
  <c r="F78" i="25" s="1"/>
  <c r="I78" i="25" s="1"/>
  <c r="H168" i="34"/>
  <c r="I168" i="34" s="1"/>
  <c r="K168" i="34" s="1"/>
  <c r="F161" i="25" s="1"/>
  <c r="I161" i="25" s="1"/>
  <c r="H298" i="34"/>
  <c r="I298" i="34" s="1"/>
  <c r="K298" i="34" s="1"/>
  <c r="F291" i="25" s="1"/>
  <c r="I291" i="25" s="1"/>
  <c r="H190" i="34"/>
  <c r="I190" i="34" s="1"/>
  <c r="K190" i="34" s="1"/>
  <c r="F183" i="25" s="1"/>
  <c r="I183" i="25" s="1"/>
  <c r="H306" i="34"/>
  <c r="I306" i="34" s="1"/>
  <c r="K306" i="34" s="1"/>
  <c r="F299" i="25" s="1"/>
  <c r="I299" i="25" s="1"/>
  <c r="H230" i="34"/>
  <c r="I230" i="34" s="1"/>
  <c r="K230" i="34" s="1"/>
  <c r="F223" i="25" s="1"/>
  <c r="I223" i="25" s="1"/>
  <c r="H61" i="34"/>
  <c r="I61" i="34" s="1"/>
  <c r="K61" i="34" s="1"/>
  <c r="F54" i="25" s="1"/>
  <c r="I54" i="25" s="1"/>
  <c r="H75" i="34"/>
  <c r="I75" i="34" s="1"/>
  <c r="K75" i="34" s="1"/>
  <c r="F68" i="25" s="1"/>
  <c r="I68" i="25" s="1"/>
  <c r="H137" i="34"/>
  <c r="I137" i="34" s="1"/>
  <c r="K137" i="34" s="1"/>
  <c r="F130" i="25" s="1"/>
  <c r="I130" i="25" s="1"/>
  <c r="H146" i="34"/>
  <c r="I146" i="34" s="1"/>
  <c r="K146" i="34" s="1"/>
  <c r="F139" i="25" s="1"/>
  <c r="I139" i="25" s="1"/>
  <c r="H192" i="34"/>
  <c r="I192" i="34" s="1"/>
  <c r="K192" i="34" s="1"/>
  <c r="F185" i="25" s="1"/>
  <c r="I185" i="25" s="1"/>
  <c r="H236" i="34"/>
  <c r="I236" i="34" s="1"/>
  <c r="K236" i="34" s="1"/>
  <c r="F229" i="25" s="1"/>
  <c r="I229" i="25" s="1"/>
  <c r="H183" i="34"/>
  <c r="I183" i="34" s="1"/>
  <c r="K183" i="34" s="1"/>
  <c r="F176" i="25" s="1"/>
  <c r="I176" i="25" s="1"/>
  <c r="H118" i="34"/>
  <c r="I118" i="34" s="1"/>
  <c r="K118" i="34" s="1"/>
  <c r="F111" i="25" s="1"/>
  <c r="I111" i="25" s="1"/>
  <c r="H273" i="34"/>
  <c r="I273" i="34" s="1"/>
  <c r="K273" i="34" s="1"/>
  <c r="F266" i="25" s="1"/>
  <c r="I266" i="25" s="1"/>
  <c r="H275" i="34"/>
  <c r="I275" i="34" s="1"/>
  <c r="K275" i="34" s="1"/>
  <c r="F268" i="25" s="1"/>
  <c r="I268" i="25" s="1"/>
  <c r="H244" i="34"/>
  <c r="I244" i="34" s="1"/>
  <c r="K244" i="34" s="1"/>
  <c r="F237" i="25" s="1"/>
  <c r="I237" i="25" s="1"/>
  <c r="H202" i="34"/>
  <c r="I202" i="34" s="1"/>
  <c r="K202" i="34" s="1"/>
  <c r="F195" i="25" s="1"/>
  <c r="I195" i="25" s="1"/>
  <c r="H135" i="34"/>
  <c r="I135" i="34" s="1"/>
  <c r="K135" i="34" s="1"/>
  <c r="F128" i="25" s="1"/>
  <c r="I128" i="25" s="1"/>
  <c r="H196" i="34"/>
  <c r="I196" i="34" s="1"/>
  <c r="K196" i="34" s="1"/>
  <c r="F189" i="25" s="1"/>
  <c r="I189" i="25" s="1"/>
  <c r="H240" i="34"/>
  <c r="I240" i="34" s="1"/>
  <c r="K240" i="34" s="1"/>
  <c r="F233" i="25" s="1"/>
  <c r="I233" i="25" s="1"/>
  <c r="H248" i="34"/>
  <c r="I248" i="34" s="1"/>
  <c r="K248" i="34" s="1"/>
  <c r="F241" i="25" s="1"/>
  <c r="I241" i="25" s="1"/>
  <c r="H184" i="34"/>
  <c r="I184" i="34" s="1"/>
  <c r="K184" i="34" s="1"/>
  <c r="F177" i="25" s="1"/>
  <c r="I177" i="25" s="1"/>
  <c r="H300" i="34"/>
  <c r="I300" i="34" s="1"/>
  <c r="K300" i="34" s="1"/>
  <c r="F293" i="25" s="1"/>
  <c r="I293" i="25" s="1"/>
  <c r="H296" i="34"/>
  <c r="I296" i="34" s="1"/>
  <c r="K296" i="34" s="1"/>
  <c r="F289" i="25" s="1"/>
  <c r="I289" i="25" s="1"/>
  <c r="H225" i="34"/>
  <c r="I225" i="34" s="1"/>
  <c r="K225" i="34" s="1"/>
  <c r="F218" i="25" s="1"/>
  <c r="I218" i="25" s="1"/>
  <c r="H223" i="34"/>
  <c r="I223" i="34" s="1"/>
  <c r="K223" i="34" s="1"/>
  <c r="F216" i="25" s="1"/>
  <c r="I216" i="25" s="1"/>
  <c r="H120" i="34"/>
  <c r="I120" i="34" s="1"/>
  <c r="K120" i="34" s="1"/>
  <c r="F113" i="25" s="1"/>
  <c r="I113" i="25" s="1"/>
  <c r="H250" i="34"/>
  <c r="I250" i="34" s="1"/>
  <c r="K250" i="34" s="1"/>
  <c r="F243" i="25" s="1"/>
  <c r="I243" i="25" s="1"/>
  <c r="H122" i="34"/>
  <c r="I122" i="34" s="1"/>
  <c r="K122" i="34" s="1"/>
  <c r="F115" i="25" s="1"/>
  <c r="I115" i="25" s="1"/>
  <c r="H22" i="34"/>
  <c r="I22" i="34" s="1"/>
  <c r="K22" i="34" s="1"/>
  <c r="F15" i="25" s="1"/>
  <c r="I15" i="25" s="1"/>
  <c r="H131" i="34"/>
  <c r="I131" i="34" s="1"/>
  <c r="K131" i="34" s="1"/>
  <c r="F124" i="25" s="1"/>
  <c r="I124" i="25" s="1"/>
  <c r="H237" i="34"/>
  <c r="I237" i="34" s="1"/>
  <c r="K237" i="34" s="1"/>
  <c r="F230" i="25" s="1"/>
  <c r="I230" i="25" s="1"/>
  <c r="H71" i="34"/>
  <c r="I71" i="34" s="1"/>
  <c r="K71" i="34" s="1"/>
  <c r="F64" i="25" s="1"/>
  <c r="I64" i="25" s="1"/>
  <c r="H45" i="34"/>
  <c r="I45" i="34" s="1"/>
  <c r="K45" i="34" s="1"/>
  <c r="F38" i="25" s="1"/>
  <c r="I38" i="25" s="1"/>
  <c r="H47" i="34"/>
  <c r="I47" i="34" s="1"/>
  <c r="K47" i="34" s="1"/>
  <c r="F40" i="25" s="1"/>
  <c r="I40" i="25" s="1"/>
  <c r="H203" i="34"/>
  <c r="I203" i="34" s="1"/>
  <c r="K203" i="34" s="1"/>
  <c r="F196" i="25" s="1"/>
  <c r="I196" i="25" s="1"/>
  <c r="H208" i="34"/>
  <c r="I208" i="34" s="1"/>
  <c r="K208" i="34" s="1"/>
  <c r="F201" i="25" s="1"/>
  <c r="I201" i="25" s="1"/>
  <c r="H201" i="34"/>
  <c r="I201" i="34" s="1"/>
  <c r="K201" i="34" s="1"/>
  <c r="F194" i="25" s="1"/>
  <c r="I194" i="25" s="1"/>
  <c r="H297" i="34"/>
  <c r="I297" i="34" s="1"/>
  <c r="K297" i="34" s="1"/>
  <c r="F290" i="25" s="1"/>
  <c r="I290" i="25" s="1"/>
  <c r="H128" i="34"/>
  <c r="I128" i="34" s="1"/>
  <c r="K128" i="34" s="1"/>
  <c r="F121" i="25" s="1"/>
  <c r="I121" i="25" s="1"/>
  <c r="H189" i="34"/>
  <c r="I189" i="34" s="1"/>
  <c r="K189" i="34" s="1"/>
  <c r="F182" i="25" s="1"/>
  <c r="I182" i="25" s="1"/>
  <c r="H114" i="34"/>
  <c r="I114" i="34" s="1"/>
  <c r="K114" i="34" s="1"/>
  <c r="F107" i="25" s="1"/>
  <c r="I107" i="25" s="1"/>
  <c r="H23" i="34"/>
  <c r="I23" i="34" s="1"/>
  <c r="K23" i="34" s="1"/>
  <c r="F16" i="25" s="1"/>
  <c r="I16" i="25" s="1"/>
  <c r="H63" i="34"/>
  <c r="I63" i="34" s="1"/>
  <c r="K63" i="34" s="1"/>
  <c r="F56" i="25" s="1"/>
  <c r="I56" i="25" s="1"/>
  <c r="H216" i="34"/>
  <c r="I216" i="34" s="1"/>
  <c r="K216" i="34" s="1"/>
  <c r="F209" i="25" s="1"/>
  <c r="I209" i="25" s="1"/>
  <c r="H138" i="34"/>
  <c r="I138" i="34" s="1"/>
  <c r="K138" i="34" s="1"/>
  <c r="F131" i="25" s="1"/>
  <c r="I131" i="25" s="1"/>
  <c r="H97" i="34"/>
  <c r="I97" i="34" s="1"/>
  <c r="K97" i="34" s="1"/>
  <c r="F90" i="25" s="1"/>
  <c r="I90" i="25" s="1"/>
  <c r="H180" i="34"/>
  <c r="I180" i="34" s="1"/>
  <c r="K180" i="34" s="1"/>
  <c r="F173" i="25" s="1"/>
  <c r="I173" i="25" s="1"/>
  <c r="H39" i="34"/>
  <c r="I39" i="34" s="1"/>
  <c r="K39" i="34" s="1"/>
  <c r="F32" i="25" s="1"/>
  <c r="I32" i="25" s="1"/>
  <c r="H195" i="34"/>
  <c r="I195" i="34" s="1"/>
  <c r="K195" i="34" s="1"/>
  <c r="F188" i="25" s="1"/>
  <c r="I188" i="25" s="1"/>
  <c r="H247" i="34"/>
  <c r="I247" i="34" s="1"/>
  <c r="K247" i="34" s="1"/>
  <c r="F240" i="25" s="1"/>
  <c r="I240" i="25" s="1"/>
  <c r="H218" i="34"/>
  <c r="I218" i="34" s="1"/>
  <c r="K218" i="34" s="1"/>
  <c r="F211" i="25" s="1"/>
  <c r="I211" i="25" s="1"/>
  <c r="H159" i="34"/>
  <c r="I159" i="34" s="1"/>
  <c r="K159" i="34" s="1"/>
  <c r="F152" i="25" s="1"/>
  <c r="I152" i="25" s="1"/>
  <c r="J6" i="12"/>
  <c r="K6" i="12" s="1"/>
  <c r="H38" i="34" l="1"/>
  <c r="I38" i="34" s="1"/>
  <c r="K38" i="34" s="1"/>
  <c r="F31" i="25" s="1"/>
  <c r="I31" i="25" s="1"/>
  <c r="H179" i="34"/>
  <c r="I179" i="34" s="1"/>
  <c r="K179" i="34" s="1"/>
  <c r="F172" i="25" s="1"/>
  <c r="I172" i="25" s="1"/>
  <c r="H245" i="34"/>
  <c r="I245" i="34" s="1"/>
  <c r="K245" i="34" s="1"/>
  <c r="F238" i="25" s="1"/>
  <c r="I238" i="25" s="1"/>
  <c r="H78" i="34"/>
  <c r="I78" i="34" s="1"/>
  <c r="K78" i="34" s="1"/>
  <c r="F71" i="25" s="1"/>
  <c r="I71" i="25" s="1"/>
  <c r="F201" i="54"/>
  <c r="F63" i="54"/>
  <c r="F100" i="54"/>
  <c r="F47" i="54"/>
  <c r="F131" i="54"/>
  <c r="F279" i="54"/>
  <c r="F31" i="54"/>
  <c r="F103" i="54"/>
  <c r="F228" i="54"/>
  <c r="F247" i="54"/>
  <c r="F133" i="54"/>
  <c r="F40" i="54"/>
  <c r="F167" i="54"/>
  <c r="F73" i="54"/>
  <c r="F157" i="54"/>
  <c r="F136" i="54"/>
  <c r="F223" i="54"/>
  <c r="F110" i="54"/>
  <c r="F299" i="54"/>
  <c r="F141" i="54"/>
  <c r="F127" i="54"/>
  <c r="F159" i="54"/>
  <c r="F296" i="54"/>
  <c r="F22" i="54"/>
  <c r="F27" i="54"/>
  <c r="F235" i="54"/>
  <c r="F130" i="54"/>
  <c r="F94" i="54"/>
  <c r="F158" i="54"/>
  <c r="F101" i="54"/>
  <c r="F300" i="54"/>
  <c r="F289" i="54"/>
  <c r="F118" i="54"/>
  <c r="F165" i="54"/>
  <c r="F92" i="54"/>
  <c r="F79" i="54"/>
  <c r="F26" i="54"/>
  <c r="F59" i="54"/>
  <c r="F43" i="54"/>
  <c r="F163" i="54"/>
  <c r="H310" i="34"/>
  <c r="I310" i="34" s="1"/>
  <c r="K310" i="34" s="1"/>
  <c r="F303" i="25" s="1"/>
  <c r="I303" i="25" s="1"/>
  <c r="H311" i="34"/>
  <c r="I311" i="34" s="1"/>
  <c r="K311" i="34" s="1"/>
  <c r="F304" i="25" s="1"/>
  <c r="I304" i="25" s="1"/>
  <c r="H16" i="34"/>
  <c r="I16" i="34" s="1"/>
  <c r="K16" i="34" s="1"/>
  <c r="F9" i="25" s="1"/>
  <c r="I9" i="25" s="1"/>
  <c r="H17" i="34"/>
  <c r="I17" i="34" s="1"/>
  <c r="K17" i="34" s="1"/>
  <c r="F10" i="25" s="1"/>
  <c r="I10" i="25" s="1"/>
  <c r="H19" i="34"/>
  <c r="I19" i="34" s="1"/>
  <c r="K19" i="34" s="1"/>
  <c r="F12" i="25" s="1"/>
  <c r="I12" i="25" s="1"/>
  <c r="H14" i="34"/>
  <c r="I14" i="34" s="1"/>
  <c r="K14" i="34" s="1"/>
  <c r="F7" i="25" s="1"/>
  <c r="I7" i="25" s="1"/>
  <c r="H18" i="34"/>
  <c r="I18" i="34" s="1"/>
  <c r="K18" i="34" s="1"/>
  <c r="F11" i="25" s="1"/>
  <c r="I11" i="25" s="1"/>
  <c r="H13" i="34"/>
  <c r="I13" i="34" s="1"/>
  <c r="K13" i="34" s="1"/>
  <c r="F6" i="25" s="1"/>
  <c r="I6" i="25" s="1"/>
  <c r="H15" i="34"/>
  <c r="I15" i="34" s="1"/>
  <c r="K15" i="34" s="1"/>
  <c r="F8" i="25" s="1"/>
  <c r="I8" i="25" s="1"/>
  <c r="H20" i="34"/>
  <c r="I20" i="34" s="1"/>
  <c r="K20" i="34" s="1"/>
  <c r="F13" i="25" s="1"/>
  <c r="I13" i="25" s="1"/>
  <c r="E37" i="48"/>
  <c r="K306" i="12"/>
  <c r="G6" i="39"/>
  <c r="H6" i="39" s="1"/>
  <c r="F196" i="54" l="1"/>
  <c r="F268" i="54"/>
  <c r="F106" i="54"/>
  <c r="F36" i="54"/>
  <c r="F54" i="54"/>
  <c r="F65" i="54"/>
  <c r="F78" i="54"/>
  <c r="F76" i="54"/>
  <c r="F199" i="54"/>
  <c r="F248" i="54"/>
  <c r="F74" i="54"/>
  <c r="F274" i="54"/>
  <c r="F219" i="54"/>
  <c r="F148" i="54"/>
  <c r="F30" i="54"/>
  <c r="F272" i="54"/>
  <c r="F48" i="54"/>
  <c r="F86" i="54"/>
  <c r="F66" i="54"/>
  <c r="F226" i="54"/>
  <c r="F255" i="54"/>
  <c r="F302" i="54"/>
  <c r="F218" i="54"/>
  <c r="F28" i="54"/>
  <c r="F233" i="54"/>
  <c r="F287" i="54"/>
  <c r="F134" i="54"/>
  <c r="F283" i="54"/>
  <c r="F32" i="54"/>
  <c r="F72" i="54"/>
  <c r="F173" i="54"/>
  <c r="F239" i="54"/>
  <c r="F161" i="54"/>
  <c r="F294" i="54"/>
  <c r="F169" i="54"/>
  <c r="F75" i="54"/>
  <c r="F51" i="54"/>
  <c r="F80" i="54"/>
  <c r="F168" i="54"/>
  <c r="F182" i="54"/>
  <c r="F145" i="54"/>
  <c r="F179" i="54"/>
  <c r="F60" i="54"/>
  <c r="F140" i="54"/>
  <c r="F198" i="54"/>
  <c r="F90" i="54"/>
  <c r="F21" i="54"/>
  <c r="F224" i="54"/>
  <c r="F170" i="54"/>
  <c r="F249" i="54"/>
  <c r="F152" i="54"/>
  <c r="F116" i="54"/>
  <c r="F34" i="54"/>
  <c r="F56" i="54"/>
  <c r="F109" i="54"/>
  <c r="F225" i="54"/>
  <c r="F105" i="54"/>
  <c r="F164" i="54"/>
  <c r="F193" i="54"/>
  <c r="F297" i="54"/>
  <c r="F102" i="54"/>
  <c r="F292" i="54"/>
  <c r="F70" i="54"/>
  <c r="F285" i="54"/>
  <c r="F88" i="54"/>
  <c r="F166" i="54"/>
  <c r="F98" i="54"/>
  <c r="F120" i="54"/>
  <c r="F99" i="54"/>
  <c r="F62" i="54"/>
  <c r="F77" i="54"/>
  <c r="F273" i="54"/>
  <c r="F81" i="54"/>
  <c r="F187" i="54"/>
  <c r="F68" i="54"/>
  <c r="F275" i="54"/>
  <c r="F119" i="54"/>
  <c r="F38" i="54"/>
  <c r="F20" i="54"/>
  <c r="F52" i="54"/>
  <c r="F50" i="54"/>
  <c r="F298" i="54"/>
  <c r="F67" i="54"/>
  <c r="F129" i="54"/>
  <c r="F277" i="54"/>
  <c r="F227" i="54"/>
  <c r="F191" i="54"/>
  <c r="F175" i="54"/>
  <c r="F251" i="54"/>
  <c r="F207" i="54"/>
  <c r="F242" i="54"/>
  <c r="F276" i="54"/>
  <c r="F192" i="54"/>
  <c r="F113" i="54"/>
  <c r="F83" i="54"/>
  <c r="F214" i="54"/>
  <c r="F104" i="54"/>
  <c r="F262" i="54"/>
  <c r="F149" i="54"/>
  <c r="F82" i="54"/>
  <c r="F265" i="54"/>
  <c r="F123" i="54"/>
  <c r="F243" i="54"/>
  <c r="F154" i="54"/>
  <c r="F155" i="54"/>
  <c r="F230" i="54"/>
  <c r="F263" i="54"/>
  <c r="F138" i="54"/>
  <c r="F246" i="54"/>
  <c r="F126" i="54"/>
  <c r="F204" i="54"/>
  <c r="F222" i="54"/>
  <c r="F220" i="54"/>
  <c r="F42" i="54"/>
  <c r="F288" i="54"/>
  <c r="F205" i="54"/>
  <c r="F259" i="54"/>
  <c r="F185" i="54"/>
  <c r="F16" i="54"/>
  <c r="F45" i="54"/>
  <c r="F188" i="54"/>
  <c r="F33" i="54"/>
  <c r="F252" i="54"/>
  <c r="F232" i="54"/>
  <c r="F128" i="54"/>
  <c r="F41" i="54"/>
  <c r="F282" i="54"/>
  <c r="F212" i="54"/>
  <c r="F24" i="54"/>
  <c r="F253" i="54"/>
  <c r="F215" i="54"/>
  <c r="F217" i="54"/>
  <c r="F49" i="54"/>
  <c r="F257" i="54"/>
  <c r="F186" i="54"/>
  <c r="F183" i="54"/>
  <c r="F190" i="54"/>
  <c r="F156" i="54"/>
  <c r="F18" i="54"/>
  <c r="F266" i="54"/>
  <c r="F194" i="54"/>
  <c r="F264" i="54"/>
  <c r="F301" i="54"/>
  <c r="F267" i="54"/>
  <c r="F278" i="54"/>
  <c r="F256" i="54"/>
  <c r="F200" i="54"/>
  <c r="F29" i="54"/>
  <c r="F229" i="54"/>
  <c r="F269" i="54"/>
  <c r="F171" i="54"/>
  <c r="F174" i="54"/>
  <c r="F250" i="54"/>
  <c r="F181" i="54"/>
  <c r="F162" i="54"/>
  <c r="F19" i="54"/>
  <c r="F151" i="54"/>
  <c r="F211" i="54"/>
  <c r="F17" i="54"/>
  <c r="F195" i="54"/>
  <c r="F241" i="54"/>
  <c r="F209" i="54"/>
  <c r="F303" i="54"/>
  <c r="F176" i="54"/>
  <c r="F108" i="54"/>
  <c r="F132" i="54"/>
  <c r="F184" i="54"/>
  <c r="F144" i="54"/>
  <c r="F58" i="54"/>
  <c r="F238" i="54"/>
  <c r="F97" i="54"/>
  <c r="F240" i="54"/>
  <c r="F122" i="54"/>
  <c r="F84" i="54"/>
  <c r="F295" i="54"/>
  <c r="F53" i="54"/>
  <c r="F210" i="54"/>
  <c r="F15" i="54"/>
  <c r="F203" i="54"/>
  <c r="F221" i="54"/>
  <c r="F216" i="54"/>
  <c r="F147" i="54"/>
  <c r="F245" i="54"/>
  <c r="F121" i="54"/>
  <c r="F160" i="54"/>
  <c r="F61" i="54"/>
  <c r="F271" i="54"/>
  <c r="F125" i="54"/>
  <c r="F137" i="54"/>
  <c r="F231" i="54"/>
  <c r="F153" i="54"/>
  <c r="F177" i="54"/>
  <c r="F135" i="54"/>
  <c r="F270" i="54"/>
  <c r="F146" i="54"/>
  <c r="F142" i="54"/>
  <c r="F46" i="54"/>
  <c r="F57" i="54"/>
  <c r="F284" i="54"/>
  <c r="F213" i="54"/>
  <c r="F64" i="54"/>
  <c r="F258" i="54"/>
  <c r="F280" i="54"/>
  <c r="F286" i="54"/>
  <c r="F261" i="54"/>
  <c r="F95" i="54"/>
  <c r="F236" i="54"/>
  <c r="F234" i="54"/>
  <c r="F293" i="54"/>
  <c r="F85" i="54"/>
  <c r="F150" i="54"/>
  <c r="F291" i="54"/>
  <c r="F39" i="54"/>
  <c r="F290" i="54"/>
  <c r="F254" i="54"/>
  <c r="F89" i="54"/>
  <c r="F139" i="54"/>
  <c r="F124" i="54"/>
  <c r="F69" i="54"/>
  <c r="F44" i="54"/>
  <c r="F117" i="54"/>
  <c r="F115" i="54"/>
  <c r="F112" i="54"/>
  <c r="F114" i="54"/>
  <c r="F23" i="54"/>
  <c r="F143" i="54"/>
  <c r="F35" i="54"/>
  <c r="F197" i="54"/>
  <c r="F111" i="54"/>
  <c r="F237" i="54"/>
  <c r="F208" i="54"/>
  <c r="F244" i="54"/>
  <c r="F189" i="54"/>
  <c r="F71" i="54"/>
  <c r="F206" i="54"/>
  <c r="F25" i="54"/>
  <c r="F281" i="54"/>
  <c r="F172" i="54"/>
  <c r="F96" i="54"/>
  <c r="F87" i="54"/>
  <c r="F180" i="54"/>
  <c r="F37" i="54"/>
  <c r="F55" i="54"/>
  <c r="F107" i="54"/>
  <c r="F178" i="54"/>
  <c r="F260" i="54"/>
  <c r="F202" i="54"/>
  <c r="F93" i="54"/>
  <c r="F91" i="54"/>
  <c r="I6" i="39"/>
  <c r="G6" i="13" s="1"/>
  <c r="H6" i="13" s="1"/>
  <c r="I6" i="13" s="1"/>
  <c r="J6" i="13" s="1"/>
  <c r="F304" i="54" l="1"/>
  <c r="F12" i="54"/>
  <c r="F7" i="54"/>
  <c r="F13" i="54"/>
  <c r="F305" i="54"/>
  <c r="F8" i="54"/>
  <c r="F10" i="54"/>
  <c r="F14" i="54"/>
  <c r="F9" i="54"/>
  <c r="F11" i="54"/>
  <c r="E39" i="48"/>
  <c r="E38" i="48"/>
  <c r="H12" i="34"/>
  <c r="I306" i="39"/>
  <c r="F39" i="48" l="1"/>
  <c r="F43" i="48" s="1"/>
  <c r="I12" i="34"/>
  <c r="G306" i="13"/>
  <c r="H306" i="13" s="1"/>
  <c r="F54" i="48" l="1"/>
  <c r="K12" i="34"/>
  <c r="F5" i="25" s="1"/>
  <c r="F6" i="54" s="1"/>
  <c r="J306" i="13"/>
  <c r="E59" i="48" l="1"/>
  <c r="C59" i="48" s="1"/>
  <c r="I5" i="25"/>
  <c r="F60" i="48"/>
  <c r="C60" i="48" s="1"/>
  <c r="H312" i="34"/>
  <c r="D50" i="40" l="1"/>
  <c r="C50" i="40" s="1"/>
  <c r="H11" i="34"/>
  <c r="I312" i="34"/>
  <c r="F306" i="54" l="1"/>
  <c r="I11" i="34"/>
  <c r="K312" i="34"/>
  <c r="F305" i="25"/>
  <c r="I305" i="2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Brochet Antoine</author>
  </authors>
  <commentList>
    <comment ref="C3" authorId="0" shapeId="0" xr:uid="{55CDA886-B582-406A-8FE9-6E2C56110B9C}">
      <text>
        <r>
          <rPr>
            <sz val="9"/>
            <color indexed="81"/>
            <rFont val="Tahoma"/>
            <family val="2"/>
          </rPr>
          <t>Veuillez indiquer le nom de la commune</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Cappelletti Fabio</author>
  </authors>
  <commentList>
    <comment ref="I4" authorId="0" shapeId="0" xr:uid="{656BD7C7-68AF-4D04-8DF9-470D7B173C07}">
      <text>
        <r>
          <rPr>
            <sz val="9"/>
            <color indexed="81"/>
            <rFont val="Tahoma"/>
            <family val="2"/>
          </rPr>
          <t>Si l'</t>
        </r>
        <r>
          <rPr>
            <b/>
            <sz val="9"/>
            <color indexed="81"/>
            <rFont val="Tahoma"/>
            <family val="2"/>
          </rPr>
          <t>effort péréquatif net</t>
        </r>
        <r>
          <rPr>
            <sz val="9"/>
            <color indexed="81"/>
            <rFont val="Tahoma"/>
            <family val="2"/>
          </rPr>
          <t xml:space="preserve"> d'une commune (total des montants reçus et versés, sauf prélèvements conjoncturels et plafonds) dépasse la valeur de 48 de ses points d'impôt, le </t>
        </r>
        <r>
          <rPr>
            <b/>
            <sz val="9"/>
            <color indexed="81"/>
            <rFont val="Tahoma"/>
            <family val="2"/>
          </rPr>
          <t xml:space="preserve">plafond de l'effort </t>
        </r>
        <r>
          <rPr>
            <sz val="9"/>
            <color indexed="81"/>
            <rFont val="Tahoma"/>
            <family val="2"/>
          </rPr>
          <t>lui réstitue un montant égal au dépassement constaté. Les montants restitués sont ensuite financés par l'ensemble des communes, via l'alimentation du système (voir onglet "vue d'ensemble").</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Cappelletti Fabio</author>
  </authors>
  <commentList>
    <comment ref="D4" authorId="0" shapeId="0" xr:uid="{3466735A-A832-4970-A628-0FD0BA8C5F9E}">
      <text>
        <r>
          <rPr>
            <sz val="9"/>
            <color indexed="81"/>
            <rFont val="Tahoma"/>
            <family val="2"/>
          </rPr>
          <t>Aux fins du plafond de l'aide, si une commune affiche une PCS totale inférieure à 0 (rare), la PCS sans prélèvements conjoncturels en pts d'impôt est déduite de la colonne D et la colonne E est mise à zéro.</t>
        </r>
      </text>
    </comment>
    <comment ref="H4" authorId="0" shapeId="0" xr:uid="{667F0BDB-6735-4DE4-A442-93ABA8391CEA}">
      <text>
        <r>
          <rPr>
            <sz val="9"/>
            <color indexed="81"/>
            <rFont val="Tahoma"/>
            <family val="2"/>
          </rPr>
          <t xml:space="preserve">Si l'aide péréquative en faveur d'une commune (total des montants reçus et alloués, sauf montants reçus des dépénses thématiques et les plafonds) dépasse la valeur de 8 de ses points impôt, le </t>
        </r>
        <r>
          <rPr>
            <b/>
            <sz val="9"/>
            <color indexed="81"/>
            <rFont val="Tahoma"/>
            <family val="2"/>
          </rPr>
          <t>plafond de l'aide</t>
        </r>
        <r>
          <rPr>
            <sz val="9"/>
            <color indexed="81"/>
            <rFont val="Tahoma"/>
            <family val="2"/>
          </rPr>
          <t xml:space="preserve"> lui retient un montant égal au dépassement constaté. Les montants ainsi retenus sont utilisé pour réduire les montants nécessaires à l'alimentation du système (voir onglet "vue d'ensemble"). </t>
        </r>
        <r>
          <rPr>
            <u/>
            <sz val="9"/>
            <color indexed="81"/>
            <rFont val="Tahoma"/>
            <family val="2"/>
          </rPr>
          <t>Nota bene</t>
        </r>
        <r>
          <rPr>
            <sz val="9"/>
            <color indexed="81"/>
            <rFont val="Tahoma"/>
            <family val="2"/>
          </rPr>
          <t>: à différence du plafonde l'effort, le plafond de l'aide tient compte des montants payés par les communes au titre du prélèvement sur les impôts conjoncturels en faveur du financement de la PCS.</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Cappelletti Fabio</author>
  </authors>
  <commentList>
    <comment ref="I4" authorId="0" shapeId="0" xr:uid="{91AA6013-E2E1-4EFC-BDF8-97B63E2221EB}">
      <text>
        <r>
          <rPr>
            <sz val="9"/>
            <color indexed="81"/>
            <rFont val="Tahoma"/>
            <family val="2"/>
          </rPr>
          <t xml:space="preserve">L'effort péréquatif net de l'année précédente (hors montants reçus des dépenses thématiques et avec tous les plafonds) est déduit du taux d'imposition de la commune. Ensuite, le nouveau effort péréquatif net, cette fois tenant compte des dépenses thématiques, est ajouté au taux après déduction. Si le taux ainsi obtenu (taux projeté) dépasse le taux maximal indiqué, </t>
        </r>
        <r>
          <rPr>
            <b/>
            <sz val="9"/>
            <color indexed="81"/>
            <rFont val="Tahoma"/>
            <family val="2"/>
          </rPr>
          <t>le plafond du taux</t>
        </r>
        <r>
          <rPr>
            <sz val="9"/>
            <color indexed="81"/>
            <rFont val="Tahoma"/>
            <family val="2"/>
          </rPr>
          <t xml:space="preserve"> restitue à la commune un montant égal à l'écart constaté. Les montants restitués sont financés par l'ensemble des communes, via l'alimentation du système (voir onglet "Péréquation directe").</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Cappelletti Fabio</author>
  </authors>
  <commentList>
    <comment ref="G4" authorId="0" shapeId="0" xr:uid="{742AA191-2F26-422D-A99A-8CDC59E21F1D}">
      <text>
        <r>
          <rPr>
            <sz val="9"/>
            <color indexed="81"/>
            <rFont val="Tahoma"/>
            <family val="2"/>
          </rPr>
          <t xml:space="preserve">Dans le cadre de la </t>
        </r>
        <r>
          <rPr>
            <b/>
            <sz val="9"/>
            <color indexed="81"/>
            <rFont val="Tahoma"/>
            <family val="2"/>
          </rPr>
          <t>réforme de l'organisation policière de 2012</t>
        </r>
        <r>
          <rPr>
            <sz val="9"/>
            <color indexed="81"/>
            <rFont val="Tahoma"/>
            <family val="2"/>
          </rPr>
          <t>, le canton a basculé 2 points d'impôt aux communes. La valeur de ces points d'impôt communaux est différente de celle des points d'impôt péréquatifs, car elle est calculée uniquement sur la base des impôts suivant le taux communal (par exemple, l'impôt foncier est exclu).</t>
        </r>
      </text>
    </comment>
    <comment ref="I4" authorId="0" shapeId="0" xr:uid="{49A94A71-7E1D-4006-ACF6-1BE60A3C5587}">
      <text>
        <r>
          <rPr>
            <sz val="9"/>
            <color indexed="81"/>
            <rFont val="Tahoma"/>
            <family val="2"/>
          </rPr>
          <t xml:space="preserve">Dans une </t>
        </r>
        <r>
          <rPr>
            <b/>
            <sz val="9"/>
            <color indexed="81"/>
            <rFont val="Tahoma"/>
            <family val="2"/>
          </rPr>
          <t>première étape</t>
        </r>
        <r>
          <rPr>
            <sz val="9"/>
            <color indexed="81"/>
            <rFont val="Tahoma"/>
            <family val="2"/>
          </rPr>
          <t xml:space="preserve">, la facture policière est répartie entre les communes par tête d'habitant. Les montants ainsi obtenus sont facturés exclusivement aux communes délégatrices (c'est-à-dire aux communes qui ne sont pas affiliées à un corps de police intercommunal). Chaque commune délégatrice ne peut néanmoins se voir facturer plus que l'équivalent de 2 de ses points d'impôt </t>
        </r>
        <r>
          <rPr>
            <u/>
            <sz val="9"/>
            <color indexed="81"/>
            <rFont val="Tahoma"/>
            <family val="2"/>
          </rPr>
          <t>communaux</t>
        </r>
        <r>
          <rPr>
            <sz val="9"/>
            <color indexed="81"/>
            <rFont val="Tahoma"/>
            <family val="2"/>
          </rPr>
          <t xml:space="preserve">. 
</t>
        </r>
      </text>
    </comment>
    <comment ref="K4" authorId="0" shapeId="0" xr:uid="{EDE8ACAD-0276-4407-B1D5-8178A6F66632}">
      <text>
        <r>
          <rPr>
            <sz val="9"/>
            <color indexed="81"/>
            <rFont val="Tahoma"/>
            <family val="2"/>
          </rPr>
          <t xml:space="preserve">Dans une </t>
        </r>
        <r>
          <rPr>
            <b/>
            <sz val="9"/>
            <color indexed="81"/>
            <rFont val="Tahoma"/>
            <family val="2"/>
          </rPr>
          <t>deuxième étape</t>
        </r>
        <r>
          <rPr>
            <sz val="9"/>
            <color indexed="81"/>
            <rFont val="Tahoma"/>
            <family val="2"/>
          </rPr>
          <t>, chaque commune verse un nombre de points d'impôt égal au solde restant de la facture policière divisé par la valeur du point d'impôt</t>
        </r>
        <r>
          <rPr>
            <u/>
            <sz val="9"/>
            <color indexed="81"/>
            <rFont val="Tahoma"/>
            <family val="2"/>
          </rPr>
          <t xml:space="preserve"> péréquatif</t>
        </r>
        <r>
          <rPr>
            <sz val="9"/>
            <color indexed="81"/>
            <rFont val="Tahoma"/>
            <family val="2"/>
          </rPr>
          <t xml:space="preserve"> de l'ensemble des communes.</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Cappelletti Fabio</author>
  </authors>
  <commentList>
    <comment ref="I4" authorId="0" shapeId="0" xr:uid="{BD2FC531-A035-40DA-BDB5-BA1485ACE662}">
      <text>
        <r>
          <rPr>
            <sz val="9"/>
            <color indexed="81"/>
            <rFont val="Tahoma"/>
            <family val="2"/>
          </rPr>
          <t>Les chiffres en négatif expriment un montant net à recevoir tandis que les chiffres en positif expriment un montant net à verser.</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Cappelletti Fabio</author>
  </authors>
  <commentList>
    <comment ref="AP4" authorId="0" shapeId="0" xr:uid="{60F9D91A-4304-4803-93E9-378963438EEE}">
      <text>
        <r>
          <rPr>
            <b/>
            <sz val="9"/>
            <color indexed="81"/>
            <rFont val="Tahoma"/>
            <family val="2"/>
          </rPr>
          <t>(!!!) ettre à jour avec les chiffres selon acompte 2022</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Cappelletti Fabio</author>
  </authors>
  <commentList>
    <comment ref="R4" authorId="0" shapeId="0" xr:uid="{FDA799F9-7651-4CD7-97E0-E6DE2160AC48}">
      <text>
        <r>
          <rPr>
            <sz val="9"/>
            <color indexed="81"/>
            <rFont val="Tahoma"/>
            <family val="2"/>
          </rPr>
          <t xml:space="preserve">La </t>
        </r>
        <r>
          <rPr>
            <b/>
            <sz val="9"/>
            <color indexed="81"/>
            <rFont val="Tahoma"/>
            <family val="2"/>
          </rPr>
          <t>valeur du point d'impôt péréquatif</t>
        </r>
        <r>
          <rPr>
            <sz val="9"/>
            <color indexed="81"/>
            <rFont val="Tahoma"/>
            <family val="2"/>
          </rPr>
          <t xml:space="preserve"> est définie par les art. 2 et 5 LPIC. Pour une commune donnée, elle est obtenue en divisant par le taux communal les éléments suivants: la somme des rendements de ses impôts qui dépendent du taux communal, le rendement de son impôt personnel fixe, le rendement de son impôt sur les immeubles des sociétés et le rendement de son impôt foncier (ce dernier normalisé au taux de 1‰).</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Cappelletti Fabio</author>
  </authors>
  <commentList>
    <comment ref="F10" authorId="0" shapeId="0" xr:uid="{270426BD-07C5-44A7-8A53-ABF443EE0A45}">
      <text>
        <r>
          <rPr>
            <sz val="9"/>
            <color indexed="81"/>
            <rFont val="Tahoma"/>
            <family val="2"/>
          </rPr>
          <t>La PCS est financée en</t>
        </r>
        <r>
          <rPr>
            <b/>
            <sz val="9"/>
            <color indexed="81"/>
            <rFont val="Tahoma"/>
            <family val="2"/>
          </rPr>
          <t xml:space="preserve"> trois étapes</t>
        </r>
        <r>
          <rPr>
            <sz val="9"/>
            <color indexed="81"/>
            <rFont val="Tahoma"/>
            <family val="2"/>
          </rPr>
          <t>. La</t>
        </r>
        <r>
          <rPr>
            <b/>
            <sz val="9"/>
            <color indexed="81"/>
            <rFont val="Tahoma"/>
            <family val="2"/>
          </rPr>
          <t xml:space="preserve"> première étape </t>
        </r>
        <r>
          <rPr>
            <sz val="9"/>
            <color indexed="81"/>
            <rFont val="Tahoma"/>
            <family val="2"/>
          </rPr>
          <t>prévoit le versement par toutes les communes de 50% des leurs recettes conjoncturelles et de 30% de l'impôt des frontaliers.</t>
        </r>
      </text>
    </comment>
    <comment ref="G10" authorId="0" shapeId="0" xr:uid="{8288FAF0-46A4-49D5-9BC8-6E8DEB0263E9}">
      <text>
        <r>
          <rPr>
            <sz val="9"/>
            <color indexed="81"/>
            <rFont val="Tahoma"/>
            <family val="2"/>
          </rPr>
          <t xml:space="preserve">La </t>
        </r>
        <r>
          <rPr>
            <b/>
            <sz val="9"/>
            <color indexed="81"/>
            <rFont val="Tahoma"/>
            <family val="2"/>
          </rPr>
          <t>deuxième étape de financement</t>
        </r>
        <r>
          <rPr>
            <sz val="9"/>
            <color indexed="81"/>
            <rFont val="Tahoma"/>
            <family val="2"/>
          </rPr>
          <t xml:space="preserve"> prévoit une contribution de la part des communes avec une valeur du point d'impôt péréquatif par habitant (VPIH) supérieur à la moyenne. Le détail du calcul de cette deuxième contribution est dans l'onglet "Ecrêtage".</t>
        </r>
      </text>
    </comment>
    <comment ref="H10" authorId="0" shapeId="0" xr:uid="{8CB4ED49-AE30-4C5E-AA9F-866EDF37CA6B}">
      <text>
        <r>
          <rPr>
            <sz val="9"/>
            <color indexed="81"/>
            <rFont val="Tahoma"/>
            <family val="2"/>
          </rPr>
          <t xml:space="preserve">Dans la </t>
        </r>
        <r>
          <rPr>
            <b/>
            <sz val="9"/>
            <color indexed="81"/>
            <rFont val="Tahoma"/>
            <family val="2"/>
          </rPr>
          <t>dernière étape de financement</t>
        </r>
        <r>
          <rPr>
            <sz val="9"/>
            <color indexed="81"/>
            <rFont val="Tahoma"/>
            <family val="2"/>
          </rPr>
          <t>, le montant de la PCS qui reste à financer (</t>
        </r>
        <r>
          <rPr>
            <b/>
            <sz val="9"/>
            <color indexed="81"/>
            <rFont val="Tahoma"/>
            <family val="2"/>
          </rPr>
          <t>solde</t>
        </r>
        <r>
          <rPr>
            <sz val="9"/>
            <color indexed="81"/>
            <rFont val="Tahoma"/>
            <family val="2"/>
          </rPr>
          <t>) est divisé par la valeur du point d'impôt péréquatif total des communes. Chaque commune verse au système le nombre de points ainsi détérminé.</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Cappelletti Fabio</author>
  </authors>
  <commentList>
    <comment ref="M4" authorId="0" shapeId="0" xr:uid="{ED0F811D-0F7C-44EA-B462-F5E01D3443D1}">
      <text>
        <r>
          <rPr>
            <sz val="9"/>
            <color indexed="81"/>
            <rFont val="Tahoma"/>
            <family val="2"/>
          </rPr>
          <t>Pour détérminer le montant de l'écrêtage, la VPIH de la commune est</t>
        </r>
        <r>
          <rPr>
            <b/>
            <sz val="9"/>
            <color indexed="81"/>
            <rFont val="Tahoma"/>
            <family val="2"/>
          </rPr>
          <t xml:space="preserve"> initialement</t>
        </r>
        <r>
          <rPr>
            <sz val="9"/>
            <color indexed="81"/>
            <rFont val="Tahoma"/>
            <family val="2"/>
          </rPr>
          <t xml:space="preserve"> comparée avec cinq seuils exprimés en pourcent de la VPIH moyenne des communes. </t>
        </r>
        <r>
          <rPr>
            <b/>
            <sz val="9"/>
            <color indexed="81"/>
            <rFont val="Tahoma"/>
            <family val="2"/>
          </rPr>
          <t>Ensuite</t>
        </r>
        <r>
          <rPr>
            <sz val="9"/>
            <color indexed="81"/>
            <rFont val="Tahoma"/>
            <family val="2"/>
          </rPr>
          <t xml:space="preserve">, les éventuels  écarts constatés sont multipliés par les pourcentages de prélèvement spécifiques à chaque seuil et additionnés. </t>
        </r>
        <r>
          <rPr>
            <b/>
            <sz val="9"/>
            <color indexed="81"/>
            <rFont val="Tahoma"/>
            <family val="2"/>
          </rPr>
          <t>Enfin</t>
        </r>
        <r>
          <rPr>
            <sz val="9"/>
            <color indexed="81"/>
            <rFont val="Tahoma"/>
            <family val="2"/>
          </rPr>
          <t>, cette somme d'écarts pondérés est multipliée par le taux d'imposition de la commune et sa population pour obtenir son montant à verser.</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Cappelletti Fabio</author>
  </authors>
  <commentList>
    <comment ref="D4" authorId="0" shapeId="0" xr:uid="{3C24E69B-AE57-49AE-9420-1A4BAD449CBC}">
      <text>
        <r>
          <rPr>
            <sz val="9"/>
            <color indexed="81"/>
            <rFont val="Tahoma"/>
            <family val="2"/>
          </rPr>
          <t>Le fonds de péréquation intercommunal (</t>
        </r>
        <r>
          <rPr>
            <b/>
            <sz val="9"/>
            <color indexed="81"/>
            <rFont val="Tahoma"/>
            <family val="2"/>
          </rPr>
          <t>péréquation directe</t>
        </r>
        <r>
          <rPr>
            <sz val="9"/>
            <color indexed="81"/>
            <rFont val="Tahoma"/>
            <family val="2"/>
          </rPr>
          <t xml:space="preserve">) comprend </t>
        </r>
        <r>
          <rPr>
            <b/>
            <sz val="9"/>
            <color indexed="81"/>
            <rFont val="Tahoma"/>
            <family val="2"/>
          </rPr>
          <t>trois couches de subventionnement</t>
        </r>
        <r>
          <rPr>
            <sz val="9"/>
            <color indexed="81"/>
            <rFont val="Tahoma"/>
            <family val="2"/>
          </rPr>
          <t xml:space="preserve"> (population, solidarité et dépenses thématiques) et </t>
        </r>
        <r>
          <rPr>
            <b/>
            <sz val="9"/>
            <color indexed="81"/>
            <rFont val="Tahoma"/>
            <family val="2"/>
          </rPr>
          <t>trois plafonds</t>
        </r>
        <r>
          <rPr>
            <sz val="9"/>
            <color indexed="81"/>
            <rFont val="Tahoma"/>
            <family val="2"/>
          </rPr>
          <t xml:space="preserve"> (effort, aide et taux). Le détail du calcul des montants versés par chaque couche et par chaque plafond est proposé dans les prochains onglets. Le tableau à gauche résume le total des montants versés par les trois couches et par les trois plafonds, ainsi que le </t>
        </r>
        <r>
          <rPr>
            <b/>
            <sz val="9"/>
            <color indexed="81"/>
            <rFont val="Tahoma"/>
            <family val="2"/>
          </rPr>
          <t>forfait pour la gestion du système</t>
        </r>
        <r>
          <rPr>
            <sz val="9"/>
            <color indexed="81"/>
            <rFont val="Tahoma"/>
            <family val="2"/>
          </rPr>
          <t xml:space="preserve"> (CHF 450'000.-). 
</t>
        </r>
        <r>
          <rPr>
            <b/>
            <sz val="9"/>
            <color indexed="81"/>
            <rFont val="Tahoma"/>
            <family val="2"/>
          </rPr>
          <t>Pour financer la péréquation directe</t>
        </r>
        <r>
          <rPr>
            <sz val="9"/>
            <color indexed="81"/>
            <rFont val="Tahoma"/>
            <family val="2"/>
          </rPr>
          <t>, chaque commune verse un nombre de points d'impôt égal au total à financer divisé par la valeur du point d'impôt de l'ensemble des communes.</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Cappelletti Fabio</author>
  </authors>
  <commentList>
    <comment ref="K7" authorId="0" shapeId="0" xr:uid="{A248159E-0366-49ED-ABDF-E41AA811D6AA}">
      <text>
        <r>
          <rPr>
            <sz val="9"/>
            <color indexed="81"/>
            <rFont val="Tahoma"/>
            <family val="2"/>
          </rPr>
          <t>La</t>
        </r>
        <r>
          <rPr>
            <b/>
            <sz val="9"/>
            <color indexed="81"/>
            <rFont val="Tahoma"/>
            <family val="2"/>
          </rPr>
          <t xml:space="preserve"> couche population</t>
        </r>
        <r>
          <rPr>
            <sz val="9"/>
            <color indexed="81"/>
            <rFont val="Tahoma"/>
            <family val="2"/>
          </rPr>
          <t xml:space="preserve"> verse à chaque commune 125 francs (indexés) par habitant pour ses premiers 1'000 habitants, 350 francs (indexés) par habitant pour les 2'000 habitants suivants et ainsi de suite jusqu'à 1'050 francs (indexés) pour tous les habitants au-délà des premiers 15'000.</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Cappelletti Fabio</author>
  </authors>
  <commentList>
    <comment ref="G4" authorId="0" shapeId="0" xr:uid="{54CAD977-3398-46E4-9C38-2E741D99B23F}">
      <text>
        <r>
          <rPr>
            <sz val="9"/>
            <color indexed="81"/>
            <rFont val="Tahoma"/>
            <family val="2"/>
          </rPr>
          <t xml:space="preserve">La </t>
        </r>
        <r>
          <rPr>
            <b/>
            <sz val="9"/>
            <color indexed="81"/>
            <rFont val="Tahoma"/>
            <family val="2"/>
          </rPr>
          <t>couche solidarité</t>
        </r>
        <r>
          <rPr>
            <sz val="9"/>
            <color indexed="81"/>
            <rFont val="Tahoma"/>
            <family val="2"/>
          </rPr>
          <t xml:space="preserve"> attribue aux communes avec une valeur du point d'impôt par habitant (VPIH) inférieure à la moyenne une compensation de base égale à 27% de l'écart entre leur VPIH et cette même moyenne multipliée par sa population et son taux. </t>
        </r>
      </text>
    </comment>
    <comment ref="I4" authorId="0" shapeId="0" xr:uid="{EECF3395-3B44-42A6-96C5-8AAFF7ADEA22}">
      <text>
        <r>
          <rPr>
            <sz val="9"/>
            <color indexed="81"/>
            <rFont val="Tahoma"/>
            <family val="2"/>
          </rPr>
          <t xml:space="preserve">La compensation de base est ensuite </t>
        </r>
        <r>
          <rPr>
            <b/>
            <sz val="9"/>
            <color indexed="81"/>
            <rFont val="Tahoma"/>
            <family val="2"/>
          </rPr>
          <t>pondérée</t>
        </r>
        <r>
          <rPr>
            <sz val="9"/>
            <color indexed="81"/>
            <rFont val="Tahoma"/>
            <family val="2"/>
          </rPr>
          <t xml:space="preserve"> par le rapport entre le taux de la commune et le taux moyen.</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Cappelletti Fabio</author>
  </authors>
  <commentList>
    <comment ref="E4" authorId="0" shapeId="0" xr:uid="{BAE74BEC-7C7D-40D4-B664-191255A68EA3}">
      <text>
        <r>
          <rPr>
            <sz val="9"/>
            <color indexed="81"/>
            <rFont val="Tahoma"/>
            <family val="2"/>
          </rPr>
          <t xml:space="preserve">Les </t>
        </r>
        <r>
          <rPr>
            <b/>
            <sz val="9"/>
            <color indexed="81"/>
            <rFont val="Tahoma"/>
            <family val="2"/>
          </rPr>
          <t>dépenses effectives en transports</t>
        </r>
        <r>
          <rPr>
            <sz val="9"/>
            <color indexed="81"/>
            <rFont val="Tahoma"/>
            <family val="2"/>
          </rPr>
          <t xml:space="preserve"> déclarées par la commune sont comparées avec l'équivalent de 8 de ses points d'impôt.</t>
        </r>
      </text>
    </comment>
    <comment ref="H4" authorId="0" shapeId="0" xr:uid="{BF62F18C-F207-473C-871E-EBF7229851AD}">
      <text>
        <r>
          <rPr>
            <sz val="9"/>
            <color indexed="81"/>
            <rFont val="Tahoma"/>
            <family val="2"/>
          </rPr>
          <t xml:space="preserve">Les </t>
        </r>
        <r>
          <rPr>
            <b/>
            <sz val="9"/>
            <color indexed="81"/>
            <rFont val="Tahoma"/>
            <family val="2"/>
          </rPr>
          <t>éventuels dépassements sont compensés</t>
        </r>
        <r>
          <rPr>
            <sz val="9"/>
            <color indexed="81"/>
            <rFont val="Tahoma"/>
            <family val="2"/>
          </rPr>
          <t xml:space="preserve"> à hauteur de 75%. Ce taux peut être revu à la baisse si le total des prises en charges (transports + forêts) excède 4,5 points d'impôt de l'ensemble des communes.
</t>
        </r>
      </text>
    </comment>
    <comment ref="L4" authorId="0" shapeId="0" xr:uid="{F683021F-A324-4C56-9374-0E7F671FBDA9}">
      <text>
        <r>
          <rPr>
            <sz val="9"/>
            <color indexed="81"/>
            <rFont val="Tahoma"/>
            <family val="2"/>
          </rPr>
          <t xml:space="preserve">Pour les </t>
        </r>
        <r>
          <rPr>
            <b/>
            <sz val="9"/>
            <color indexed="81"/>
            <rFont val="Tahoma"/>
            <family val="2"/>
          </rPr>
          <t>dépenses effectives en</t>
        </r>
        <r>
          <rPr>
            <b/>
            <sz val="9"/>
            <color indexed="81"/>
            <rFont val="Tahoma"/>
            <family val="2"/>
          </rPr>
          <t xml:space="preserve"> forêts</t>
        </r>
        <r>
          <rPr>
            <sz val="9"/>
            <color indexed="81"/>
            <rFont val="Tahoma"/>
            <family val="2"/>
          </rPr>
          <t xml:space="preserve"> la logique est identique, mais avec un plafond égal à l'équivalent de 1 point d'impôt de la commune.</t>
        </r>
      </text>
    </comment>
  </commentList>
</comments>
</file>

<file path=xl/sharedStrings.xml><?xml version="1.0" encoding="utf-8"?>
<sst xmlns="http://schemas.openxmlformats.org/spreadsheetml/2006/main" count="2824" uniqueCount="571">
  <si>
    <t>L'Isle</t>
  </si>
  <si>
    <t>Lussery-Villars</t>
  </si>
  <si>
    <t>Mauraz</t>
  </si>
  <si>
    <t>Mex</t>
  </si>
  <si>
    <t>Moiry</t>
  </si>
  <si>
    <t>Corcelles-près-Payerne</t>
  </si>
  <si>
    <t>Grandcour</t>
  </si>
  <si>
    <t>Henniez</t>
  </si>
  <si>
    <t>Missy</t>
  </si>
  <si>
    <t>Payerne</t>
  </si>
  <si>
    <t>Trey</t>
  </si>
  <si>
    <t>Villarzel</t>
  </si>
  <si>
    <t>Château-d'Oex</t>
  </si>
  <si>
    <t>Rossinière</t>
  </si>
  <si>
    <t>Rougemont</t>
  </si>
  <si>
    <t>Allaman</t>
  </si>
  <si>
    <t>Bursinel</t>
  </si>
  <si>
    <t>Bursins</t>
  </si>
  <si>
    <t>Burtigny</t>
  </si>
  <si>
    <t>Dully</t>
  </si>
  <si>
    <t>Essertines-sur-Rolle</t>
  </si>
  <si>
    <t>Gilly</t>
  </si>
  <si>
    <t>Luins</t>
  </si>
  <si>
    <t>Mont-sur-Rolle</t>
  </si>
  <si>
    <t>Perroy</t>
  </si>
  <si>
    <t>Rolle</t>
  </si>
  <si>
    <t>Tartegnin</t>
  </si>
  <si>
    <t>Vinzel</t>
  </si>
  <si>
    <t>L'Abbaye</t>
  </si>
  <si>
    <t>Saint-Barthélemy</t>
  </si>
  <si>
    <t>Villars-le-Terroir</t>
  </si>
  <si>
    <t>Vuarrens</t>
  </si>
  <si>
    <t>Bonvillars</t>
  </si>
  <si>
    <t>Bullet</t>
  </si>
  <si>
    <t>Champagne</t>
  </si>
  <si>
    <t>Concise</t>
  </si>
  <si>
    <t>Corcelles-près-Concise</t>
  </si>
  <si>
    <t>Fiez</t>
  </si>
  <si>
    <t>Fontaines-sur-Grandson</t>
  </si>
  <si>
    <t>Giez</t>
  </si>
  <si>
    <t>Grandevent</t>
  </si>
  <si>
    <t>Grandson</t>
  </si>
  <si>
    <t>Mauborget</t>
  </si>
  <si>
    <t>Plafond transports</t>
  </si>
  <si>
    <t>No OFS</t>
  </si>
  <si>
    <t>Corsier-sur-Vevey</t>
  </si>
  <si>
    <t>Jongny</t>
  </si>
  <si>
    <t>Montreux</t>
  </si>
  <si>
    <t>La Tour-de-Peilz</t>
  </si>
  <si>
    <t>Vevey</t>
  </si>
  <si>
    <t>Veytaux</t>
  </si>
  <si>
    <t>Belmont-sur-Yverdon</t>
  </si>
  <si>
    <t>Bioley-Magnoux</t>
  </si>
  <si>
    <t>Chamblon</t>
  </si>
  <si>
    <t>Champvent</t>
  </si>
  <si>
    <t>Chavannes-le-Chêne</t>
  </si>
  <si>
    <t>Chêne-Pâquier</t>
  </si>
  <si>
    <t>Cheseaux-Noréaz</t>
  </si>
  <si>
    <t>Cronay</t>
  </si>
  <si>
    <t>Cuarny</t>
  </si>
  <si>
    <t>Démoret</t>
  </si>
  <si>
    <t>Donneloye</t>
  </si>
  <si>
    <t>Ependes</t>
  </si>
  <si>
    <t>Nyon</t>
  </si>
  <si>
    <t>Prangins</t>
  </si>
  <si>
    <t>Bougy-Villars</t>
  </si>
  <si>
    <t>Yvorne</t>
  </si>
  <si>
    <t>Aubonne</t>
  </si>
  <si>
    <t>Ballens</t>
  </si>
  <si>
    <t>Berolle</t>
  </si>
  <si>
    <t>Bière</t>
  </si>
  <si>
    <t>Taux communal</t>
  </si>
  <si>
    <t>ISP</t>
  </si>
  <si>
    <t>IPE</t>
  </si>
  <si>
    <t>IET</t>
  </si>
  <si>
    <t>ISO</t>
  </si>
  <si>
    <t>IMM</t>
  </si>
  <si>
    <t>IFO</t>
  </si>
  <si>
    <t>STO</t>
  </si>
  <si>
    <t>IFR</t>
  </si>
  <si>
    <t>ISD</t>
  </si>
  <si>
    <t>DMU</t>
  </si>
  <si>
    <t>IGI</t>
  </si>
  <si>
    <t>TOT</t>
  </si>
  <si>
    <t>Commune</t>
  </si>
  <si>
    <t>Chavannes-sur-Moudon</t>
  </si>
  <si>
    <t>Curtilles</t>
  </si>
  <si>
    <t>Dompierre</t>
  </si>
  <si>
    <t>Hermenches</t>
  </si>
  <si>
    <t>Lovatens</t>
  </si>
  <si>
    <t>Lucens</t>
  </si>
  <si>
    <t>Moudon</t>
  </si>
  <si>
    <t>Ogens</t>
  </si>
  <si>
    <t>Prévonloup</t>
  </si>
  <si>
    <t>Rossenges</t>
  </si>
  <si>
    <t>Syens</t>
  </si>
  <si>
    <t>Villars-le-Comte</t>
  </si>
  <si>
    <t>Vucherens</t>
  </si>
  <si>
    <t>Arnex-sur-Nyon</t>
  </si>
  <si>
    <t>Bassins</t>
  </si>
  <si>
    <t>Chessel</t>
  </si>
  <si>
    <t>Corbeyrier</t>
  </si>
  <si>
    <t>Gryon</t>
  </si>
  <si>
    <t>Lavey-Morcles</t>
  </si>
  <si>
    <t>Leysin</t>
  </si>
  <si>
    <t>Noville</t>
  </si>
  <si>
    <t>Ollon</t>
  </si>
  <si>
    <t>Sainte-Croix</t>
  </si>
  <si>
    <t>Lausanne</t>
  </si>
  <si>
    <t>Le Mont-sur-Lausanne</t>
  </si>
  <si>
    <t>Paudex</t>
  </si>
  <si>
    <t>Prilly</t>
  </si>
  <si>
    <t>Pully</t>
  </si>
  <si>
    <t>Plafonnement du taux</t>
  </si>
  <si>
    <t>Rivaz</t>
  </si>
  <si>
    <t>St-Saphorin (Lavaux)</t>
  </si>
  <si>
    <t>Ormont-Dessous</t>
  </si>
  <si>
    <t>Ormont-Dessus</t>
  </si>
  <si>
    <t>Rennaz</t>
  </si>
  <si>
    <t>Roche</t>
  </si>
  <si>
    <t>Villeneuve</t>
  </si>
  <si>
    <t>Romainmôtier-Envy</t>
  </si>
  <si>
    <t>Sergey</t>
  </si>
  <si>
    <t>Valeyres-sous-Rances</t>
  </si>
  <si>
    <t>Total</t>
  </si>
  <si>
    <t>Ferreyres</t>
  </si>
  <si>
    <t>Gollion</t>
  </si>
  <si>
    <t>Grancy</t>
  </si>
  <si>
    <t>Forel (Lavaux)</t>
  </si>
  <si>
    <t>Lutry</t>
  </si>
  <si>
    <t>Bremblens</t>
  </si>
  <si>
    <t>Buchillon</t>
  </si>
  <si>
    <t>Yvonand</t>
  </si>
  <si>
    <t>Yverdon-les-Bains</t>
  </si>
  <si>
    <t>Clarmont</t>
  </si>
  <si>
    <t>Denens</t>
  </si>
  <si>
    <t>Denges</t>
  </si>
  <si>
    <t>Echandens</t>
  </si>
  <si>
    <t>Echichens</t>
  </si>
  <si>
    <t>Ecublens</t>
  </si>
  <si>
    <t>Etoy</t>
  </si>
  <si>
    <t>Lavigny</t>
  </si>
  <si>
    <t>Lonay</t>
  </si>
  <si>
    <t>Lully</t>
  </si>
  <si>
    <t>Lussy-sur-Morges</t>
  </si>
  <si>
    <t>Morges</t>
  </si>
  <si>
    <t>Préverenges</t>
  </si>
  <si>
    <t>Mont-la-Ville</t>
  </si>
  <si>
    <t>Montricher</t>
  </si>
  <si>
    <t>Orny</t>
  </si>
  <si>
    <t>Penthalaz</t>
  </si>
  <si>
    <t>Penthaz</t>
  </si>
  <si>
    <t>Pompaples</t>
  </si>
  <si>
    <t>La Sarraz</t>
  </si>
  <si>
    <t>Senarclens</t>
  </si>
  <si>
    <t>Sullens</t>
  </si>
  <si>
    <t>Vufflens-la-Ville</t>
  </si>
  <si>
    <t>Assens</t>
  </si>
  <si>
    <t>Bercher</t>
  </si>
  <si>
    <t>Bottens</t>
  </si>
  <si>
    <t>Bretigny-sur-Morrens</t>
  </si>
  <si>
    <t>Cugy</t>
  </si>
  <si>
    <t>Echallens</t>
  </si>
  <si>
    <t>Essertines-sur-Yverdon</t>
  </si>
  <si>
    <t>Etagnières</t>
  </si>
  <si>
    <t>Fey</t>
  </si>
  <si>
    <t>Froideville</t>
  </si>
  <si>
    <t>Morrens</t>
  </si>
  <si>
    <t>Oulens-sous-Echallens</t>
  </si>
  <si>
    <t>Pailly</t>
  </si>
  <si>
    <t>Penthéréaz</t>
  </si>
  <si>
    <t>Poliez-Pittet</t>
  </si>
  <si>
    <t>Rueyres</t>
  </si>
  <si>
    <t>Sous-total</t>
  </si>
  <si>
    <t>Frontaliers</t>
  </si>
  <si>
    <t>Successions et donations</t>
  </si>
  <si>
    <t>Droits de mutation</t>
  </si>
  <si>
    <t>Gains immobiliers</t>
  </si>
  <si>
    <t>Villars-sous-Yens</t>
  </si>
  <si>
    <t>Vufflens-le-Château</t>
  </si>
  <si>
    <t>Vullierens</t>
  </si>
  <si>
    <t>Yens</t>
  </si>
  <si>
    <t>Boulens</t>
  </si>
  <si>
    <t>Bussy-sur-Moudon</t>
  </si>
  <si>
    <t>Le Chenit</t>
  </si>
  <si>
    <t>Le Lieu</t>
  </si>
  <si>
    <t>Chardonne</t>
  </si>
  <si>
    <t>Corseaux</t>
  </si>
  <si>
    <t>Boussens</t>
  </si>
  <si>
    <t>La Chaux (Cossonay)</t>
  </si>
  <si>
    <t>Dépassement forêts</t>
  </si>
  <si>
    <t>Romanel-sur-Lausanne</t>
  </si>
  <si>
    <t>La Praz</t>
  </si>
  <si>
    <t>Premier</t>
  </si>
  <si>
    <t>Rances</t>
  </si>
  <si>
    <t>Begnins</t>
  </si>
  <si>
    <t>Bogis-Bossey</t>
  </si>
  <si>
    <t>Borex</t>
  </si>
  <si>
    <t>Chavannes-de-Bogis</t>
  </si>
  <si>
    <t>Chavannes-des-Bois</t>
  </si>
  <si>
    <t>Chéserex</t>
  </si>
  <si>
    <t>Coinsins</t>
  </si>
  <si>
    <t>Commugny</t>
  </si>
  <si>
    <t>Coppet</t>
  </si>
  <si>
    <t>Crassier</t>
  </si>
  <si>
    <t>Duillier</t>
  </si>
  <si>
    <t>Eysins</t>
  </si>
  <si>
    <t>Founex</t>
  </si>
  <si>
    <t>Genolier</t>
  </si>
  <si>
    <t>Gingins</t>
  </si>
  <si>
    <t>Givrins</t>
  </si>
  <si>
    <t>Gland</t>
  </si>
  <si>
    <t>Grens</t>
  </si>
  <si>
    <t>Mies</t>
  </si>
  <si>
    <t>Cuarnens</t>
  </si>
  <si>
    <t>Daillens</t>
  </si>
  <si>
    <t>Dizy</t>
  </si>
  <si>
    <t>Eclépens</t>
  </si>
  <si>
    <t>Pertes débiteurs</t>
  </si>
  <si>
    <t>Imputation forfaitaire</t>
  </si>
  <si>
    <t>Chavannes-près-Renens</t>
  </si>
  <si>
    <t>Chigny</t>
  </si>
  <si>
    <t>Impôt spécial affecté</t>
  </si>
  <si>
    <t>Impôt personnel</t>
  </si>
  <si>
    <t>Aigle</t>
  </si>
  <si>
    <t>Bex</t>
  </si>
  <si>
    <t>Arnex-sur-Orbe</t>
  </si>
  <si>
    <t>Ballaigues</t>
  </si>
  <si>
    <t>Baulmes</t>
  </si>
  <si>
    <t>Bavois</t>
  </si>
  <si>
    <t>Bofflens</t>
  </si>
  <si>
    <t>Bretonnières</t>
  </si>
  <si>
    <t>Chavornay</t>
  </si>
  <si>
    <t>Les Clées</t>
  </si>
  <si>
    <t>Montagny-près-Yverdon</t>
  </si>
  <si>
    <t>Oppens</t>
  </si>
  <si>
    <t>Orges</t>
  </si>
  <si>
    <t>Ursins</t>
  </si>
  <si>
    <t>Vugelles-La Mothe</t>
  </si>
  <si>
    <t>Corcelles-le-Jorat</t>
  </si>
  <si>
    <t>Maracon</t>
  </si>
  <si>
    <t>Montpreveyres</t>
  </si>
  <si>
    <t>Ropraz</t>
  </si>
  <si>
    <t>Servion</t>
  </si>
  <si>
    <t>Mutrux</t>
  </si>
  <si>
    <t>Novalles</t>
  </si>
  <si>
    <t>Onnens</t>
  </si>
  <si>
    <t>Provence</t>
  </si>
  <si>
    <t>en % de la moyenne</t>
  </si>
  <si>
    <t>Seuil 1</t>
  </si>
  <si>
    <t>Seuil 2</t>
  </si>
  <si>
    <t>Total écrêtage</t>
  </si>
  <si>
    <t>Savigny</t>
  </si>
  <si>
    <t>Chexbres</t>
  </si>
  <si>
    <t>Villars-Epeney</t>
  </si>
  <si>
    <t>Puidoux</t>
  </si>
  <si>
    <t>Dépassement transports</t>
  </si>
  <si>
    <t>Population</t>
  </si>
  <si>
    <t>Bas</t>
  </si>
  <si>
    <t>Seuils de population</t>
  </si>
  <si>
    <t>Haut</t>
  </si>
  <si>
    <t>Montants</t>
  </si>
  <si>
    <t>Romanel-sur-Morges</t>
  </si>
  <si>
    <t>Saint-Prex</t>
  </si>
  <si>
    <t>Saint-Sulpice</t>
  </si>
  <si>
    <t>Tolochenaz</t>
  </si>
  <si>
    <t>Vaux-sur-Morges</t>
  </si>
  <si>
    <t>Villars-Sainte-Croix</t>
  </si>
  <si>
    <t>La Rippe</t>
  </si>
  <si>
    <t>Saint-Cergue</t>
  </si>
  <si>
    <t>Signy-Avenex</t>
  </si>
  <si>
    <t>Tannay</t>
  </si>
  <si>
    <t>Trélex</t>
  </si>
  <si>
    <t>Le Vaud</t>
  </si>
  <si>
    <t>Vich</t>
  </si>
  <si>
    <t>L'Abergement</t>
  </si>
  <si>
    <t>Agiez</t>
  </si>
  <si>
    <t>Péréquation directe</t>
  </si>
  <si>
    <t>Transports publics</t>
  </si>
  <si>
    <t>Transports scolaires</t>
  </si>
  <si>
    <t>Croy</t>
  </si>
  <si>
    <t>Juriens</t>
  </si>
  <si>
    <t>Lignerolle</t>
  </si>
  <si>
    <t>Montcherand</t>
  </si>
  <si>
    <t>Orbe</t>
  </si>
  <si>
    <t>Vallorbe</t>
  </si>
  <si>
    <t>Vaulion</t>
  </si>
  <si>
    <t>Vuiteboeuf</t>
  </si>
  <si>
    <t>Impôts suivant le taux</t>
  </si>
  <si>
    <t>Féchy</t>
  </si>
  <si>
    <t>Gimel</t>
  </si>
  <si>
    <t>Saint-Livres</t>
  </si>
  <si>
    <t>Saint-Oyens</t>
  </si>
  <si>
    <t>Saubraz</t>
  </si>
  <si>
    <t>Avenches</t>
  </si>
  <si>
    <t>Cudrefin</t>
  </si>
  <si>
    <t>Faoug</t>
  </si>
  <si>
    <t>Bettens</t>
  </si>
  <si>
    <t>Bournens</t>
  </si>
  <si>
    <t>Différence à compenser</t>
  </si>
  <si>
    <t xml:space="preserve">Taux actuel </t>
  </si>
  <si>
    <t xml:space="preserve">Taux </t>
  </si>
  <si>
    <t>Longirod</t>
  </si>
  <si>
    <t>Marchissy</t>
  </si>
  <si>
    <t>Mollens</t>
  </si>
  <si>
    <t>Saint-George</t>
  </si>
  <si>
    <t>Chavannes-le-Veyron</t>
  </si>
  <si>
    <t>Chevilly</t>
  </si>
  <si>
    <t>Cossonay</t>
  </si>
  <si>
    <t>./. Conjoncturelles</t>
  </si>
  <si>
    <t>./. Ecrêtage</t>
  </si>
  <si>
    <t>Seuil max (pts)</t>
  </si>
  <si>
    <t>Impôt à la source</t>
  </si>
  <si>
    <t>Impôt foncier</t>
  </si>
  <si>
    <t>Vulliens</t>
  </si>
  <si>
    <t>Champtauroz</t>
  </si>
  <si>
    <t>Chevroux</t>
  </si>
  <si>
    <t>Belmont-sur-Lausanne</t>
  </si>
  <si>
    <t>Cheseaux-sur-Lausanne</t>
  </si>
  <si>
    <t>Crissier</t>
  </si>
  <si>
    <t>Epalinges</t>
  </si>
  <si>
    <t>Jouxtens-Mézery</t>
  </si>
  <si>
    <t>Mathod</t>
  </si>
  <si>
    <t>Molondin</t>
  </si>
  <si>
    <t>Renens</t>
  </si>
  <si>
    <t>Valeyres-sous-Montagny</t>
  </si>
  <si>
    <t>Valeyres-sous-Ursins</t>
  </si>
  <si>
    <t>Orzens</t>
  </si>
  <si>
    <t>Pomy</t>
  </si>
  <si>
    <t>Rovray</t>
  </si>
  <si>
    <t>Suchy</t>
  </si>
  <si>
    <t>Suscévaz</t>
  </si>
  <si>
    <t>Treycovagnes</t>
  </si>
  <si>
    <t>Aclens</t>
  </si>
  <si>
    <t>Total part communale</t>
  </si>
  <si>
    <t>Points</t>
  </si>
  <si>
    <t>Seuil 3</t>
  </si>
  <si>
    <t>Impôt récupéré après défalcation</t>
  </si>
  <si>
    <t>PPR</t>
  </si>
  <si>
    <t>PPF</t>
  </si>
  <si>
    <t>PMB</t>
  </si>
  <si>
    <t>PMC</t>
  </si>
  <si>
    <t>Bourg-en-Lavaux</t>
  </si>
  <si>
    <t>Tévenon</t>
  </si>
  <si>
    <t>Vully-les-Lacs</t>
  </si>
  <si>
    <t>Goumoëns</t>
  </si>
  <si>
    <t>Montilliez</t>
  </si>
  <si>
    <t>Jorat-Menthue</t>
  </si>
  <si>
    <t>Valbroye</t>
  </si>
  <si>
    <t>Oron</t>
  </si>
  <si>
    <t>Prélèvements conjoncturels</t>
  </si>
  <si>
    <t>Bussigny</t>
  </si>
  <si>
    <t>Arzier-Le Muids</t>
  </si>
  <si>
    <t>Montanaire</t>
  </si>
  <si>
    <t>Indice IPC au 1er janvier 2010</t>
  </si>
  <si>
    <t>Montant à affecter ajusté à l'IPC</t>
  </si>
  <si>
    <t>Population selon FAO</t>
  </si>
  <si>
    <t>Péréquation directe - Couche Population</t>
  </si>
  <si>
    <t>Péréquation directe - Couche Solidarité</t>
  </si>
  <si>
    <t>CHF</t>
  </si>
  <si>
    <t>Pts</t>
  </si>
  <si>
    <t>pour une capacité dépassant</t>
  </si>
  <si>
    <t>Montant à affecter par habitant</t>
  </si>
  <si>
    <t>Prise en charge maximale</t>
  </si>
  <si>
    <t>Impôts théoriques</t>
  </si>
  <si>
    <t>Ecrêtage</t>
  </si>
  <si>
    <t xml:space="preserve">J) Liste des communes A--&gt;Z </t>
  </si>
  <si>
    <t>Aide</t>
  </si>
  <si>
    <t>Taux</t>
  </si>
  <si>
    <t>Montant à charge de la commune</t>
  </si>
  <si>
    <t>Total à charge des communes</t>
  </si>
  <si>
    <t>Taux IFO</t>
  </si>
  <si>
    <t>P é r é q u a t i o n   d i r e c t e</t>
  </si>
  <si>
    <t>Treytorrens (Payerne)</t>
  </si>
  <si>
    <t>Jorat-Mézières</t>
  </si>
  <si>
    <t>Effort</t>
  </si>
  <si>
    <t>Total net</t>
  </si>
  <si>
    <t>S y n t h è s e   e n   C H F</t>
  </si>
  <si>
    <t>Taux maximum plafonné. Art. 6 DLPIC</t>
  </si>
  <si>
    <t>Seuil 4</t>
  </si>
  <si>
    <t>Seuil 5</t>
  </si>
  <si>
    <t>Point impôt</t>
  </si>
  <si>
    <t>Total de la participation à la cohésion sociale</t>
  </si>
  <si>
    <t xml:space="preserve">Charges de fonctionnement </t>
  </si>
  <si>
    <t xml:space="preserve">Investissements </t>
  </si>
  <si>
    <t>Investissements</t>
  </si>
  <si>
    <t>Transports</t>
  </si>
  <si>
    <t>Forêts</t>
  </si>
  <si>
    <t>Totaux</t>
  </si>
  <si>
    <t>Acomptes*</t>
  </si>
  <si>
    <t>(+ à payer / - à recevoir)</t>
  </si>
  <si>
    <t>Communes</t>
  </si>
  <si>
    <t>Péréquation horizontale</t>
  </si>
  <si>
    <t>Acomptes</t>
  </si>
  <si>
    <t>Décompte</t>
  </si>
  <si>
    <t>Participation à la cohésion sociale</t>
  </si>
  <si>
    <t>Communes 
LDecTer</t>
  </si>
  <si>
    <t>Hautemorges</t>
  </si>
  <si>
    <t>Table des matières</t>
  </si>
  <si>
    <t>Cette couche alloue des montants à toutes les communes en fonction de leur population. Son but est de tenir compte du fait que certaines charges d’une commune tendent à augmenter avec l’augmentation de sa taille.</t>
  </si>
  <si>
    <t>Les dépenses thématique allouent des montants aux communes qui doivent faire face à des dépenses jugées excessives dans les domaines des transports (routes, transports publics et transports scolaires) et des forêts.</t>
  </si>
  <si>
    <t>Données saisies</t>
  </si>
  <si>
    <t>Plafond de l'effort</t>
  </si>
  <si>
    <t>Plafond de l'aide</t>
  </si>
  <si>
    <t>Plafond du taux</t>
  </si>
  <si>
    <t>Décompte vs acomptes</t>
  </si>
  <si>
    <t>← Précédent</t>
  </si>
  <si>
    <t>Suivant →</t>
  </si>
  <si>
    <t>Paramétrage du système</t>
  </si>
  <si>
    <t>Péréquation Directe - Dépenses Thématiques</t>
  </si>
  <si>
    <t>Période de calcul</t>
  </si>
  <si>
    <t>Facture policière</t>
  </si>
  <si>
    <t>Valeur du point d'impôt péréquatif (VPI)</t>
  </si>
  <si>
    <t>Paramètrage de la feuille de calcul et références aux bases légales.</t>
  </si>
  <si>
    <t>Valeur du point d'impôt péréquatif</t>
  </si>
  <si>
    <t>Participation à charge des communes</t>
  </si>
  <si>
    <t>P a r t i c i p a t i o n   à   l a    c o h é s i o n    s o c i a l e</t>
  </si>
  <si>
    <t>T o t a l   p é r é q u a t i o n    e t    f a c t u r e s    c a n t o n a l e s</t>
  </si>
  <si>
    <t>Impôt à la
 source</t>
  </si>
  <si>
    <t>Compensation RFFA</t>
  </si>
  <si>
    <t>Impôt spécial
 affecté</t>
  </si>
  <si>
    <t>Impôt foncier
normalisé</t>
  </si>
  <si>
    <t>Impôt des frontaliers</t>
  </si>
  <si>
    <t>Montant de la PCS à répartir</t>
  </si>
  <si>
    <t>À répartir en points d'impôt</t>
  </si>
  <si>
    <t>Calcul de la capacité fiscale relative</t>
  </si>
  <si>
    <t>% du taux moyen</t>
  </si>
  <si>
    <t>Participation à la cohésion sociale (PCS)</t>
  </si>
  <si>
    <t>Prélèvement sur les impôts conjoncturels</t>
  </si>
  <si>
    <t>Synthèse</t>
  </si>
  <si>
    <t>Plafond
forêts</t>
  </si>
  <si>
    <t>Total
forêts</t>
  </si>
  <si>
    <t>Total
transports</t>
  </si>
  <si>
    <t>Plafonds</t>
  </si>
  <si>
    <t>Plafond en points</t>
  </si>
  <si>
    <t>Alimentation péréquation directe</t>
  </si>
  <si>
    <t>Effort péréquatif net</t>
  </si>
  <si>
    <t>Acomptes 2022</t>
  </si>
  <si>
    <t>Taux après déduction de l'ancien effort</t>
  </si>
  <si>
    <t>Restitution en CHF</t>
  </si>
  <si>
    <t>Retenue
en CHF</t>
  </si>
  <si>
    <t>Total routes et infrastructures</t>
  </si>
  <si>
    <t>Avec police communale</t>
  </si>
  <si>
    <t>Communes avec police</t>
  </si>
  <si>
    <t>Cette couche alloue des montants aux communes avec une valeur du point d’impôt péréquatif par habitant inférieure à la moyenne. Elle cible de manière directe les disparités de capacité financière entre les communes.</t>
  </si>
  <si>
    <t xml:space="preserve"> Extraction synthétique des montants à recevoir ou à payer pour une commune au choix.</t>
  </si>
  <si>
    <t>Calcul de la valeur du point d'impôt péréquatif selon les dispositions légales en vigueur.</t>
  </si>
  <si>
    <t>Acomptes/décompte et année</t>
  </si>
  <si>
    <t>Impôt sur le revenu</t>
  </si>
  <si>
    <t>Impôt sur la fortune</t>
  </si>
  <si>
    <t>Impôt sur le bénéfice</t>
  </si>
  <si>
    <t>Impôt sur le capital</t>
  </si>
  <si>
    <t>Impôt sur les immeubles des sociétés</t>
  </si>
  <si>
    <t>Prélèvement sur les impôts conjoncturels (art. 3 LPIC)</t>
  </si>
  <si>
    <t>Droits de mutation, gains immobiliers, successions et donations</t>
  </si>
  <si>
    <t>Pourcentage prélevé</t>
  </si>
  <si>
    <t>Ecrêtage (art. 4 LPIC)</t>
  </si>
  <si>
    <t>Couche population (art. 8 LPIC et art. 2 DLPIC)</t>
  </si>
  <si>
    <t>Seuil de population (habitants)</t>
  </si>
  <si>
    <t>Couche solidarité (art. 8 LPIC et art. 3 DLPIC)</t>
  </si>
  <si>
    <t>Taux de compensation pour les communes à faible capacité financière</t>
  </si>
  <si>
    <t>Gestion du fond (art. 8 DLPIC)</t>
  </si>
  <si>
    <t>Montants affectés aux plafonnements et gestion du fond</t>
  </si>
  <si>
    <t>Dépenses thématiques (art. 8 LPIC et art. 4 DLPIC)</t>
  </si>
  <si>
    <t>Entretien des forêts</t>
  </si>
  <si>
    <t>Transports publics, transports routiers et transports scolaires</t>
  </si>
  <si>
    <t>Total des dépassements</t>
  </si>
  <si>
    <t>Compensation théorique</t>
  </si>
  <si>
    <t>Plafond global (art. 4 al. 2)</t>
  </si>
  <si>
    <t>Aide péréquatif maximal en points d'impôt (art. 5 DLPIC)</t>
  </si>
  <si>
    <t>Effort péréquatif maximal en points d'impôt (art. 9d DLPIC)</t>
  </si>
  <si>
    <t>Nouveau article prévu par l'EMPD Budget de l'Etat de 2022 (maintien de la pratique 2020-2021).</t>
  </si>
  <si>
    <t>Paramètres des plafonds</t>
  </si>
  <si>
    <t>Total plafonds</t>
  </si>
  <si>
    <t>Financement</t>
  </si>
  <si>
    <t>Indexation du taux maximum</t>
  </si>
  <si>
    <t>Taux plafonné de l'année précédente</t>
  </si>
  <si>
    <t>Valeur du point (année précédente)</t>
  </si>
  <si>
    <t>PCS (année précédente)</t>
  </si>
  <si>
    <t>Montant de la facture 2013</t>
  </si>
  <si>
    <t>Augmentation forfaitaire annuelle</t>
  </si>
  <si>
    <t>Année de la facture policière</t>
  </si>
  <si>
    <t>Budget/comptes et année pour la PCS</t>
  </si>
  <si>
    <t>Date de la population</t>
  </si>
  <si>
    <t>Année des données de référence (rendements, taux, DT, etc.)</t>
  </si>
  <si>
    <t>Acomptes T-1</t>
  </si>
  <si>
    <t>Table des
matières</t>
  </si>
  <si>
    <t>Solde en points d'impôt</t>
  </si>
  <si>
    <t>Valeur du point par habitant</t>
  </si>
  <si>
    <t>Compensation de base</t>
  </si>
  <si>
    <t>Total à financer (alimentation)</t>
  </si>
  <si>
    <t>Différence = 0</t>
  </si>
  <si>
    <t>Données concernant toutes les communes saisies pour être utilisées dans les calculs du système de péréquation.</t>
  </si>
  <si>
    <t>Déduction complémentaire au montant de la PCS selon art. 17b al. 3 LOF</t>
  </si>
  <si>
    <t>à ajouter</t>
  </si>
  <si>
    <t>à déduire</t>
  </si>
  <si>
    <t>Effort  péréquatif net avec plafonds</t>
  </si>
  <si>
    <t>Effort péréquatif net sans dép. thém. et avec plafonds</t>
  </si>
  <si>
    <t>Répartition par habitant de la facture policière</t>
  </si>
  <si>
    <t>Valeur du
point d'impôt péréquatif</t>
  </si>
  <si>
    <t>Valeur du point d'impôt péréquatif par habitant</t>
  </si>
  <si>
    <t>Financement du solde en points</t>
  </si>
  <si>
    <t>Alimentation de la péréquation directe</t>
  </si>
  <si>
    <t>Données -&gt; Analyse de scenario -&gt; Valeur cible. Définir C49, cibler 0, modifier B49.</t>
  </si>
  <si>
    <t>Compensation</t>
  </si>
  <si>
    <t>Compensation pondérée</t>
  </si>
  <si>
    <t>Compensation population</t>
  </si>
  <si>
    <t>Compensation solidarité</t>
  </si>
  <si>
    <t>Compensation dépenses thématiques</t>
  </si>
  <si>
    <t>Montants à financer</t>
  </si>
  <si>
    <t>Couches péréquatives</t>
  </si>
  <si>
    <t>Compensation plafonds</t>
  </si>
  <si>
    <t>Effet net de la péréquation directe</t>
  </si>
  <si>
    <t>Compensation transports</t>
  </si>
  <si>
    <t>Compensation forêts</t>
  </si>
  <si>
    <t>Total des compensations</t>
  </si>
  <si>
    <t>Total du financement</t>
  </si>
  <si>
    <t>Forfait pour la gestion du système</t>
  </si>
  <si>
    <t>Taux projeté</t>
  </si>
  <si>
    <t>Impôts sur le revenu et la fortune</t>
  </si>
  <si>
    <t>Impôts sur le bénéfice et le capital, y compris compensation RFFA</t>
  </si>
  <si>
    <t>Prise en charge</t>
  </si>
  <si>
    <t>Répartition solde après prélèvements conjoncturels et écrêtage</t>
  </si>
  <si>
    <t>Facturation aux communes délégatrices</t>
  </si>
  <si>
    <t>F a c t u r e   p o l i c i è r e</t>
  </si>
  <si>
    <t>Répartition du solde de la facture</t>
  </si>
  <si>
    <t>Total de la facture policière</t>
  </si>
  <si>
    <t>Recherche par commune</t>
  </si>
  <si>
    <t>Total net de la péréquation directe</t>
  </si>
  <si>
    <t>D-A</t>
  </si>
  <si>
    <t>À venir</t>
  </si>
  <si>
    <t>Facture
policière</t>
  </si>
  <si>
    <t>Solde</t>
  </si>
  <si>
    <t>Droits de mutation, gains immobiliers et successions</t>
  </si>
  <si>
    <t>Modifications de taxations antérieures</t>
  </si>
  <si>
    <t>Impôt sur la dépense</t>
  </si>
  <si>
    <t>PPR + PPF</t>
  </si>
  <si>
    <t>PMB + PMC</t>
  </si>
  <si>
    <t>PCS sans prélèvements conjoncturels</t>
  </si>
  <si>
    <t>Effort net sans dépenses thématiques et avec prélévements conjoncturels</t>
  </si>
  <si>
    <r>
      <t xml:space="preserve">Financement reçu pour les nouvelles tâches
</t>
    </r>
    <r>
      <rPr>
        <i/>
        <sz val="9"/>
        <color theme="0"/>
        <rFont val="Calibri"/>
        <family val="2"/>
        <scheme val="minor"/>
      </rPr>
      <t>(équivalent de 2 points d'impôt communaux)</t>
    </r>
  </si>
  <si>
    <r>
      <t xml:space="preserve">Facturation aux communes délégatrices 
</t>
    </r>
    <r>
      <rPr>
        <i/>
        <sz val="9"/>
        <color theme="0"/>
        <rFont val="Calibri"/>
        <family val="2"/>
        <scheme val="minor"/>
      </rPr>
      <t>(au maximum l'équivalent de 2 points d'impôt communaux)</t>
    </r>
  </si>
  <si>
    <t>Routes et infrastructures</t>
  </si>
  <si>
    <r>
      <t xml:space="preserve">
</t>
    </r>
    <r>
      <rPr>
        <sz val="8"/>
        <rFont val="Calibri"/>
        <family val="2"/>
        <scheme val="minor"/>
      </rPr>
      <t>*montants selon le fichier des acomptes initiaux adoptés par la COPAR. Ne tient pas compte des arrangements survenus en cours d'année. Les factures, respectivement les remboursements, seront gérés par les services concernés, à savoir :
- pour la péréquation indirecte, par le Département de la santé et de l'action sociale (DSAS) ;
- pour la péréquation directe, par la Direction générale des affaires institutionnelles et des communes (DGAIC);
- pour la facture policière, par la police cantonale (PolCant).</t>
    </r>
  </si>
  <si>
    <t>PCS - Détail écrêtage</t>
  </si>
  <si>
    <t>Détail écrêtage</t>
  </si>
  <si>
    <t>La participation à la cohésion sociale (PCS) est une facture cantonale faisant participer les communes au financement des dépenses engagées par le canton en faveur des couches les plus fragiles de la population. Elle est financée en trois étapes (prélèvements conjoncturels, écrêtage et répartition du solde en fonction de la valeur du point d'impôt).</t>
  </si>
  <si>
    <t>La méthode de calcul de l'écrêtage étant particulièrement élaborée, elle fait l'objet d'un onglet de calcul à part.</t>
  </si>
  <si>
    <t>Le fonds de péréquation intercommunal comprend trois couches de subventionnement et trois plafonds. Les montants versés sont financés par les communes proportionnellement à la valeur des leurs points d'impôt péréquatifs.</t>
  </si>
  <si>
    <t>Dépenses thématiques (DT)</t>
  </si>
  <si>
    <t>Solidarité</t>
  </si>
  <si>
    <t>Répartition entre les communes du coût des missions générales de police (MGP) accomplies par la police cantonale.</t>
  </si>
  <si>
    <t>Synthèse des transferts générés par chaque composante du système de péréquation.</t>
  </si>
  <si>
    <t>Compensation 
dépenses thématiques</t>
  </si>
  <si>
    <t>Fonds de péréquation intercommunal
(ou péréquation directe)</t>
  </si>
  <si>
    <t>Paramètres</t>
  </si>
  <si>
    <t>Différences entre le décompte et les acomptes déjà versés (pertinent uniquement dans le fichier avec le décompte).</t>
  </si>
  <si>
    <t>Plafonds (effort, aide et taux)</t>
  </si>
  <si>
    <t>Montant nécessaire pour financer le total des plafonnements</t>
  </si>
  <si>
    <t>Crans</t>
  </si>
  <si>
    <t>Blonay-St-Légier</t>
  </si>
  <si>
    <t>Acomptes 2023</t>
  </si>
  <si>
    <t>budget 2023</t>
  </si>
  <si>
    <t>Régimes repris intégralement par le Canton dès 2022 selon art. 17b al. 2 let a LOF</t>
  </si>
  <si>
    <t>Solde à déduire de la PCS selon convention (CHF 70 mios pour 2023)</t>
  </si>
  <si>
    <t>Montant brut de la PCS avant convention et déduction complémentaire</t>
  </si>
  <si>
    <t>Coût des agences d'assurances sociales reprise par l'Etat (hors PCS)</t>
  </si>
  <si>
    <t>Montant net de la PCS à la charge des communes communiqué par DSAS
Montant tenant compte de  :</t>
  </si>
  <si>
    <t xml:space="preserve">Total accord d'août 2020
CH 70 mios </t>
  </si>
  <si>
    <r>
      <rPr>
        <b/>
        <sz val="8"/>
        <rFont val="Calibri"/>
        <family val="2"/>
        <scheme val="minor"/>
      </rPr>
      <t xml:space="preserve">Suivi des modifications législatives depuis 2017
</t>
    </r>
    <r>
      <rPr>
        <sz val="8"/>
        <rFont val="Calibri"/>
        <family val="2"/>
        <scheme val="minor"/>
      </rPr>
      <t xml:space="preserve">
</t>
    </r>
    <r>
      <rPr>
        <b/>
        <sz val="8"/>
        <rFont val="Calibri"/>
        <family val="2"/>
        <scheme val="minor"/>
      </rPr>
      <t>2017</t>
    </r>
    <r>
      <rPr>
        <sz val="8"/>
        <rFont val="Calibri"/>
        <family val="2"/>
        <scheme val="minor"/>
      </rPr>
      <t xml:space="preserve">: point d'impôt écrêté à 65% et plafond de l'aide augmenté de 5 à 6,5 points.
</t>
    </r>
    <r>
      <rPr>
        <b/>
        <sz val="8"/>
        <rFont val="Calibri"/>
        <family val="2"/>
        <scheme val="minor"/>
      </rPr>
      <t>2018</t>
    </r>
    <r>
      <rPr>
        <sz val="8"/>
        <rFont val="Calibri"/>
        <family val="2"/>
        <scheme val="minor"/>
      </rPr>
      <t xml:space="preserve">: point d'impôt écrêté à 50% et plafond de l'effort provisoirement fixé à 45 points (2018-2019)
</t>
    </r>
    <r>
      <rPr>
        <b/>
        <sz val="8"/>
        <rFont val="Calibri"/>
        <family val="2"/>
        <scheme val="minor"/>
      </rPr>
      <t>Dès 2019</t>
    </r>
    <r>
      <rPr>
        <sz val="8"/>
        <rFont val="Calibri"/>
        <family val="2"/>
        <scheme val="minor"/>
      </rPr>
      <t xml:space="preserve">: plafond de l'aide augmenté à 8 points, abandon du point d'impôt écrêté, nouveau palier d'écrêtage entre 100% et 120%, diminution de 6 points pour les autres paliers d'écrêtage, augmentation à CHF 125.- de la première tranche de la couche population, augmentation de 4 à 4,5 points du plafond global pour les dépenses thématiques.
</t>
    </r>
    <r>
      <rPr>
        <b/>
        <sz val="8"/>
        <rFont val="Calibri"/>
        <family val="2"/>
        <scheme val="minor"/>
      </rPr>
      <t>Dès 2020</t>
    </r>
    <r>
      <rPr>
        <sz val="8"/>
        <rFont val="Calibri"/>
        <family val="2"/>
        <scheme val="minor"/>
      </rPr>
      <t xml:space="preserve">: Compensation RFFA répartie en fonction du rendement des impôts PM. Exclusion du montant du prélèvement sur les impôts conjoncturels du calcul de l'effort péréquatif. Plafond de l'effort provisoirement fixé à 48 points (2020-2021).
</t>
    </r>
    <r>
      <rPr>
        <b/>
        <sz val="8"/>
        <rFont val="Calibri"/>
        <family val="2"/>
        <scheme val="minor"/>
      </rPr>
      <t>2021</t>
    </r>
    <r>
      <rPr>
        <sz val="8"/>
        <rFont val="Calibri"/>
        <family val="2"/>
        <scheme val="minor"/>
      </rPr>
      <t xml:space="preserve">: déduction forfaitaire de CHF 25 millions au montant de la PCS (art. 19a LOF)
</t>
    </r>
    <r>
      <rPr>
        <b/>
        <sz val="8"/>
        <rFont val="Calibri"/>
        <family val="2"/>
        <scheme val="minor"/>
      </rPr>
      <t>Dès 2022</t>
    </r>
    <r>
      <rPr>
        <sz val="8"/>
        <rFont val="Calibri"/>
        <family val="2"/>
        <scheme val="minor"/>
      </rPr>
      <t>: reconduction du plafond de l'effort provisoire à 48 points (2022-2023), reprise par l'Etat de certaines dépenses sociales incluses jusqu'ici dans la PCS et application de la déduction forfaitaire complémentaire à la PCS prévue par l'art. 19a LOF.</t>
    </r>
  </si>
  <si>
    <t>Montant
prélevé</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</si>
</sst>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2">
    <numFmt numFmtId="43" formatCode="_-* #,##0.00_-;\-* #,##0.00_-;_-* &quot;-&quot;??_-;_-@_-"/>
    <numFmt numFmtId="164" formatCode="_-* #,##0.00\ _C_H_F_-;\-* #,##0.00\ _C_H_F_-;_-* &quot;-&quot;??\ _C_H_F_-;_-@_-"/>
    <numFmt numFmtId="165" formatCode="_ * #,##0.00_ ;_ * \-#,##0.00_ ;_ * &quot;-&quot;??_ ;_ @_ "/>
    <numFmt numFmtId="166" formatCode="#\ ###\ ###\ ##0"/>
    <numFmt numFmtId="167" formatCode="#,##0.0"/>
    <numFmt numFmtId="168" formatCode="0.0%"/>
    <numFmt numFmtId="169" formatCode="#\ ###\ ##0"/>
    <numFmt numFmtId="170" formatCode="0.000"/>
    <numFmt numFmtId="171" formatCode="#,##0.000"/>
    <numFmt numFmtId="172" formatCode="#,##0;\-#,##0;"/>
    <numFmt numFmtId="173" formatCode="#,##0.000000"/>
    <numFmt numFmtId="174" formatCode="0.0000"/>
    <numFmt numFmtId="175" formatCode="_-* #,##0_-;\-* #,##0_-;_-* &quot;-&quot;??_-;_-@_-"/>
    <numFmt numFmtId="176" formatCode="_ * #,##0_ ;_ * \-#,##0_ ;_ * &quot;-&quot;??_ ;_ @_ "/>
    <numFmt numFmtId="177" formatCode="_-* #,##0.0_-;\-* #,##0.0_-;_-* &quot;-&quot;??_-;_-@_-"/>
    <numFmt numFmtId="178" formatCode="_ * #,##0.000_ ;_ * \-#,##0.000_ ;_ * &quot;-&quot;??_ ;_ @_ "/>
    <numFmt numFmtId="179" formatCode="0_ ;\-0\ "/>
    <numFmt numFmtId="180" formatCode="#,##0_ ;\-#,##0\ "/>
    <numFmt numFmtId="181" formatCode="#,##0.00_ ;\-#,##0.00\ "/>
    <numFmt numFmtId="182" formatCode="_-* #,##0.000_-;\-* #,##0.000_-;_-* &quot;-&quot;??_-;_-@_-"/>
    <numFmt numFmtId="183" formatCode="0.0"/>
    <numFmt numFmtId="184" formatCode="_-* #,##0.00000_-;\-* #,##0.00000_-;_-* &quot;-&quot;??_-;_-@_-"/>
  </numFmts>
  <fonts count="80" x14ac:knownFonts="1">
    <font>
      <sz val="10"/>
      <name val="Verdana"/>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Verdana"/>
      <family val="2"/>
    </font>
    <font>
      <sz val="10"/>
      <name val="Arial Narrow"/>
      <family val="2"/>
    </font>
    <font>
      <sz val="10"/>
      <name val="Arial"/>
      <family val="2"/>
    </font>
    <font>
      <sz val="8"/>
      <name val="Verdana"/>
      <family val="2"/>
    </font>
    <font>
      <sz val="10"/>
      <color indexed="8"/>
      <name val="Arial"/>
      <family val="2"/>
    </font>
    <font>
      <sz val="10"/>
      <name val="Times New Roman"/>
      <family val="1"/>
    </font>
    <font>
      <sz val="14"/>
      <name val="Times New Roman"/>
      <family val="1"/>
    </font>
    <font>
      <sz val="10"/>
      <name val="MS Sans Serif"/>
      <family val="2"/>
    </font>
    <font>
      <sz val="11"/>
      <color theme="1"/>
      <name val="Calibri"/>
      <family val="2"/>
      <scheme val="minor"/>
    </font>
    <font>
      <sz val="11"/>
      <color theme="0"/>
      <name val="Calibri"/>
      <family val="2"/>
      <scheme val="minor"/>
    </font>
    <font>
      <sz val="11"/>
      <name val="Calibri"/>
      <family val="2"/>
      <scheme val="minor"/>
    </font>
    <font>
      <i/>
      <sz val="11"/>
      <name val="Calibri"/>
      <family val="2"/>
      <scheme val="minor"/>
    </font>
    <font>
      <sz val="16"/>
      <name val="Calibri"/>
      <family val="2"/>
      <scheme val="minor"/>
    </font>
    <font>
      <b/>
      <sz val="11"/>
      <name val="Calibri"/>
      <family val="2"/>
      <scheme val="minor"/>
    </font>
    <font>
      <sz val="11"/>
      <color indexed="10"/>
      <name val="Calibri"/>
      <family val="2"/>
      <scheme val="minor"/>
    </font>
    <font>
      <sz val="11"/>
      <color indexed="8"/>
      <name val="Calibri"/>
      <family val="2"/>
      <scheme val="minor"/>
    </font>
    <font>
      <sz val="20"/>
      <name val="Calibri"/>
      <family val="2"/>
      <scheme val="minor"/>
    </font>
    <font>
      <sz val="20"/>
      <color theme="0"/>
      <name val="Calibri"/>
      <family val="2"/>
      <scheme val="minor"/>
    </font>
    <font>
      <sz val="10"/>
      <name val="Arial"/>
      <family val="2"/>
    </font>
    <font>
      <sz val="10"/>
      <name val="Calibri"/>
      <family val="2"/>
      <scheme val="minor"/>
    </font>
    <font>
      <sz val="12"/>
      <color theme="0"/>
      <name val="Trebuchet MS"/>
      <family val="2"/>
    </font>
    <font>
      <b/>
      <sz val="10"/>
      <name val="Calibri"/>
      <family val="2"/>
      <scheme val="minor"/>
    </font>
    <font>
      <sz val="14"/>
      <name val="Trebuchet MS"/>
      <family val="2"/>
    </font>
    <font>
      <sz val="11"/>
      <color theme="0"/>
      <name val="Calibri"/>
      <family val="2"/>
    </font>
    <font>
      <sz val="11"/>
      <name val="Calibri"/>
      <family val="2"/>
    </font>
    <font>
      <sz val="8"/>
      <name val="Helvetica"/>
    </font>
    <font>
      <sz val="10"/>
      <name val="Arial"/>
      <family val="2"/>
    </font>
    <font>
      <sz val="10"/>
      <color indexed="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8"/>
      <name val="Calibri"/>
      <family val="2"/>
    </font>
    <font>
      <b/>
      <sz val="11"/>
      <color indexed="9"/>
      <name val="Calibri"/>
      <family val="2"/>
    </font>
    <font>
      <b/>
      <sz val="9"/>
      <name val="Calibri"/>
      <family val="2"/>
      <scheme val="minor"/>
    </font>
    <font>
      <b/>
      <sz val="9"/>
      <color theme="1"/>
      <name val="Calibri"/>
      <family val="2"/>
      <scheme val="minor"/>
    </font>
    <font>
      <b/>
      <sz val="9"/>
      <color indexed="81"/>
      <name val="Tahoma"/>
      <family val="2"/>
    </font>
    <font>
      <sz val="8"/>
      <name val="Calibri"/>
      <family val="2"/>
      <scheme val="minor"/>
    </font>
    <font>
      <sz val="9"/>
      <name val="Calibri"/>
      <family val="2"/>
      <scheme val="minor"/>
    </font>
    <font>
      <u/>
      <sz val="10"/>
      <color theme="10"/>
      <name val="Verdana"/>
      <family val="2"/>
    </font>
    <font>
      <b/>
      <sz val="10"/>
      <name val="Verdana"/>
      <family val="2"/>
    </font>
    <font>
      <b/>
      <sz val="16"/>
      <name val="Verdana"/>
      <family val="2"/>
    </font>
    <font>
      <b/>
      <sz val="20"/>
      <name val="Calibri"/>
      <family val="2"/>
      <scheme val="minor"/>
    </font>
    <font>
      <sz val="11"/>
      <color rgb="FF0070C0"/>
      <name val="Calibri"/>
      <family val="2"/>
      <scheme val="minor"/>
    </font>
    <font>
      <sz val="12"/>
      <name val="Calibri"/>
      <family val="2"/>
      <scheme val="minor"/>
    </font>
    <font>
      <sz val="9"/>
      <color indexed="81"/>
      <name val="Tahoma"/>
      <family val="2"/>
    </font>
    <font>
      <i/>
      <sz val="9"/>
      <name val="Calibri"/>
      <family val="2"/>
      <scheme val="minor"/>
    </font>
    <font>
      <u/>
      <sz val="9"/>
      <color indexed="81"/>
      <name val="Tahoma"/>
      <family val="2"/>
    </font>
    <font>
      <i/>
      <sz val="9"/>
      <color theme="0"/>
      <name val="Calibri"/>
      <family val="2"/>
      <scheme val="minor"/>
    </font>
    <font>
      <b/>
      <sz val="8"/>
      <name val="Calibri"/>
      <family val="2"/>
      <scheme val="minor"/>
    </font>
    <font>
      <u/>
      <sz val="8"/>
      <color theme="10"/>
      <name val="Verdana"/>
      <family val="2"/>
    </font>
  </fonts>
  <fills count="4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92D050"/>
        <bgColor indexed="64"/>
      </patternFill>
    </fill>
    <fill>
      <patternFill patternType="solid">
        <fgColor rgb="FF00B050"/>
        <bgColor indexed="64"/>
      </patternFill>
    </fill>
    <fill>
      <patternFill patternType="solid">
        <fgColor rgb="FFFFC000"/>
        <bgColor indexed="64"/>
      </patternFill>
    </fill>
    <fill>
      <patternFill patternType="solid">
        <fgColor theme="3" tint="0.59999389629810485"/>
        <bgColor indexed="64"/>
      </patternFill>
    </fill>
    <fill>
      <patternFill patternType="solid">
        <fgColor rgb="FF00206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43"/>
      </patternFill>
    </fill>
    <fill>
      <patternFill patternType="solid">
        <fgColor indexed="55"/>
      </patternFill>
    </fill>
    <fill>
      <patternFill patternType="solid">
        <fgColor theme="6" tint="0.59999389629810485"/>
        <bgColor indexed="64"/>
      </patternFill>
    </fill>
    <fill>
      <patternFill patternType="solid">
        <fgColor theme="0" tint="-0.14999847407452621"/>
        <bgColor indexed="64"/>
      </patternFill>
    </fill>
    <fill>
      <patternFill patternType="solid">
        <fgColor theme="7" tint="0.39997558519241921"/>
        <bgColor indexed="64"/>
      </patternFill>
    </fill>
    <fill>
      <patternFill patternType="solid">
        <fgColor rgb="FFFF0000"/>
        <bgColor indexed="64"/>
      </patternFill>
    </fill>
    <fill>
      <patternFill patternType="solid">
        <fgColor theme="5" tint="0.39997558519241921"/>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0" tint="-0.499984740745262"/>
        <bgColor indexed="64"/>
      </patternFill>
    </fill>
    <fill>
      <patternFill patternType="solid">
        <fgColor rgb="FF0070C0"/>
        <bgColor indexed="64"/>
      </patternFill>
    </fill>
    <fill>
      <patternFill patternType="solid">
        <fgColor rgb="FFC00000"/>
        <bgColor indexed="64"/>
      </patternFill>
    </fill>
    <fill>
      <patternFill patternType="solid">
        <fgColor theme="7" tint="-0.249977111117893"/>
        <bgColor indexed="64"/>
      </patternFill>
    </fill>
    <fill>
      <patternFill patternType="solid">
        <fgColor theme="7" tint="0.79998168889431442"/>
        <bgColor indexed="64"/>
      </patternFill>
    </fill>
    <fill>
      <patternFill patternType="solid">
        <fgColor theme="3" tint="0.79998168889431442"/>
        <bgColor indexed="64"/>
      </patternFill>
    </fill>
    <fill>
      <patternFill patternType="solid">
        <fgColor theme="6" tint="0.39997558519241921"/>
        <bgColor indexed="64"/>
      </patternFill>
    </fill>
    <fill>
      <patternFill patternType="solid">
        <fgColor theme="9" tint="0.79998168889431442"/>
        <bgColor indexed="64"/>
      </patternFill>
    </fill>
    <fill>
      <patternFill patternType="solid">
        <fgColor theme="0" tint="-0.34998626667073579"/>
        <bgColor indexed="64"/>
      </patternFill>
    </fill>
    <fill>
      <patternFill patternType="solid">
        <fgColor theme="9" tint="0.59999389629810485"/>
        <bgColor indexed="64"/>
      </patternFill>
    </fill>
  </fills>
  <borders count="34">
    <border>
      <left/>
      <right/>
      <top/>
      <bottom/>
      <diagonal/>
    </border>
    <border>
      <left/>
      <right/>
      <top style="medium">
        <color indexed="64"/>
      </top>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right/>
      <top style="medium">
        <color indexed="8"/>
      </top>
      <bottom/>
      <diagonal/>
    </border>
    <border>
      <left style="hair">
        <color indexed="8"/>
      </left>
      <right style="hair">
        <color indexed="8"/>
      </right>
      <top style="hair">
        <color indexed="8"/>
      </top>
      <bottom style="hair">
        <color indexed="8"/>
      </bottom>
      <diagonal/>
    </border>
    <border>
      <left/>
      <right style="thin">
        <color theme="0"/>
      </right>
      <top/>
      <bottom style="thin">
        <color theme="0"/>
      </bottom>
      <diagonal/>
    </border>
    <border>
      <left/>
      <right/>
      <top/>
      <bottom style="thin">
        <color theme="0"/>
      </bottom>
      <diagonal/>
    </border>
    <border>
      <left/>
      <right style="thin">
        <color theme="0"/>
      </right>
      <top/>
      <bottom/>
      <diagonal/>
    </border>
    <border>
      <left style="thin">
        <color theme="0"/>
      </left>
      <right style="thin">
        <color theme="0"/>
      </right>
      <top/>
      <bottom style="thin">
        <color indexed="64"/>
      </bottom>
      <diagonal/>
    </border>
    <border>
      <left/>
      <right style="thin">
        <color theme="0"/>
      </right>
      <top/>
      <bottom style="thin">
        <color indexed="64"/>
      </bottom>
      <diagonal/>
    </border>
    <border>
      <left style="thin">
        <color rgb="FFC00000"/>
      </left>
      <right style="thin">
        <color rgb="FFC00000"/>
      </right>
      <top style="thin">
        <color rgb="FFC00000"/>
      </top>
      <bottom/>
      <diagonal/>
    </border>
  </borders>
  <cellStyleXfs count="669">
    <xf numFmtId="0" fontId="0" fillId="0" borderId="0"/>
    <xf numFmtId="0" fontId="23" fillId="0" borderId="1"/>
    <xf numFmtId="0" fontId="24" fillId="0" borderId="0"/>
    <xf numFmtId="0" fontId="23" fillId="0" borderId="2">
      <alignment vertical="top"/>
    </xf>
    <xf numFmtId="43" fontId="18" fillId="0" borderId="0" applyFont="0" applyFill="0" applyBorder="0" applyAlignment="0" applyProtection="0"/>
    <xf numFmtId="165" fontId="20" fillId="0" borderId="0" applyFont="0" applyFill="0" applyBorder="0" applyAlignment="0" applyProtection="0"/>
    <xf numFmtId="165" fontId="26" fillId="0" borderId="0" applyFont="0" applyFill="0" applyBorder="0" applyAlignment="0" applyProtection="0"/>
    <xf numFmtId="0" fontId="25" fillId="0" borderId="0"/>
    <xf numFmtId="0" fontId="22" fillId="0" borderId="0"/>
    <xf numFmtId="0" fontId="20" fillId="0" borderId="0"/>
    <xf numFmtId="0" fontId="26" fillId="0" borderId="0"/>
    <xf numFmtId="0" fontId="19" fillId="0" borderId="0"/>
    <xf numFmtId="9" fontId="18" fillId="0" borderId="0" applyFont="0" applyFill="0" applyBorder="0" applyAlignment="0" applyProtection="0"/>
    <xf numFmtId="9" fontId="20" fillId="0" borderId="0" applyFont="0" applyFill="0" applyBorder="0" applyAlignment="0" applyProtection="0"/>
    <xf numFmtId="165" fontId="36" fillId="0" borderId="0" applyFont="0" applyFill="0" applyBorder="0" applyAlignment="0" applyProtection="0"/>
    <xf numFmtId="0" fontId="36" fillId="0" borderId="0"/>
    <xf numFmtId="165" fontId="16" fillId="0" borderId="0" applyFont="0" applyFill="0" applyBorder="0" applyAlignment="0" applyProtection="0"/>
    <xf numFmtId="0" fontId="16" fillId="0" borderId="0"/>
    <xf numFmtId="0" fontId="18" fillId="0" borderId="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20" fillId="0" borderId="0" applyFont="0" applyFill="0" applyBorder="0" applyAlignment="0" applyProtection="0"/>
    <xf numFmtId="0" fontId="15" fillId="0" borderId="0"/>
    <xf numFmtId="0" fontId="15" fillId="0" borderId="0"/>
    <xf numFmtId="0" fontId="15" fillId="0" borderId="0"/>
    <xf numFmtId="0" fontId="15" fillId="0" borderId="0"/>
    <xf numFmtId="0" fontId="20" fillId="0" borderId="0"/>
    <xf numFmtId="165" fontId="14" fillId="0" borderId="0" applyFont="0" applyFill="0" applyBorder="0" applyAlignment="0" applyProtection="0"/>
    <xf numFmtId="0" fontId="14" fillId="0" borderId="0"/>
    <xf numFmtId="165" fontId="14" fillId="0" borderId="0" applyFont="0" applyFill="0" applyBorder="0" applyAlignment="0" applyProtection="0"/>
    <xf numFmtId="0" fontId="14" fillId="0" borderId="0"/>
    <xf numFmtId="165" fontId="14" fillId="0" borderId="0" applyFont="0" applyFill="0" applyBorder="0" applyAlignment="0" applyProtection="0"/>
    <xf numFmtId="0" fontId="14" fillId="0" borderId="0"/>
    <xf numFmtId="165" fontId="14" fillId="0" borderId="0" applyFont="0" applyFill="0" applyBorder="0" applyAlignment="0" applyProtection="0"/>
    <xf numFmtId="0" fontId="14" fillId="0" borderId="0"/>
    <xf numFmtId="165" fontId="14" fillId="0" borderId="0" applyFont="0" applyFill="0" applyBorder="0" applyAlignment="0" applyProtection="0"/>
    <xf numFmtId="0" fontId="14" fillId="0" borderId="0"/>
    <xf numFmtId="165" fontId="14" fillId="0" borderId="0" applyFont="0" applyFill="0" applyBorder="0" applyAlignment="0" applyProtection="0"/>
    <xf numFmtId="0" fontId="14" fillId="0" borderId="0"/>
    <xf numFmtId="165" fontId="13" fillId="0" borderId="0" applyFont="0" applyFill="0" applyBorder="0" applyAlignment="0" applyProtection="0"/>
    <xf numFmtId="0" fontId="13" fillId="0" borderId="0"/>
    <xf numFmtId="165" fontId="13" fillId="0" borderId="0" applyFont="0" applyFill="0" applyBorder="0" applyAlignment="0" applyProtection="0"/>
    <xf numFmtId="0" fontId="13" fillId="0" borderId="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0" fontId="13" fillId="0" borderId="0"/>
    <xf numFmtId="0" fontId="13" fillId="0" borderId="0"/>
    <xf numFmtId="0" fontId="13" fillId="0" borderId="0"/>
    <xf numFmtId="0" fontId="13" fillId="0" borderId="0"/>
    <xf numFmtId="165" fontId="13" fillId="0" borderId="0" applyFont="0" applyFill="0" applyBorder="0" applyAlignment="0" applyProtection="0"/>
    <xf numFmtId="0" fontId="13" fillId="0" borderId="0"/>
    <xf numFmtId="165" fontId="13" fillId="0" borderId="0" applyFont="0" applyFill="0" applyBorder="0" applyAlignment="0" applyProtection="0"/>
    <xf numFmtId="0" fontId="13" fillId="0" borderId="0"/>
    <xf numFmtId="165" fontId="13" fillId="0" borderId="0" applyFont="0" applyFill="0" applyBorder="0" applyAlignment="0" applyProtection="0"/>
    <xf numFmtId="0" fontId="13" fillId="0" borderId="0"/>
    <xf numFmtId="165" fontId="13" fillId="0" borderId="0" applyFont="0" applyFill="0" applyBorder="0" applyAlignment="0" applyProtection="0"/>
    <xf numFmtId="0" fontId="13" fillId="0" borderId="0"/>
    <xf numFmtId="165" fontId="13" fillId="0" borderId="0" applyFont="0" applyFill="0" applyBorder="0" applyAlignment="0" applyProtection="0"/>
    <xf numFmtId="0" fontId="13" fillId="0" borderId="0"/>
    <xf numFmtId="165" fontId="13" fillId="0" borderId="0" applyFont="0" applyFill="0" applyBorder="0" applyAlignment="0" applyProtection="0"/>
    <xf numFmtId="0" fontId="13" fillId="0" borderId="0"/>
    <xf numFmtId="0" fontId="12" fillId="0" borderId="0"/>
    <xf numFmtId="165" fontId="12" fillId="0" borderId="0" applyFont="0" applyFill="0" applyBorder="0" applyAlignment="0" applyProtection="0"/>
    <xf numFmtId="165" fontId="12" fillId="0" borderId="0" applyFont="0" applyFill="0" applyBorder="0" applyAlignment="0" applyProtection="0"/>
    <xf numFmtId="0" fontId="12" fillId="0" borderId="0"/>
    <xf numFmtId="165" fontId="12" fillId="0" borderId="0" applyFont="0" applyFill="0" applyBorder="0" applyAlignment="0" applyProtection="0"/>
    <xf numFmtId="0" fontId="12" fillId="0" borderId="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164" fontId="12" fillId="0" borderId="0" applyFont="0" applyFill="0" applyBorder="0" applyAlignment="0" applyProtection="0"/>
    <xf numFmtId="0" fontId="20" fillId="0" borderId="0"/>
    <xf numFmtId="0" fontId="20" fillId="0" borderId="0"/>
    <xf numFmtId="165" fontId="12" fillId="0" borderId="0" applyFont="0" applyFill="0" applyBorder="0" applyAlignment="0" applyProtection="0"/>
    <xf numFmtId="0" fontId="12" fillId="0" borderId="0"/>
    <xf numFmtId="165" fontId="12" fillId="0" borderId="0" applyFont="0" applyFill="0" applyBorder="0" applyAlignment="0" applyProtection="0"/>
    <xf numFmtId="0" fontId="12" fillId="0" borderId="0"/>
    <xf numFmtId="165" fontId="12" fillId="0" borderId="0" applyFont="0" applyFill="0" applyBorder="0" applyAlignment="0" applyProtection="0"/>
    <xf numFmtId="165" fontId="12" fillId="0" borderId="0" applyFont="0" applyFill="0" applyBorder="0" applyAlignment="0" applyProtection="0"/>
    <xf numFmtId="0" fontId="12" fillId="0" borderId="0"/>
    <xf numFmtId="165" fontId="12" fillId="0" borderId="0" applyFont="0" applyFill="0" applyBorder="0" applyAlignment="0" applyProtection="0"/>
    <xf numFmtId="0" fontId="12" fillId="0" borderId="0"/>
    <xf numFmtId="165" fontId="11" fillId="0" borderId="0" applyFont="0" applyFill="0" applyBorder="0" applyAlignment="0" applyProtection="0"/>
    <xf numFmtId="0" fontId="11" fillId="0" borderId="0"/>
    <xf numFmtId="165" fontId="11" fillId="0" borderId="0" applyFont="0" applyFill="0" applyBorder="0" applyAlignment="0" applyProtection="0"/>
    <xf numFmtId="0" fontId="11" fillId="0" borderId="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0" fontId="11" fillId="0" borderId="0"/>
    <xf numFmtId="0" fontId="11" fillId="0" borderId="0"/>
    <xf numFmtId="0" fontId="11" fillId="0" borderId="0"/>
    <xf numFmtId="0" fontId="11" fillId="0" borderId="0"/>
    <xf numFmtId="165" fontId="11" fillId="0" borderId="0" applyFont="0" applyFill="0" applyBorder="0" applyAlignment="0" applyProtection="0"/>
    <xf numFmtId="0" fontId="11" fillId="0" borderId="0"/>
    <xf numFmtId="165" fontId="11" fillId="0" borderId="0" applyFont="0" applyFill="0" applyBorder="0" applyAlignment="0" applyProtection="0"/>
    <xf numFmtId="0" fontId="11" fillId="0" borderId="0"/>
    <xf numFmtId="165" fontId="11" fillId="0" borderId="0" applyFont="0" applyFill="0" applyBorder="0" applyAlignment="0" applyProtection="0"/>
    <xf numFmtId="0" fontId="11" fillId="0" borderId="0"/>
    <xf numFmtId="165" fontId="11" fillId="0" borderId="0" applyFont="0" applyFill="0" applyBorder="0" applyAlignment="0" applyProtection="0"/>
    <xf numFmtId="0" fontId="11" fillId="0" borderId="0"/>
    <xf numFmtId="165" fontId="11" fillId="0" borderId="0" applyFont="0" applyFill="0" applyBorder="0" applyAlignment="0" applyProtection="0"/>
    <xf numFmtId="0" fontId="11" fillId="0" borderId="0"/>
    <xf numFmtId="165" fontId="11" fillId="0" borderId="0" applyFont="0" applyFill="0" applyBorder="0" applyAlignment="0" applyProtection="0"/>
    <xf numFmtId="0" fontId="11" fillId="0" borderId="0"/>
    <xf numFmtId="0" fontId="10" fillId="0" borderId="0"/>
    <xf numFmtId="165" fontId="10" fillId="0" borderId="0" applyFont="0" applyFill="0" applyBorder="0" applyAlignment="0" applyProtection="0"/>
    <xf numFmtId="0" fontId="9" fillId="0" borderId="0"/>
    <xf numFmtId="165" fontId="9" fillId="0" borderId="0" applyFont="0" applyFill="0" applyBorder="0" applyAlignment="0" applyProtection="0"/>
    <xf numFmtId="0" fontId="9" fillId="0" borderId="0"/>
    <xf numFmtId="165" fontId="9" fillId="0" borderId="0" applyFont="0" applyFill="0" applyBorder="0" applyAlignment="0" applyProtection="0"/>
    <xf numFmtId="0" fontId="9" fillId="0" borderId="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0" fontId="9" fillId="0" borderId="0"/>
    <xf numFmtId="0" fontId="9" fillId="0" borderId="0"/>
    <xf numFmtId="0" fontId="9" fillId="0" borderId="0"/>
    <xf numFmtId="0" fontId="9" fillId="0" borderId="0"/>
    <xf numFmtId="164" fontId="9" fillId="0" borderId="0" applyFont="0" applyFill="0" applyBorder="0" applyAlignment="0" applyProtection="0"/>
    <xf numFmtId="165" fontId="9" fillId="0" borderId="0" applyFont="0" applyFill="0" applyBorder="0" applyAlignment="0" applyProtection="0"/>
    <xf numFmtId="0" fontId="9" fillId="0" borderId="0"/>
    <xf numFmtId="165" fontId="9" fillId="0" borderId="0" applyFont="0" applyFill="0" applyBorder="0" applyAlignment="0" applyProtection="0"/>
    <xf numFmtId="0" fontId="9" fillId="0" borderId="0"/>
    <xf numFmtId="0" fontId="8" fillId="0" borderId="0"/>
    <xf numFmtId="9" fontId="8" fillId="0" borderId="0" applyFont="0" applyFill="0" applyBorder="0" applyAlignment="0" applyProtection="0"/>
    <xf numFmtId="165" fontId="6" fillId="0" borderId="0" applyFont="0" applyFill="0" applyBorder="0" applyAlignment="0" applyProtection="0"/>
    <xf numFmtId="0" fontId="6" fillId="0" borderId="0"/>
    <xf numFmtId="165" fontId="6" fillId="0" borderId="0" applyFont="0" applyFill="0" applyBorder="0" applyAlignment="0" applyProtection="0"/>
    <xf numFmtId="0" fontId="6" fillId="0" borderId="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0" fontId="6" fillId="0" borderId="0"/>
    <xf numFmtId="0" fontId="6" fillId="0" borderId="0"/>
    <xf numFmtId="0" fontId="6" fillId="0" borderId="0"/>
    <xf numFmtId="0" fontId="6" fillId="0" borderId="0"/>
    <xf numFmtId="164" fontId="6" fillId="0" borderId="0" applyFont="0" applyFill="0" applyBorder="0" applyAlignment="0" applyProtection="0"/>
    <xf numFmtId="165" fontId="6" fillId="0" borderId="0" applyFont="0" applyFill="0" applyBorder="0" applyAlignment="0" applyProtection="0"/>
    <xf numFmtId="0" fontId="6" fillId="0" borderId="0"/>
    <xf numFmtId="165" fontId="6" fillId="0" borderId="0" applyFont="0" applyFill="0" applyBorder="0" applyAlignment="0" applyProtection="0"/>
    <xf numFmtId="0" fontId="6" fillId="0" borderId="0"/>
    <xf numFmtId="165" fontId="5" fillId="0" borderId="0" applyFont="0" applyFill="0" applyBorder="0" applyAlignment="0" applyProtection="0"/>
    <xf numFmtId="0" fontId="5" fillId="0" borderId="0"/>
    <xf numFmtId="165" fontId="5" fillId="0" borderId="0" applyFont="0" applyFill="0" applyBorder="0" applyAlignment="0" applyProtection="0"/>
    <xf numFmtId="0" fontId="5" fillId="0" borderId="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0" fontId="5" fillId="0" borderId="0"/>
    <xf numFmtId="0" fontId="5" fillId="0" borderId="0"/>
    <xf numFmtId="0" fontId="5" fillId="0" borderId="0"/>
    <xf numFmtId="0" fontId="5" fillId="0" borderId="0"/>
    <xf numFmtId="164" fontId="5" fillId="0" borderId="0" applyFont="0" applyFill="0" applyBorder="0" applyAlignment="0" applyProtection="0"/>
    <xf numFmtId="165" fontId="5" fillId="0" borderId="0" applyFont="0" applyFill="0" applyBorder="0" applyAlignment="0" applyProtection="0"/>
    <xf numFmtId="0" fontId="5" fillId="0" borderId="0"/>
    <xf numFmtId="165" fontId="5" fillId="0" borderId="0" applyFont="0" applyFill="0" applyBorder="0" applyAlignment="0" applyProtection="0"/>
    <xf numFmtId="0" fontId="5" fillId="0" borderId="0"/>
    <xf numFmtId="165" fontId="4" fillId="0" borderId="0" applyFont="0" applyFill="0" applyBorder="0" applyAlignment="0" applyProtection="0"/>
    <xf numFmtId="0" fontId="4" fillId="0" borderId="0"/>
    <xf numFmtId="165" fontId="4" fillId="0" borderId="0" applyFont="0" applyFill="0" applyBorder="0" applyAlignment="0" applyProtection="0"/>
    <xf numFmtId="0" fontId="4" fillId="0" borderId="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0" fontId="4" fillId="0" borderId="0"/>
    <xf numFmtId="0" fontId="4" fillId="0" borderId="0"/>
    <xf numFmtId="0" fontId="4" fillId="0" borderId="0"/>
    <xf numFmtId="0" fontId="4" fillId="0" borderId="0"/>
    <xf numFmtId="165" fontId="4" fillId="0" borderId="0" applyFont="0" applyFill="0" applyBorder="0" applyAlignment="0" applyProtection="0"/>
    <xf numFmtId="0" fontId="4" fillId="0" borderId="0"/>
    <xf numFmtId="165" fontId="4" fillId="0" borderId="0" applyFont="0" applyFill="0" applyBorder="0" applyAlignment="0" applyProtection="0"/>
    <xf numFmtId="0" fontId="4" fillId="0" borderId="0"/>
    <xf numFmtId="165" fontId="4" fillId="0" borderId="0" applyFont="0" applyFill="0" applyBorder="0" applyAlignment="0" applyProtection="0"/>
    <xf numFmtId="0" fontId="4" fillId="0" borderId="0"/>
    <xf numFmtId="165" fontId="4" fillId="0" borderId="0" applyFont="0" applyFill="0" applyBorder="0" applyAlignment="0" applyProtection="0"/>
    <xf numFmtId="0" fontId="4" fillId="0" borderId="0"/>
    <xf numFmtId="165" fontId="4" fillId="0" borderId="0" applyFont="0" applyFill="0" applyBorder="0" applyAlignment="0" applyProtection="0"/>
    <xf numFmtId="0" fontId="4" fillId="0" borderId="0"/>
    <xf numFmtId="165" fontId="4" fillId="0" borderId="0" applyFont="0" applyFill="0" applyBorder="0" applyAlignment="0" applyProtection="0"/>
    <xf numFmtId="0" fontId="4" fillId="0" borderId="0"/>
    <xf numFmtId="165" fontId="4" fillId="0" borderId="0" applyFont="0" applyFill="0" applyBorder="0" applyAlignment="0" applyProtection="0"/>
    <xf numFmtId="0" fontId="4" fillId="0" borderId="0"/>
    <xf numFmtId="165" fontId="4" fillId="0" borderId="0" applyFont="0" applyFill="0" applyBorder="0" applyAlignment="0" applyProtection="0"/>
    <xf numFmtId="0" fontId="4" fillId="0" borderId="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0" fontId="4" fillId="0" borderId="0"/>
    <xf numFmtId="0" fontId="4" fillId="0" borderId="0"/>
    <xf numFmtId="0" fontId="4" fillId="0" borderId="0"/>
    <xf numFmtId="0" fontId="4" fillId="0" borderId="0"/>
    <xf numFmtId="164" fontId="4" fillId="0" borderId="0" applyFont="0" applyFill="0" applyBorder="0" applyAlignment="0" applyProtection="0"/>
    <xf numFmtId="0" fontId="20" fillId="0" borderId="0"/>
    <xf numFmtId="165" fontId="4" fillId="0" borderId="0" applyFont="0" applyFill="0" applyBorder="0" applyAlignment="0" applyProtection="0"/>
    <xf numFmtId="0" fontId="4" fillId="0" borderId="0"/>
    <xf numFmtId="165" fontId="4" fillId="0" borderId="0" applyFont="0" applyFill="0" applyBorder="0" applyAlignment="0" applyProtection="0"/>
    <xf numFmtId="0" fontId="4" fillId="0" borderId="0"/>
    <xf numFmtId="165" fontId="4" fillId="0" borderId="0" applyFont="0" applyFill="0" applyBorder="0" applyAlignment="0" applyProtection="0"/>
    <xf numFmtId="0" fontId="4" fillId="0" borderId="0"/>
    <xf numFmtId="165" fontId="4" fillId="0" borderId="0" applyFont="0" applyFill="0" applyBorder="0" applyAlignment="0" applyProtection="0"/>
    <xf numFmtId="0" fontId="4" fillId="0" borderId="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0" fontId="4" fillId="0" borderId="0"/>
    <xf numFmtId="0" fontId="4" fillId="0" borderId="0"/>
    <xf numFmtId="0" fontId="4" fillId="0" borderId="0"/>
    <xf numFmtId="0" fontId="4" fillId="0" borderId="0"/>
    <xf numFmtId="165" fontId="4" fillId="0" borderId="0" applyFont="0" applyFill="0" applyBorder="0" applyAlignment="0" applyProtection="0"/>
    <xf numFmtId="0" fontId="4" fillId="0" borderId="0"/>
    <xf numFmtId="165" fontId="4" fillId="0" borderId="0" applyFont="0" applyFill="0" applyBorder="0" applyAlignment="0" applyProtection="0"/>
    <xf numFmtId="0" fontId="4" fillId="0" borderId="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0" fontId="4" fillId="0" borderId="0"/>
    <xf numFmtId="0" fontId="4" fillId="0" borderId="0"/>
    <xf numFmtId="0" fontId="4" fillId="0" borderId="0"/>
    <xf numFmtId="0" fontId="4" fillId="0" borderId="0"/>
    <xf numFmtId="164" fontId="4" fillId="0" borderId="0" applyFont="0" applyFill="0" applyBorder="0" applyAlignment="0" applyProtection="0"/>
    <xf numFmtId="165" fontId="4" fillId="0" borderId="0" applyFont="0" applyFill="0" applyBorder="0" applyAlignment="0" applyProtection="0"/>
    <xf numFmtId="0" fontId="4" fillId="0" borderId="0"/>
    <xf numFmtId="165" fontId="4" fillId="0" borderId="0" applyFont="0" applyFill="0" applyBorder="0" applyAlignment="0" applyProtection="0"/>
    <xf numFmtId="0" fontId="4" fillId="0" borderId="0"/>
    <xf numFmtId="165" fontId="4" fillId="0" borderId="0" applyFont="0" applyFill="0" applyBorder="0" applyAlignment="0" applyProtection="0"/>
    <xf numFmtId="0" fontId="4" fillId="0" borderId="0"/>
    <xf numFmtId="165" fontId="4" fillId="0" borderId="0" applyFont="0" applyFill="0" applyBorder="0" applyAlignment="0" applyProtection="0"/>
    <xf numFmtId="0" fontId="4" fillId="0" borderId="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0" fontId="4" fillId="0" borderId="0"/>
    <xf numFmtId="0" fontId="4" fillId="0" borderId="0"/>
    <xf numFmtId="0" fontId="4" fillId="0" borderId="0"/>
    <xf numFmtId="0" fontId="4" fillId="0" borderId="0"/>
    <xf numFmtId="0" fontId="43" fillId="0" borderId="5" applyBorder="0">
      <alignment horizontal="center" textRotation="90"/>
    </xf>
    <xf numFmtId="0" fontId="44" fillId="0" borderId="0"/>
    <xf numFmtId="0" fontId="4" fillId="0" borderId="0"/>
    <xf numFmtId="9" fontId="18" fillId="0" borderId="0" applyFont="0" applyFill="0" applyBorder="0" applyAlignment="0" applyProtection="0"/>
    <xf numFmtId="0" fontId="18" fillId="0" borderId="0"/>
    <xf numFmtId="0" fontId="18" fillId="0" borderId="0"/>
    <xf numFmtId="43" fontId="18" fillId="0" borderId="0" applyFont="0" applyFill="0" applyBorder="0" applyAlignment="0" applyProtection="0"/>
    <xf numFmtId="165" fontId="4" fillId="0" borderId="0" applyFont="0" applyFill="0" applyBorder="0" applyAlignment="0" applyProtection="0"/>
    <xf numFmtId="0" fontId="4" fillId="0" borderId="0"/>
    <xf numFmtId="9" fontId="18" fillId="0" borderId="0" applyFont="0" applyFill="0" applyBorder="0" applyAlignment="0" applyProtection="0"/>
    <xf numFmtId="165" fontId="4" fillId="0" borderId="0" applyFont="0" applyFill="0" applyBorder="0" applyAlignment="0" applyProtection="0"/>
    <xf numFmtId="0" fontId="4" fillId="0" borderId="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43" fontId="18" fillId="0" borderId="0" applyFont="0" applyFill="0" applyBorder="0" applyAlignment="0" applyProtection="0"/>
    <xf numFmtId="0" fontId="4" fillId="0" borderId="0"/>
    <xf numFmtId="0" fontId="4" fillId="0" borderId="0"/>
    <xf numFmtId="0" fontId="4" fillId="0" borderId="0"/>
    <xf numFmtId="0" fontId="4" fillId="0" borderId="0"/>
    <xf numFmtId="165" fontId="4" fillId="0" borderId="0" applyFont="0" applyFill="0" applyBorder="0" applyAlignment="0" applyProtection="0"/>
    <xf numFmtId="0" fontId="4" fillId="0" borderId="0"/>
    <xf numFmtId="165" fontId="4" fillId="0" borderId="0" applyFont="0" applyFill="0" applyBorder="0" applyAlignment="0" applyProtection="0"/>
    <xf numFmtId="0" fontId="4" fillId="0" borderId="0"/>
    <xf numFmtId="165" fontId="4" fillId="0" borderId="0" applyFont="0" applyFill="0" applyBorder="0" applyAlignment="0" applyProtection="0"/>
    <xf numFmtId="0" fontId="4" fillId="0" borderId="0"/>
    <xf numFmtId="165" fontId="4" fillId="0" borderId="0" applyFont="0" applyFill="0" applyBorder="0" applyAlignment="0" applyProtection="0"/>
    <xf numFmtId="0" fontId="4" fillId="0" borderId="0"/>
    <xf numFmtId="165" fontId="4" fillId="0" borderId="0" applyFont="0" applyFill="0" applyBorder="0" applyAlignment="0" applyProtection="0"/>
    <xf numFmtId="0" fontId="4" fillId="0" borderId="0"/>
    <xf numFmtId="165" fontId="4" fillId="0" borderId="0" applyFont="0" applyFill="0" applyBorder="0" applyAlignment="0" applyProtection="0"/>
    <xf numFmtId="0" fontId="4" fillId="0" borderId="0"/>
    <xf numFmtId="165" fontId="4" fillId="0" borderId="0" applyFont="0" applyFill="0" applyBorder="0" applyAlignment="0" applyProtection="0"/>
    <xf numFmtId="0" fontId="4" fillId="0" borderId="0"/>
    <xf numFmtId="165" fontId="4" fillId="0" borderId="0" applyFont="0" applyFill="0" applyBorder="0" applyAlignment="0" applyProtection="0"/>
    <xf numFmtId="0" fontId="4" fillId="0" borderId="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0" fontId="4" fillId="0" borderId="0"/>
    <xf numFmtId="0" fontId="4" fillId="0" borderId="0"/>
    <xf numFmtId="0" fontId="4" fillId="0" borderId="0"/>
    <xf numFmtId="0" fontId="4" fillId="0" borderId="0"/>
    <xf numFmtId="164" fontId="4" fillId="0" borderId="0" applyFont="0" applyFill="0" applyBorder="0" applyAlignment="0" applyProtection="0"/>
    <xf numFmtId="165" fontId="4" fillId="0" borderId="0" applyFont="0" applyFill="0" applyBorder="0" applyAlignment="0" applyProtection="0"/>
    <xf numFmtId="0" fontId="4" fillId="0" borderId="0"/>
    <xf numFmtId="165" fontId="4" fillId="0" borderId="0" applyFont="0" applyFill="0" applyBorder="0" applyAlignment="0" applyProtection="0"/>
    <xf numFmtId="0" fontId="4" fillId="0" borderId="0"/>
    <xf numFmtId="165" fontId="4" fillId="0" borderId="0" applyFont="0" applyFill="0" applyBorder="0" applyAlignment="0" applyProtection="0"/>
    <xf numFmtId="0" fontId="4" fillId="0" borderId="0"/>
    <xf numFmtId="165" fontId="4" fillId="0" borderId="0" applyFont="0" applyFill="0" applyBorder="0" applyAlignment="0" applyProtection="0"/>
    <xf numFmtId="0" fontId="4" fillId="0" borderId="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0" fontId="4" fillId="0" borderId="0"/>
    <xf numFmtId="0" fontId="4" fillId="0" borderId="0"/>
    <xf numFmtId="0" fontId="4" fillId="0" borderId="0"/>
    <xf numFmtId="0" fontId="4" fillId="0" borderId="0"/>
    <xf numFmtId="165" fontId="4" fillId="0" borderId="0" applyFont="0" applyFill="0" applyBorder="0" applyAlignment="0" applyProtection="0"/>
    <xf numFmtId="0" fontId="4" fillId="0" borderId="0"/>
    <xf numFmtId="165" fontId="4" fillId="0" borderId="0" applyFont="0" applyFill="0" applyBorder="0" applyAlignment="0" applyProtection="0"/>
    <xf numFmtId="0" fontId="4" fillId="0" borderId="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0" fontId="4" fillId="0" borderId="0"/>
    <xf numFmtId="0" fontId="4" fillId="0" borderId="0"/>
    <xf numFmtId="0" fontId="4" fillId="0" borderId="0"/>
    <xf numFmtId="0" fontId="4" fillId="0" borderId="0"/>
    <xf numFmtId="164" fontId="4" fillId="0" borderId="0" applyFont="0" applyFill="0" applyBorder="0" applyAlignment="0" applyProtection="0"/>
    <xf numFmtId="165" fontId="4" fillId="0" borderId="0" applyFont="0" applyFill="0" applyBorder="0" applyAlignment="0" applyProtection="0"/>
    <xf numFmtId="0" fontId="4" fillId="0" borderId="0"/>
    <xf numFmtId="165" fontId="4" fillId="0" borderId="0" applyFont="0" applyFill="0" applyBorder="0" applyAlignment="0" applyProtection="0"/>
    <xf numFmtId="0" fontId="4" fillId="0" borderId="0"/>
    <xf numFmtId="165" fontId="4" fillId="0" borderId="0" applyFont="0" applyFill="0" applyBorder="0" applyAlignment="0" applyProtection="0"/>
    <xf numFmtId="0" fontId="4" fillId="0" borderId="0"/>
    <xf numFmtId="165" fontId="4" fillId="0" borderId="0" applyFont="0" applyFill="0" applyBorder="0" applyAlignment="0" applyProtection="0"/>
    <xf numFmtId="0" fontId="4" fillId="0" borderId="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0" fontId="4" fillId="0" borderId="0"/>
    <xf numFmtId="0" fontId="4" fillId="0" borderId="0"/>
    <xf numFmtId="0" fontId="4" fillId="0" borderId="0"/>
    <xf numFmtId="0" fontId="4" fillId="0" borderId="0"/>
    <xf numFmtId="0" fontId="20" fillId="0" borderId="0"/>
    <xf numFmtId="0" fontId="45" fillId="0" borderId="0">
      <alignment vertical="top"/>
    </xf>
    <xf numFmtId="0" fontId="46" fillId="9" borderId="0" applyNumberFormat="0" applyBorder="0" applyAlignment="0" applyProtection="0"/>
    <xf numFmtId="0" fontId="46" fillId="10" borderId="0" applyNumberFormat="0" applyBorder="0" applyAlignment="0" applyProtection="0"/>
    <xf numFmtId="0" fontId="46" fillId="11" borderId="0" applyNumberFormat="0" applyBorder="0" applyAlignment="0" applyProtection="0"/>
    <xf numFmtId="0" fontId="46" fillId="12" borderId="0" applyNumberFormat="0" applyBorder="0" applyAlignment="0" applyProtection="0"/>
    <xf numFmtId="0" fontId="46" fillId="13" borderId="0" applyNumberFormat="0" applyBorder="0" applyAlignment="0" applyProtection="0"/>
    <xf numFmtId="0" fontId="46" fillId="14" borderId="0" applyNumberFormat="0" applyBorder="0" applyAlignment="0" applyProtection="0"/>
    <xf numFmtId="0" fontId="46" fillId="15" borderId="0" applyNumberFormat="0" applyBorder="0" applyAlignment="0" applyProtection="0"/>
    <xf numFmtId="0" fontId="46" fillId="16" borderId="0" applyNumberFormat="0" applyBorder="0" applyAlignment="0" applyProtection="0"/>
    <xf numFmtId="0" fontId="46" fillId="17" borderId="0" applyNumberFormat="0" applyBorder="0" applyAlignment="0" applyProtection="0"/>
    <xf numFmtId="0" fontId="46" fillId="12" borderId="0" applyNumberFormat="0" applyBorder="0" applyAlignment="0" applyProtection="0"/>
    <xf numFmtId="0" fontId="46" fillId="15" borderId="0" applyNumberFormat="0" applyBorder="0" applyAlignment="0" applyProtection="0"/>
    <xf numFmtId="0" fontId="46" fillId="18" borderId="0" applyNumberFormat="0" applyBorder="0" applyAlignment="0" applyProtection="0"/>
    <xf numFmtId="0" fontId="47" fillId="19" borderId="0" applyNumberFormat="0" applyBorder="0" applyAlignment="0" applyProtection="0"/>
    <xf numFmtId="0" fontId="47" fillId="16" borderId="0" applyNumberFormat="0" applyBorder="0" applyAlignment="0" applyProtection="0"/>
    <xf numFmtId="0" fontId="47" fillId="17" borderId="0" applyNumberFormat="0" applyBorder="0" applyAlignment="0" applyProtection="0"/>
    <xf numFmtId="0" fontId="47" fillId="20" borderId="0" applyNumberFormat="0" applyBorder="0" applyAlignment="0" applyProtection="0"/>
    <xf numFmtId="0" fontId="47" fillId="21" borderId="0" applyNumberFormat="0" applyBorder="0" applyAlignment="0" applyProtection="0"/>
    <xf numFmtId="0" fontId="47" fillId="22" borderId="0" applyNumberFormat="0" applyBorder="0" applyAlignment="0" applyProtection="0"/>
    <xf numFmtId="0" fontId="47" fillId="23" borderId="0" applyNumberFormat="0" applyBorder="0" applyAlignment="0" applyProtection="0"/>
    <xf numFmtId="0" fontId="47" fillId="24" borderId="0" applyNumberFormat="0" applyBorder="0" applyAlignment="0" applyProtection="0"/>
    <xf numFmtId="0" fontId="47" fillId="25" borderId="0" applyNumberFormat="0" applyBorder="0" applyAlignment="0" applyProtection="0"/>
    <xf numFmtId="0" fontId="47" fillId="20" borderId="0" applyNumberFormat="0" applyBorder="0" applyAlignment="0" applyProtection="0"/>
    <xf numFmtId="0" fontId="47" fillId="21" borderId="0" applyNumberFormat="0" applyBorder="0" applyAlignment="0" applyProtection="0"/>
    <xf numFmtId="0" fontId="47" fillId="26" borderId="0" applyNumberFormat="0" applyBorder="0" applyAlignment="0" applyProtection="0"/>
    <xf numFmtId="0" fontId="48" fillId="0" borderId="0" applyNumberFormat="0" applyFill="0" applyBorder="0" applyAlignment="0" applyProtection="0"/>
    <xf numFmtId="0" fontId="49" fillId="27" borderId="18" applyNumberFormat="0" applyAlignment="0" applyProtection="0"/>
    <xf numFmtId="0" fontId="50" fillId="0" borderId="19" applyNumberFormat="0" applyFill="0" applyAlignment="0" applyProtection="0"/>
    <xf numFmtId="0" fontId="51" fillId="14" borderId="18" applyNumberFormat="0" applyAlignment="0" applyProtection="0"/>
    <xf numFmtId="0" fontId="52" fillId="10" borderId="0" applyNumberFormat="0" applyBorder="0" applyAlignment="0" applyProtection="0"/>
    <xf numFmtId="165" fontId="22" fillId="0" borderId="0" applyFont="0" applyFill="0" applyBorder="0" applyAlignment="0" applyProtection="0">
      <alignment vertical="top"/>
    </xf>
    <xf numFmtId="0" fontId="53" fillId="28" borderId="0" applyNumberFormat="0" applyBorder="0" applyAlignment="0" applyProtection="0"/>
    <xf numFmtId="0" fontId="25" fillId="0" borderId="0"/>
    <xf numFmtId="0" fontId="54" fillId="11" borderId="0" applyNumberFormat="0" applyBorder="0" applyAlignment="0" applyProtection="0"/>
    <xf numFmtId="0" fontId="55" fillId="27" borderId="20" applyNumberFormat="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8" fillId="0" borderId="21" applyNumberFormat="0" applyFill="0" applyAlignment="0" applyProtection="0"/>
    <xf numFmtId="0" fontId="59" fillId="0" borderId="22" applyNumberFormat="0" applyFill="0" applyAlignment="0" applyProtection="0"/>
    <xf numFmtId="0" fontId="60" fillId="0" borderId="23" applyNumberFormat="0" applyFill="0" applyAlignment="0" applyProtection="0"/>
    <xf numFmtId="0" fontId="60" fillId="0" borderId="0" applyNumberFormat="0" applyFill="0" applyBorder="0" applyAlignment="0" applyProtection="0"/>
    <xf numFmtId="0" fontId="61" fillId="0" borderId="24" applyNumberFormat="0" applyFill="0" applyAlignment="0" applyProtection="0"/>
    <xf numFmtId="0" fontId="62" fillId="29" borderId="25" applyNumberFormat="0" applyAlignment="0" applyProtection="0"/>
    <xf numFmtId="0" fontId="4" fillId="0" borderId="0"/>
    <xf numFmtId="165" fontId="4" fillId="0" borderId="0" applyFont="0" applyFill="0" applyBorder="0" applyAlignment="0" applyProtection="0"/>
    <xf numFmtId="0" fontId="23" fillId="0" borderId="26"/>
    <xf numFmtId="0" fontId="23" fillId="0" borderId="27">
      <alignment vertical="top"/>
    </xf>
    <xf numFmtId="165" fontId="4" fillId="0" borderId="0" applyFont="0" applyFill="0" applyBorder="0" applyAlignment="0" applyProtection="0"/>
    <xf numFmtId="0" fontId="4" fillId="0" borderId="0"/>
    <xf numFmtId="165" fontId="4" fillId="0" borderId="0" applyFont="0" applyFill="0" applyBorder="0" applyAlignment="0" applyProtection="0"/>
    <xf numFmtId="0" fontId="4" fillId="0" borderId="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0" fontId="4" fillId="0" borderId="0"/>
    <xf numFmtId="0" fontId="4" fillId="0" borderId="0"/>
    <xf numFmtId="0" fontId="4" fillId="0" borderId="0"/>
    <xf numFmtId="0" fontId="4" fillId="0" borderId="0"/>
    <xf numFmtId="164" fontId="4" fillId="0" borderId="0" applyFont="0" applyFill="0" applyBorder="0" applyAlignment="0" applyProtection="0"/>
    <xf numFmtId="165" fontId="4" fillId="0" borderId="0" applyFont="0" applyFill="0" applyBorder="0" applyAlignment="0" applyProtection="0"/>
    <xf numFmtId="0" fontId="4" fillId="0" borderId="0"/>
    <xf numFmtId="165" fontId="4" fillId="0" borderId="0" applyFont="0" applyFill="0" applyBorder="0" applyAlignment="0" applyProtection="0"/>
    <xf numFmtId="0" fontId="4" fillId="0" borderId="0"/>
    <xf numFmtId="165" fontId="4" fillId="0" borderId="0" applyFont="0" applyFill="0" applyBorder="0" applyAlignment="0" applyProtection="0"/>
    <xf numFmtId="0" fontId="4" fillId="0" borderId="0"/>
    <xf numFmtId="165" fontId="4" fillId="0" borderId="0" applyFont="0" applyFill="0" applyBorder="0" applyAlignment="0" applyProtection="0"/>
    <xf numFmtId="0" fontId="4" fillId="0" borderId="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0" fontId="4" fillId="0" borderId="0"/>
    <xf numFmtId="0" fontId="4" fillId="0" borderId="0"/>
    <xf numFmtId="0" fontId="4" fillId="0" borderId="0"/>
    <xf numFmtId="0" fontId="4" fillId="0" borderId="0"/>
    <xf numFmtId="165" fontId="4" fillId="0" borderId="0" applyFont="0" applyFill="0" applyBorder="0" applyAlignment="0" applyProtection="0"/>
    <xf numFmtId="0" fontId="4" fillId="0" borderId="0"/>
    <xf numFmtId="165" fontId="4" fillId="0" borderId="0" applyFont="0" applyFill="0" applyBorder="0" applyAlignment="0" applyProtection="0"/>
    <xf numFmtId="0" fontId="4" fillId="0" borderId="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0" fontId="4" fillId="0" borderId="0"/>
    <xf numFmtId="0" fontId="4" fillId="0" borderId="0"/>
    <xf numFmtId="0" fontId="4" fillId="0" borderId="0"/>
    <xf numFmtId="0" fontId="4" fillId="0" borderId="0"/>
    <xf numFmtId="165" fontId="4" fillId="0" borderId="0" applyFont="0" applyFill="0" applyBorder="0" applyAlignment="0" applyProtection="0"/>
    <xf numFmtId="0" fontId="4" fillId="0" borderId="0"/>
    <xf numFmtId="165" fontId="4" fillId="0" borderId="0" applyFont="0" applyFill="0" applyBorder="0" applyAlignment="0" applyProtection="0"/>
    <xf numFmtId="0" fontId="4" fillId="0" borderId="0"/>
    <xf numFmtId="165" fontId="4" fillId="0" borderId="0" applyFont="0" applyFill="0" applyBorder="0" applyAlignment="0" applyProtection="0"/>
    <xf numFmtId="0" fontId="4" fillId="0" borderId="0"/>
    <xf numFmtId="165" fontId="4" fillId="0" borderId="0" applyFont="0" applyFill="0" applyBorder="0" applyAlignment="0" applyProtection="0"/>
    <xf numFmtId="0" fontId="4" fillId="0" borderId="0"/>
    <xf numFmtId="165" fontId="4" fillId="0" borderId="0" applyFont="0" applyFill="0" applyBorder="0" applyAlignment="0" applyProtection="0"/>
    <xf numFmtId="0" fontId="4" fillId="0" borderId="0"/>
    <xf numFmtId="165" fontId="4" fillId="0" borderId="0" applyFont="0" applyFill="0" applyBorder="0" applyAlignment="0" applyProtection="0"/>
    <xf numFmtId="0" fontId="4" fillId="0" borderId="0"/>
    <xf numFmtId="165" fontId="3" fillId="0" borderId="0" applyFont="0" applyFill="0" applyBorder="0" applyAlignment="0" applyProtection="0"/>
    <xf numFmtId="0" fontId="3" fillId="0" borderId="0"/>
    <xf numFmtId="165" fontId="3" fillId="0" borderId="0" applyFont="0" applyFill="0" applyBorder="0" applyAlignment="0" applyProtection="0"/>
    <xf numFmtId="0" fontId="3" fillId="0" borderId="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0" fontId="3" fillId="0" borderId="0"/>
    <xf numFmtId="0" fontId="3" fillId="0" borderId="0"/>
    <xf numFmtId="0" fontId="3" fillId="0" borderId="0"/>
    <xf numFmtId="0" fontId="3" fillId="0" borderId="0"/>
    <xf numFmtId="165" fontId="3" fillId="0" borderId="0" applyFont="0" applyFill="0" applyBorder="0" applyAlignment="0" applyProtection="0"/>
    <xf numFmtId="0" fontId="3" fillId="0" borderId="0"/>
    <xf numFmtId="165" fontId="3" fillId="0" borderId="0" applyFont="0" applyFill="0" applyBorder="0" applyAlignment="0" applyProtection="0"/>
    <xf numFmtId="0" fontId="3" fillId="0" borderId="0"/>
    <xf numFmtId="165" fontId="3" fillId="0" borderId="0" applyFont="0" applyFill="0" applyBorder="0" applyAlignment="0" applyProtection="0"/>
    <xf numFmtId="0" fontId="3" fillId="0" borderId="0"/>
    <xf numFmtId="165" fontId="3" fillId="0" borderId="0" applyFont="0" applyFill="0" applyBorder="0" applyAlignment="0" applyProtection="0"/>
    <xf numFmtId="0" fontId="3" fillId="0" borderId="0"/>
    <xf numFmtId="165" fontId="3" fillId="0" borderId="0" applyFont="0" applyFill="0" applyBorder="0" applyAlignment="0" applyProtection="0"/>
    <xf numFmtId="0" fontId="3" fillId="0" borderId="0"/>
    <xf numFmtId="165" fontId="3" fillId="0" borderId="0" applyFont="0" applyFill="0" applyBorder="0" applyAlignment="0" applyProtection="0"/>
    <xf numFmtId="0" fontId="3" fillId="0" borderId="0"/>
    <xf numFmtId="165" fontId="3" fillId="0" borderId="0" applyFont="0" applyFill="0" applyBorder="0" applyAlignment="0" applyProtection="0"/>
    <xf numFmtId="0" fontId="3" fillId="0" borderId="0"/>
    <xf numFmtId="165" fontId="3" fillId="0" borderId="0" applyFont="0" applyFill="0" applyBorder="0" applyAlignment="0" applyProtection="0"/>
    <xf numFmtId="0" fontId="3" fillId="0" borderId="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0" fontId="3" fillId="0" borderId="0"/>
    <xf numFmtId="0" fontId="3" fillId="0" borderId="0"/>
    <xf numFmtId="0" fontId="3" fillId="0" borderId="0"/>
    <xf numFmtId="0" fontId="3" fillId="0" borderId="0"/>
    <xf numFmtId="164" fontId="3" fillId="0" borderId="0" applyFont="0" applyFill="0" applyBorder="0" applyAlignment="0" applyProtection="0"/>
    <xf numFmtId="165" fontId="3" fillId="0" borderId="0" applyFont="0" applyFill="0" applyBorder="0" applyAlignment="0" applyProtection="0"/>
    <xf numFmtId="0" fontId="3" fillId="0" borderId="0"/>
    <xf numFmtId="165" fontId="3" fillId="0" borderId="0" applyFont="0" applyFill="0" applyBorder="0" applyAlignment="0" applyProtection="0"/>
    <xf numFmtId="0" fontId="3" fillId="0" borderId="0"/>
    <xf numFmtId="165" fontId="3" fillId="0" borderId="0" applyFont="0" applyFill="0" applyBorder="0" applyAlignment="0" applyProtection="0"/>
    <xf numFmtId="0" fontId="3" fillId="0" borderId="0"/>
    <xf numFmtId="165" fontId="3" fillId="0" borderId="0" applyFont="0" applyFill="0" applyBorder="0" applyAlignment="0" applyProtection="0"/>
    <xf numFmtId="0" fontId="3" fillId="0" borderId="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0" fontId="3" fillId="0" borderId="0"/>
    <xf numFmtId="0" fontId="3" fillId="0" borderId="0"/>
    <xf numFmtId="0" fontId="3" fillId="0" borderId="0"/>
    <xf numFmtId="0" fontId="3" fillId="0" borderId="0"/>
    <xf numFmtId="165" fontId="3" fillId="0" borderId="0" applyFont="0" applyFill="0" applyBorder="0" applyAlignment="0" applyProtection="0"/>
    <xf numFmtId="0" fontId="3" fillId="0" borderId="0"/>
    <xf numFmtId="165" fontId="3" fillId="0" borderId="0" applyFont="0" applyFill="0" applyBorder="0" applyAlignment="0" applyProtection="0"/>
    <xf numFmtId="0" fontId="3" fillId="0" borderId="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0" fontId="3" fillId="0" borderId="0"/>
    <xf numFmtId="0" fontId="3" fillId="0" borderId="0"/>
    <xf numFmtId="0" fontId="3" fillId="0" borderId="0"/>
    <xf numFmtId="0" fontId="3" fillId="0" borderId="0"/>
    <xf numFmtId="164" fontId="3" fillId="0" borderId="0" applyFont="0" applyFill="0" applyBorder="0" applyAlignment="0" applyProtection="0"/>
    <xf numFmtId="165" fontId="3" fillId="0" borderId="0" applyFont="0" applyFill="0" applyBorder="0" applyAlignment="0" applyProtection="0"/>
    <xf numFmtId="0" fontId="3" fillId="0" borderId="0"/>
    <xf numFmtId="165" fontId="3" fillId="0" borderId="0" applyFont="0" applyFill="0" applyBorder="0" applyAlignment="0" applyProtection="0"/>
    <xf numFmtId="0" fontId="3" fillId="0" borderId="0"/>
    <xf numFmtId="165" fontId="3" fillId="0" borderId="0" applyFont="0" applyFill="0" applyBorder="0" applyAlignment="0" applyProtection="0"/>
    <xf numFmtId="0" fontId="3" fillId="0" borderId="0"/>
    <xf numFmtId="165" fontId="3" fillId="0" borderId="0" applyFont="0" applyFill="0" applyBorder="0" applyAlignment="0" applyProtection="0"/>
    <xf numFmtId="0" fontId="3" fillId="0" borderId="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165" fontId="3" fillId="0" borderId="0" applyFont="0" applyFill="0" applyBorder="0" applyAlignment="0" applyProtection="0"/>
    <xf numFmtId="0" fontId="3" fillId="0" borderId="0"/>
    <xf numFmtId="165" fontId="3" fillId="0" borderId="0" applyFont="0" applyFill="0" applyBorder="0" applyAlignment="0" applyProtection="0"/>
    <xf numFmtId="0" fontId="3" fillId="0" borderId="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0" fontId="3" fillId="0" borderId="0"/>
    <xf numFmtId="0" fontId="3" fillId="0" borderId="0"/>
    <xf numFmtId="0" fontId="3" fillId="0" borderId="0"/>
    <xf numFmtId="0" fontId="3" fillId="0" borderId="0"/>
    <xf numFmtId="165" fontId="3" fillId="0" borderId="0" applyFont="0" applyFill="0" applyBorder="0" applyAlignment="0" applyProtection="0"/>
    <xf numFmtId="0" fontId="3" fillId="0" borderId="0"/>
    <xf numFmtId="165" fontId="3" fillId="0" borderId="0" applyFont="0" applyFill="0" applyBorder="0" applyAlignment="0" applyProtection="0"/>
    <xf numFmtId="0" fontId="3" fillId="0" borderId="0"/>
    <xf numFmtId="165" fontId="3" fillId="0" borderId="0" applyFont="0" applyFill="0" applyBorder="0" applyAlignment="0" applyProtection="0"/>
    <xf numFmtId="0" fontId="3" fillId="0" borderId="0"/>
    <xf numFmtId="165" fontId="3" fillId="0" borderId="0" applyFont="0" applyFill="0" applyBorder="0" applyAlignment="0" applyProtection="0"/>
    <xf numFmtId="0" fontId="3" fillId="0" borderId="0"/>
    <xf numFmtId="165" fontId="3" fillId="0" borderId="0" applyFont="0" applyFill="0" applyBorder="0" applyAlignment="0" applyProtection="0"/>
    <xf numFmtId="0" fontId="3" fillId="0" borderId="0"/>
    <xf numFmtId="165" fontId="3" fillId="0" borderId="0" applyFont="0" applyFill="0" applyBorder="0" applyAlignment="0" applyProtection="0"/>
    <xf numFmtId="0" fontId="3" fillId="0" borderId="0"/>
    <xf numFmtId="165" fontId="3" fillId="0" borderId="0" applyFont="0" applyFill="0" applyBorder="0" applyAlignment="0" applyProtection="0"/>
    <xf numFmtId="0" fontId="3" fillId="0" borderId="0"/>
    <xf numFmtId="165" fontId="3" fillId="0" borderId="0" applyFont="0" applyFill="0" applyBorder="0" applyAlignment="0" applyProtection="0"/>
    <xf numFmtId="0" fontId="3" fillId="0" borderId="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0" fontId="3" fillId="0" borderId="0"/>
    <xf numFmtId="0" fontId="3" fillId="0" borderId="0"/>
    <xf numFmtId="0" fontId="3" fillId="0" borderId="0"/>
    <xf numFmtId="0" fontId="3" fillId="0" borderId="0"/>
    <xf numFmtId="164" fontId="3" fillId="0" borderId="0" applyFont="0" applyFill="0" applyBorder="0" applyAlignment="0" applyProtection="0"/>
    <xf numFmtId="165" fontId="3" fillId="0" borderId="0" applyFont="0" applyFill="0" applyBorder="0" applyAlignment="0" applyProtection="0"/>
    <xf numFmtId="0" fontId="3" fillId="0" borderId="0"/>
    <xf numFmtId="165" fontId="3" fillId="0" borderId="0" applyFont="0" applyFill="0" applyBorder="0" applyAlignment="0" applyProtection="0"/>
    <xf numFmtId="0" fontId="3" fillId="0" borderId="0"/>
    <xf numFmtId="165" fontId="3" fillId="0" borderId="0" applyFont="0" applyFill="0" applyBorder="0" applyAlignment="0" applyProtection="0"/>
    <xf numFmtId="0" fontId="3" fillId="0" borderId="0"/>
    <xf numFmtId="165" fontId="3" fillId="0" borderId="0" applyFont="0" applyFill="0" applyBorder="0" applyAlignment="0" applyProtection="0"/>
    <xf numFmtId="0" fontId="3" fillId="0" borderId="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0" fontId="3" fillId="0" borderId="0"/>
    <xf numFmtId="0" fontId="3" fillId="0" borderId="0"/>
    <xf numFmtId="0" fontId="3" fillId="0" borderId="0"/>
    <xf numFmtId="0" fontId="3" fillId="0" borderId="0"/>
    <xf numFmtId="165" fontId="3" fillId="0" borderId="0" applyFont="0" applyFill="0" applyBorder="0" applyAlignment="0" applyProtection="0"/>
    <xf numFmtId="0" fontId="3" fillId="0" borderId="0"/>
    <xf numFmtId="165" fontId="3" fillId="0" borderId="0" applyFont="0" applyFill="0" applyBorder="0" applyAlignment="0" applyProtection="0"/>
    <xf numFmtId="0" fontId="3" fillId="0" borderId="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0" fontId="3" fillId="0" borderId="0"/>
    <xf numFmtId="0" fontId="3" fillId="0" borderId="0"/>
    <xf numFmtId="0" fontId="3" fillId="0" borderId="0"/>
    <xf numFmtId="0" fontId="3" fillId="0" borderId="0"/>
    <xf numFmtId="164" fontId="3" fillId="0" borderId="0" applyFont="0" applyFill="0" applyBorder="0" applyAlignment="0" applyProtection="0"/>
    <xf numFmtId="165" fontId="3" fillId="0" borderId="0" applyFont="0" applyFill="0" applyBorder="0" applyAlignment="0" applyProtection="0"/>
    <xf numFmtId="0" fontId="3" fillId="0" borderId="0"/>
    <xf numFmtId="165" fontId="3" fillId="0" borderId="0" applyFont="0" applyFill="0" applyBorder="0" applyAlignment="0" applyProtection="0"/>
    <xf numFmtId="0" fontId="3" fillId="0" borderId="0"/>
    <xf numFmtId="165" fontId="3" fillId="0" borderId="0" applyFont="0" applyFill="0" applyBorder="0" applyAlignment="0" applyProtection="0"/>
    <xf numFmtId="0" fontId="3" fillId="0" borderId="0"/>
    <xf numFmtId="165" fontId="3" fillId="0" borderId="0" applyFont="0" applyFill="0" applyBorder="0" applyAlignment="0" applyProtection="0"/>
    <xf numFmtId="0" fontId="3" fillId="0" borderId="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165" fontId="3" fillId="0" borderId="0" applyFont="0" applyFill="0" applyBorder="0" applyAlignment="0" applyProtection="0"/>
    <xf numFmtId="165" fontId="3" fillId="0" borderId="0" applyFont="0" applyFill="0" applyBorder="0" applyAlignment="0" applyProtection="0"/>
    <xf numFmtId="0" fontId="3" fillId="0" borderId="0"/>
    <xf numFmtId="165" fontId="3" fillId="0" borderId="0" applyFont="0" applyFill="0" applyBorder="0" applyAlignment="0" applyProtection="0"/>
    <xf numFmtId="0" fontId="3" fillId="0" borderId="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0" fontId="3" fillId="0" borderId="0"/>
    <xf numFmtId="0" fontId="3" fillId="0" borderId="0"/>
    <xf numFmtId="0" fontId="3" fillId="0" borderId="0"/>
    <xf numFmtId="0" fontId="3" fillId="0" borderId="0"/>
    <xf numFmtId="164" fontId="3" fillId="0" borderId="0" applyFont="0" applyFill="0" applyBorder="0" applyAlignment="0" applyProtection="0"/>
    <xf numFmtId="165" fontId="3" fillId="0" borderId="0" applyFont="0" applyFill="0" applyBorder="0" applyAlignment="0" applyProtection="0"/>
    <xf numFmtId="0" fontId="3" fillId="0" borderId="0"/>
    <xf numFmtId="165" fontId="3" fillId="0" borderId="0" applyFont="0" applyFill="0" applyBorder="0" applyAlignment="0" applyProtection="0"/>
    <xf numFmtId="0" fontId="3" fillId="0" borderId="0"/>
    <xf numFmtId="165" fontId="3" fillId="0" borderId="0" applyFont="0" applyFill="0" applyBorder="0" applyAlignment="0" applyProtection="0"/>
    <xf numFmtId="0" fontId="3" fillId="0" borderId="0"/>
    <xf numFmtId="165" fontId="3" fillId="0" borderId="0" applyFont="0" applyFill="0" applyBorder="0" applyAlignment="0" applyProtection="0"/>
    <xf numFmtId="0" fontId="3" fillId="0" borderId="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0" fontId="3" fillId="0" borderId="0"/>
    <xf numFmtId="0" fontId="3" fillId="0" borderId="0"/>
    <xf numFmtId="0" fontId="3" fillId="0" borderId="0"/>
    <xf numFmtId="0" fontId="3" fillId="0" borderId="0"/>
    <xf numFmtId="165" fontId="3" fillId="0" borderId="0" applyFont="0" applyFill="0" applyBorder="0" applyAlignment="0" applyProtection="0"/>
    <xf numFmtId="0" fontId="3" fillId="0" borderId="0"/>
    <xf numFmtId="165" fontId="3" fillId="0" borderId="0" applyFont="0" applyFill="0" applyBorder="0" applyAlignment="0" applyProtection="0"/>
    <xf numFmtId="0" fontId="3" fillId="0" borderId="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0" fontId="3" fillId="0" borderId="0"/>
    <xf numFmtId="0" fontId="3" fillId="0" borderId="0"/>
    <xf numFmtId="0" fontId="3" fillId="0" borderId="0"/>
    <xf numFmtId="0" fontId="3" fillId="0" borderId="0"/>
    <xf numFmtId="165" fontId="3" fillId="0" borderId="0" applyFont="0" applyFill="0" applyBorder="0" applyAlignment="0" applyProtection="0"/>
    <xf numFmtId="0" fontId="3" fillId="0" borderId="0"/>
    <xf numFmtId="165" fontId="3" fillId="0" borderId="0" applyFont="0" applyFill="0" applyBorder="0" applyAlignment="0" applyProtection="0"/>
    <xf numFmtId="0" fontId="3" fillId="0" borderId="0"/>
    <xf numFmtId="165" fontId="3" fillId="0" borderId="0" applyFont="0" applyFill="0" applyBorder="0" applyAlignment="0" applyProtection="0"/>
    <xf numFmtId="0" fontId="3" fillId="0" borderId="0"/>
    <xf numFmtId="165" fontId="3" fillId="0" borderId="0" applyFont="0" applyFill="0" applyBorder="0" applyAlignment="0" applyProtection="0"/>
    <xf numFmtId="0" fontId="3" fillId="0" borderId="0"/>
    <xf numFmtId="165" fontId="3" fillId="0" borderId="0" applyFont="0" applyFill="0" applyBorder="0" applyAlignment="0" applyProtection="0"/>
    <xf numFmtId="0" fontId="3" fillId="0" borderId="0"/>
    <xf numFmtId="165" fontId="3" fillId="0" borderId="0" applyFont="0" applyFill="0" applyBorder="0" applyAlignment="0" applyProtection="0"/>
    <xf numFmtId="0" fontId="3" fillId="0" borderId="0"/>
    <xf numFmtId="0" fontId="68" fillId="0" borderId="0" applyNumberFormat="0" applyFill="0" applyBorder="0" applyAlignment="0" applyProtection="0"/>
  </cellStyleXfs>
  <cellXfs count="697">
    <xf numFmtId="0" fontId="0" fillId="0" borderId="0" xfId="0"/>
    <xf numFmtId="175" fontId="28" fillId="0" borderId="0" xfId="4" applyNumberFormat="1" applyFont="1" applyFill="1" applyBorder="1"/>
    <xf numFmtId="0" fontId="28" fillId="3" borderId="0" xfId="0" applyNumberFormat="1" applyFont="1" applyFill="1" applyAlignment="1">
      <alignment horizontal="left"/>
    </xf>
    <xf numFmtId="0" fontId="28" fillId="3" borderId="0" xfId="0" applyNumberFormat="1" applyFont="1" applyFill="1" applyAlignment="1">
      <alignment horizontal="center"/>
    </xf>
    <xf numFmtId="175" fontId="28" fillId="3" borderId="0" xfId="4" applyNumberFormat="1" applyFont="1" applyFill="1" applyAlignment="1">
      <alignment horizontal="center"/>
    </xf>
    <xf numFmtId="175" fontId="28" fillId="3" borderId="0" xfId="4" applyNumberFormat="1" applyFont="1" applyFill="1"/>
    <xf numFmtId="0" fontId="28" fillId="3" borderId="14" xfId="0" applyNumberFormat="1" applyFont="1" applyFill="1" applyBorder="1" applyAlignment="1">
      <alignment horizontal="center"/>
    </xf>
    <xf numFmtId="0" fontId="28" fillId="3" borderId="5" xfId="0" applyNumberFormat="1" applyFont="1" applyFill="1" applyBorder="1" applyAlignment="1">
      <alignment horizontal="center"/>
    </xf>
    <xf numFmtId="175" fontId="28" fillId="3" borderId="5" xfId="4" applyNumberFormat="1" applyFont="1" applyFill="1" applyBorder="1"/>
    <xf numFmtId="175" fontId="28" fillId="3" borderId="14" xfId="4" applyNumberFormat="1" applyFont="1" applyFill="1" applyBorder="1"/>
    <xf numFmtId="3" fontId="28" fillId="3" borderId="0" xfId="0" applyNumberFormat="1" applyFont="1" applyFill="1"/>
    <xf numFmtId="0" fontId="28" fillId="3" borderId="0" xfId="0" applyFont="1" applyFill="1"/>
    <xf numFmtId="175" fontId="28" fillId="3" borderId="0" xfId="4" applyNumberFormat="1" applyFont="1" applyFill="1" applyBorder="1"/>
    <xf numFmtId="43" fontId="28" fillId="3" borderId="0" xfId="4" applyFont="1" applyFill="1"/>
    <xf numFmtId="0" fontId="28" fillId="3" borderId="0" xfId="0" applyFont="1" applyFill="1" applyAlignment="1">
      <alignment vertical="top" wrapText="1"/>
    </xf>
    <xf numFmtId="43" fontId="28" fillId="3" borderId="0" xfId="0" applyNumberFormat="1" applyFont="1" applyFill="1"/>
    <xf numFmtId="175" fontId="28" fillId="3" borderId="3" xfId="4" applyNumberFormat="1" applyFont="1" applyFill="1" applyBorder="1"/>
    <xf numFmtId="43" fontId="28" fillId="3" borderId="14" xfId="4" applyFont="1" applyFill="1" applyBorder="1"/>
    <xf numFmtId="0" fontId="28" fillId="3" borderId="0" xfId="0" applyFont="1" applyFill="1" applyAlignment="1">
      <alignment horizontal="center"/>
    </xf>
    <xf numFmtId="166" fontId="28" fillId="3" borderId="17" xfId="0" applyNumberFormat="1" applyFont="1" applyFill="1" applyBorder="1" applyAlignment="1">
      <alignment horizontal="center"/>
    </xf>
    <xf numFmtId="0" fontId="30" fillId="3" borderId="0" xfId="0" applyNumberFormat="1" applyFont="1" applyFill="1" applyAlignment="1">
      <alignment horizontal="left"/>
    </xf>
    <xf numFmtId="0" fontId="30" fillId="3" borderId="0" xfId="0" applyNumberFormat="1" applyFont="1" applyFill="1" applyAlignment="1">
      <alignment horizontal="center"/>
    </xf>
    <xf numFmtId="0" fontId="29" fillId="3" borderId="0" xfId="0" applyFont="1" applyFill="1"/>
    <xf numFmtId="4" fontId="28" fillId="3" borderId="0" xfId="0" applyNumberFormat="1" applyFont="1" applyFill="1"/>
    <xf numFmtId="166" fontId="28" fillId="3" borderId="0" xfId="0" applyNumberFormat="1" applyFont="1" applyFill="1" applyAlignment="1">
      <alignment horizontal="left"/>
    </xf>
    <xf numFmtId="0" fontId="28" fillId="3" borderId="14" xfId="0" applyFont="1" applyFill="1" applyBorder="1"/>
    <xf numFmtId="175" fontId="28" fillId="3" borderId="11" xfId="4" applyNumberFormat="1" applyFont="1" applyFill="1" applyBorder="1"/>
    <xf numFmtId="3" fontId="28" fillId="3" borderId="5" xfId="0" applyNumberFormat="1" applyFont="1" applyFill="1" applyBorder="1"/>
    <xf numFmtId="43" fontId="28" fillId="3" borderId="5" xfId="4" applyFont="1" applyFill="1" applyBorder="1"/>
    <xf numFmtId="175" fontId="28" fillId="3" borderId="0" xfId="0" applyNumberFormat="1" applyFont="1" applyFill="1"/>
    <xf numFmtId="175" fontId="28" fillId="4" borderId="14" xfId="4" applyNumberFormat="1" applyFont="1" applyFill="1" applyBorder="1"/>
    <xf numFmtId="175" fontId="28" fillId="3" borderId="9" xfId="4" applyNumberFormat="1" applyFont="1" applyFill="1" applyBorder="1"/>
    <xf numFmtId="3" fontId="28" fillId="3" borderId="0" xfId="11" applyNumberFormat="1" applyFont="1" applyFill="1" applyAlignment="1">
      <alignment vertical="center"/>
    </xf>
    <xf numFmtId="0" fontId="28" fillId="3" borderId="0" xfId="11" applyFont="1" applyFill="1" applyAlignment="1">
      <alignment vertical="center"/>
    </xf>
    <xf numFmtId="175" fontId="28" fillId="3" borderId="0" xfId="4" applyNumberFormat="1" applyFont="1" applyFill="1" applyAlignment="1">
      <alignment vertical="center"/>
    </xf>
    <xf numFmtId="0" fontId="28" fillId="3" borderId="0" xfId="0" applyFont="1" applyFill="1" applyBorder="1"/>
    <xf numFmtId="0" fontId="28" fillId="3" borderId="4" xfId="0" applyFont="1" applyFill="1" applyBorder="1" applyAlignment="1">
      <alignment horizontal="center"/>
    </xf>
    <xf numFmtId="0" fontId="28" fillId="3" borderId="0" xfId="0" quotePrefix="1" applyFont="1" applyFill="1"/>
    <xf numFmtId="0" fontId="28" fillId="3" borderId="5" xfId="0" applyFont="1" applyFill="1" applyBorder="1" applyAlignment="1">
      <alignment horizontal="center"/>
    </xf>
    <xf numFmtId="0" fontId="28" fillId="3" borderId="3" xfId="0" applyFont="1" applyFill="1" applyBorder="1" applyAlignment="1">
      <alignment horizontal="center"/>
    </xf>
    <xf numFmtId="0" fontId="29" fillId="3" borderId="0" xfId="11" applyFont="1" applyFill="1"/>
    <xf numFmtId="175" fontId="28" fillId="3" borderId="4" xfId="4" applyNumberFormat="1" applyFont="1" applyFill="1" applyBorder="1"/>
    <xf numFmtId="175" fontId="28" fillId="4" borderId="5" xfId="4" applyNumberFormat="1" applyFont="1" applyFill="1" applyBorder="1"/>
    <xf numFmtId="0" fontId="28" fillId="3" borderId="0" xfId="11" applyFont="1" applyFill="1" applyBorder="1" applyAlignment="1">
      <alignment vertical="center"/>
    </xf>
    <xf numFmtId="10" fontId="28" fillId="3" borderId="0" xfId="12" applyNumberFormat="1" applyFont="1" applyFill="1" applyAlignment="1">
      <alignment vertical="center"/>
    </xf>
    <xf numFmtId="10" fontId="28" fillId="3" borderId="0" xfId="12" applyNumberFormat="1" applyFont="1" applyFill="1"/>
    <xf numFmtId="4" fontId="28" fillId="3" borderId="14" xfId="0" applyNumberFormat="1" applyFont="1" applyFill="1" applyBorder="1"/>
    <xf numFmtId="10" fontId="28" fillId="3" borderId="14" xfId="12" applyNumberFormat="1" applyFont="1" applyFill="1" applyBorder="1"/>
    <xf numFmtId="0" fontId="27" fillId="5" borderId="14" xfId="0" applyFont="1" applyFill="1" applyBorder="1" applyAlignment="1">
      <alignment horizontal="center" vertical="center" wrapText="1"/>
    </xf>
    <xf numFmtId="169" fontId="28" fillId="3" borderId="0" xfId="11" applyNumberFormat="1" applyFont="1" applyFill="1" applyAlignment="1">
      <alignment vertical="center"/>
    </xf>
    <xf numFmtId="175" fontId="28" fillId="3" borderId="15" xfId="4" applyNumberFormat="1" applyFont="1" applyFill="1" applyBorder="1"/>
    <xf numFmtId="175" fontId="28" fillId="3" borderId="16" xfId="4" applyNumberFormat="1" applyFont="1" applyFill="1" applyBorder="1"/>
    <xf numFmtId="170" fontId="28" fillId="3" borderId="0" xfId="0" applyNumberFormat="1" applyFont="1" applyFill="1"/>
    <xf numFmtId="0" fontId="28" fillId="3" borderId="0" xfId="0" applyFont="1" applyFill="1" applyAlignment="1">
      <alignment vertical="top"/>
    </xf>
    <xf numFmtId="3" fontId="28" fillId="3" borderId="0" xfId="0" applyNumberFormat="1" applyFont="1" applyFill="1" applyAlignment="1">
      <alignment vertical="top"/>
    </xf>
    <xf numFmtId="3" fontId="28" fillId="3" borderId="0" xfId="0" applyNumberFormat="1" applyFont="1" applyFill="1" applyBorder="1" applyAlignment="1">
      <alignment vertical="top" wrapText="1"/>
    </xf>
    <xf numFmtId="0" fontId="28" fillId="3" borderId="14" xfId="0" applyFont="1" applyFill="1" applyBorder="1" applyAlignment="1">
      <alignment horizontal="center"/>
    </xf>
    <xf numFmtId="173" fontId="28" fillId="3" borderId="0" xfId="0" applyNumberFormat="1" applyFont="1" applyFill="1" applyAlignment="1">
      <alignment vertical="top"/>
    </xf>
    <xf numFmtId="175" fontId="28" fillId="3" borderId="12" xfId="4" applyNumberFormat="1" applyFont="1" applyFill="1" applyBorder="1"/>
    <xf numFmtId="43" fontId="28" fillId="3" borderId="4" xfId="4" applyFont="1" applyFill="1" applyBorder="1"/>
    <xf numFmtId="169" fontId="28" fillId="3" borderId="0" xfId="0" applyNumberFormat="1" applyFont="1" applyFill="1"/>
    <xf numFmtId="3" fontId="28" fillId="3" borderId="14" xfId="12" applyNumberFormat="1" applyFont="1" applyFill="1" applyBorder="1"/>
    <xf numFmtId="43" fontId="28" fillId="3" borderId="14" xfId="4" applyNumberFormat="1" applyFont="1" applyFill="1" applyBorder="1"/>
    <xf numFmtId="175" fontId="28" fillId="7" borderId="14" xfId="4" applyNumberFormat="1" applyFont="1" applyFill="1" applyBorder="1"/>
    <xf numFmtId="175" fontId="28" fillId="4" borderId="4" xfId="4" applyNumberFormat="1" applyFont="1" applyFill="1" applyBorder="1"/>
    <xf numFmtId="175" fontId="28" fillId="4" borderId="3" xfId="4" applyNumberFormat="1" applyFont="1" applyFill="1" applyBorder="1"/>
    <xf numFmtId="3" fontId="27" fillId="5" borderId="4" xfId="0" applyNumberFormat="1" applyFont="1" applyFill="1" applyBorder="1"/>
    <xf numFmtId="0" fontId="27" fillId="5" borderId="0" xfId="0" applyFont="1" applyFill="1"/>
    <xf numFmtId="0" fontId="28" fillId="3" borderId="8" xfId="0" applyFont="1" applyFill="1" applyBorder="1" applyAlignment="1">
      <alignment horizontal="center"/>
    </xf>
    <xf numFmtId="0" fontId="27" fillId="5" borderId="3" xfId="0" applyFont="1" applyFill="1" applyBorder="1" applyAlignment="1">
      <alignment horizontal="center"/>
    </xf>
    <xf numFmtId="175" fontId="28" fillId="3" borderId="13" xfId="4" applyNumberFormat="1" applyFont="1" applyFill="1" applyBorder="1"/>
    <xf numFmtId="2" fontId="28" fillId="3" borderId="0" xfId="0" applyNumberFormat="1" applyFont="1" applyFill="1"/>
    <xf numFmtId="175" fontId="28" fillId="4" borderId="11" xfId="4" applyNumberFormat="1" applyFont="1" applyFill="1" applyBorder="1"/>
    <xf numFmtId="171" fontId="28" fillId="3" borderId="0" xfId="0" applyNumberFormat="1" applyFont="1" applyFill="1"/>
    <xf numFmtId="166" fontId="28" fillId="3" borderId="14" xfId="0" applyNumberFormat="1" applyFont="1" applyFill="1" applyBorder="1" applyAlignment="1">
      <alignment horizontal="center"/>
    </xf>
    <xf numFmtId="175" fontId="28" fillId="3" borderId="7" xfId="4" applyNumberFormat="1" applyFont="1" applyFill="1" applyBorder="1"/>
    <xf numFmtId="0" fontId="27" fillId="5" borderId="17" xfId="0" applyFont="1" applyFill="1" applyBorder="1"/>
    <xf numFmtId="0" fontId="27" fillId="5" borderId="6" xfId="0" applyFont="1" applyFill="1" applyBorder="1"/>
    <xf numFmtId="0" fontId="27" fillId="5" borderId="14" xfId="0" applyFont="1" applyFill="1" applyBorder="1" applyAlignment="1">
      <alignment horizontal="center"/>
    </xf>
    <xf numFmtId="43" fontId="28" fillId="3" borderId="0" xfId="4" applyFont="1" applyFill="1" applyBorder="1" applyAlignment="1">
      <alignment vertical="center"/>
    </xf>
    <xf numFmtId="43" fontId="28" fillId="3" borderId="0" xfId="4" applyFont="1" applyFill="1" applyAlignment="1">
      <alignment vertical="center"/>
    </xf>
    <xf numFmtId="172" fontId="28" fillId="3" borderId="0" xfId="0" applyNumberFormat="1" applyFont="1" applyFill="1"/>
    <xf numFmtId="167" fontId="28" fillId="3" borderId="12" xfId="0" applyNumberFormat="1" applyFont="1" applyFill="1" applyBorder="1"/>
    <xf numFmtId="167" fontId="28" fillId="3" borderId="11" xfId="0" applyNumberFormat="1" applyFont="1" applyFill="1" applyBorder="1"/>
    <xf numFmtId="167" fontId="28" fillId="3" borderId="13" xfId="0" applyNumberFormat="1" applyFont="1" applyFill="1" applyBorder="1"/>
    <xf numFmtId="0" fontId="32" fillId="3" borderId="0" xfId="0" applyFont="1" applyFill="1"/>
    <xf numFmtId="0" fontId="33" fillId="3" borderId="5" xfId="0" applyFont="1" applyFill="1" applyBorder="1" applyAlignment="1">
      <alignment horizontal="center"/>
    </xf>
    <xf numFmtId="0" fontId="33" fillId="3" borderId="0" xfId="0" applyFont="1" applyFill="1"/>
    <xf numFmtId="0" fontId="28" fillId="7" borderId="0" xfId="0" applyFont="1" applyFill="1"/>
    <xf numFmtId="0" fontId="28" fillId="7" borderId="0" xfId="0" applyFont="1" applyFill="1" applyBorder="1"/>
    <xf numFmtId="0" fontId="29" fillId="7" borderId="0" xfId="0" applyFont="1" applyFill="1"/>
    <xf numFmtId="174" fontId="28" fillId="7" borderId="0" xfId="0" applyNumberFormat="1" applyFont="1" applyFill="1" applyBorder="1"/>
    <xf numFmtId="3" fontId="28" fillId="7" borderId="0" xfId="0" applyNumberFormat="1" applyFont="1" applyFill="1"/>
    <xf numFmtId="2" fontId="28" fillId="7" borderId="0" xfId="0" applyNumberFormat="1" applyFont="1" applyFill="1"/>
    <xf numFmtId="9" fontId="28" fillId="7" borderId="0" xfId="0" applyNumberFormat="1" applyFont="1" applyFill="1" applyBorder="1" applyAlignment="1">
      <alignment horizontal="center" vertical="top" wrapText="1"/>
    </xf>
    <xf numFmtId="2" fontId="28" fillId="7" borderId="0" xfId="0" applyNumberFormat="1" applyFont="1" applyFill="1" applyBorder="1" applyAlignment="1">
      <alignment horizontal="center"/>
    </xf>
    <xf numFmtId="10" fontId="28" fillId="7" borderId="14" xfId="0" applyNumberFormat="1" applyFont="1" applyFill="1" applyBorder="1" applyAlignment="1">
      <alignment horizontal="center" vertical="top" wrapText="1"/>
    </xf>
    <xf numFmtId="170" fontId="28" fillId="7" borderId="0" xfId="0" applyNumberFormat="1" applyFont="1" applyFill="1" applyBorder="1"/>
    <xf numFmtId="3" fontId="28" fillId="7" borderId="0" xfId="0" applyNumberFormat="1" applyFont="1" applyFill="1" applyBorder="1"/>
    <xf numFmtId="43" fontId="28" fillId="7" borderId="0" xfId="4" applyFont="1" applyFill="1" applyBorder="1"/>
    <xf numFmtId="0" fontId="28" fillId="7" borderId="14" xfId="0" applyFont="1" applyFill="1" applyBorder="1"/>
    <xf numFmtId="43" fontId="28" fillId="7" borderId="14" xfId="4" applyFont="1" applyFill="1" applyBorder="1"/>
    <xf numFmtId="0" fontId="28" fillId="7" borderId="0" xfId="0" applyFont="1" applyFill="1" applyAlignment="1">
      <alignment vertical="top"/>
    </xf>
    <xf numFmtId="0" fontId="30" fillId="7" borderId="0" xfId="0" applyFont="1" applyFill="1"/>
    <xf numFmtId="14" fontId="28" fillId="6" borderId="14" xfId="0" applyNumberFormat="1" applyFont="1" applyFill="1" applyBorder="1" applyAlignment="1">
      <alignment horizontal="center"/>
    </xf>
    <xf numFmtId="9" fontId="28" fillId="6" borderId="14" xfId="0" applyNumberFormat="1" applyFont="1" applyFill="1" applyBorder="1" applyAlignment="1">
      <alignment horizontal="center" vertical="top" wrapText="1"/>
    </xf>
    <xf numFmtId="10" fontId="28" fillId="6" borderId="14" xfId="0" applyNumberFormat="1" applyFont="1" applyFill="1" applyBorder="1" applyAlignment="1">
      <alignment horizontal="center"/>
    </xf>
    <xf numFmtId="0" fontId="28" fillId="7" borderId="0" xfId="0" applyFont="1" applyFill="1" applyBorder="1" applyAlignment="1"/>
    <xf numFmtId="0" fontId="28" fillId="7" borderId="0" xfId="0" applyFont="1" applyFill="1" applyBorder="1" applyAlignment="1">
      <alignment horizontal="left" vertical="top"/>
    </xf>
    <xf numFmtId="0" fontId="28" fillId="7" borderId="0" xfId="0" applyFont="1" applyFill="1" applyBorder="1" applyAlignment="1">
      <alignment horizontal="left"/>
    </xf>
    <xf numFmtId="3" fontId="28" fillId="6" borderId="14" xfId="0" applyNumberFormat="1" applyFont="1" applyFill="1" applyBorder="1"/>
    <xf numFmtId="3" fontId="28" fillId="7" borderId="14" xfId="0" applyNumberFormat="1" applyFont="1" applyFill="1" applyBorder="1" applyAlignment="1">
      <alignment horizontal="center"/>
    </xf>
    <xf numFmtId="9" fontId="28" fillId="6" borderId="14" xfId="0" applyNumberFormat="1" applyFont="1" applyFill="1" applyBorder="1" applyAlignment="1">
      <alignment horizontal="center"/>
    </xf>
    <xf numFmtId="0" fontId="28" fillId="6" borderId="14" xfId="0" applyFont="1" applyFill="1" applyBorder="1" applyAlignment="1">
      <alignment horizontal="center" vertical="top" wrapText="1"/>
    </xf>
    <xf numFmtId="0" fontId="28" fillId="7" borderId="4" xfId="0" applyFont="1" applyFill="1" applyBorder="1" applyAlignment="1">
      <alignment horizontal="center" vertical="center" wrapText="1"/>
    </xf>
    <xf numFmtId="176" fontId="28" fillId="7" borderId="14" xfId="4" applyNumberFormat="1" applyFont="1" applyFill="1" applyBorder="1"/>
    <xf numFmtId="0" fontId="30" fillId="7" borderId="0" xfId="0" applyFont="1" applyFill="1" applyBorder="1"/>
    <xf numFmtId="4" fontId="28" fillId="3" borderId="0" xfId="0" applyNumberFormat="1" applyFont="1" applyFill="1" applyBorder="1"/>
    <xf numFmtId="175" fontId="28" fillId="7" borderId="0" xfId="4" applyNumberFormat="1" applyFont="1" applyFill="1"/>
    <xf numFmtId="0" fontId="34" fillId="7" borderId="0" xfId="0" applyFont="1" applyFill="1"/>
    <xf numFmtId="175" fontId="34" fillId="7" borderId="0" xfId="4" applyNumberFormat="1" applyFont="1" applyFill="1"/>
    <xf numFmtId="175" fontId="27" fillId="5" borderId="0" xfId="4" applyNumberFormat="1" applyFont="1" applyFill="1"/>
    <xf numFmtId="0" fontId="34" fillId="7" borderId="0" xfId="0" applyFont="1" applyFill="1" applyAlignment="1">
      <alignment horizontal="right"/>
    </xf>
    <xf numFmtId="169" fontId="31" fillId="3" borderId="0" xfId="11" applyNumberFormat="1" applyFont="1" applyFill="1" applyBorder="1" applyAlignment="1">
      <alignment vertical="center"/>
    </xf>
    <xf numFmtId="176" fontId="28" fillId="3" borderId="0" xfId="14" applyNumberFormat="1" applyFont="1" applyFill="1" applyBorder="1" applyAlignment="1">
      <alignment vertical="center"/>
    </xf>
    <xf numFmtId="0" fontId="29" fillId="3" borderId="0" xfId="11" applyFont="1" applyFill="1" applyBorder="1"/>
    <xf numFmtId="176" fontId="29" fillId="3" borderId="0" xfId="14" applyNumberFormat="1" applyFont="1" applyFill="1" applyBorder="1"/>
    <xf numFmtId="0" fontId="28" fillId="3" borderId="0" xfId="15" applyFont="1" applyFill="1"/>
    <xf numFmtId="0" fontId="28" fillId="3" borderId="0" xfId="15" applyFont="1" applyFill="1" applyBorder="1"/>
    <xf numFmtId="176" fontId="28" fillId="3" borderId="0" xfId="14" applyNumberFormat="1" applyFont="1" applyFill="1" applyBorder="1"/>
    <xf numFmtId="165" fontId="28" fillId="3" borderId="5" xfId="14" applyFont="1" applyFill="1" applyBorder="1"/>
    <xf numFmtId="176" fontId="17" fillId="3" borderId="0" xfId="14" applyNumberFormat="1" applyFont="1" applyFill="1" applyBorder="1" applyAlignment="1">
      <alignment horizontal="left"/>
    </xf>
    <xf numFmtId="3" fontId="17" fillId="3" borderId="0" xfId="15" applyNumberFormat="1" applyFont="1" applyFill="1" applyBorder="1" applyAlignment="1">
      <alignment horizontal="right"/>
    </xf>
    <xf numFmtId="176" fontId="28" fillId="3" borderId="0" xfId="15" applyNumberFormat="1" applyFont="1" applyFill="1" applyBorder="1"/>
    <xf numFmtId="3" fontId="28" fillId="3" borderId="0" xfId="15" applyNumberFormat="1" applyFont="1" applyFill="1"/>
    <xf numFmtId="0" fontId="27" fillId="3" borderId="0" xfId="15" applyFont="1" applyFill="1" applyBorder="1" applyAlignment="1">
      <alignment vertical="center"/>
    </xf>
    <xf numFmtId="176" fontId="27" fillId="3" borderId="0" xfId="14" applyNumberFormat="1" applyFont="1" applyFill="1" applyBorder="1" applyAlignment="1">
      <alignment horizontal="center" vertical="center" wrapText="1"/>
    </xf>
    <xf numFmtId="176" fontId="27" fillId="3" borderId="0" xfId="14" applyNumberFormat="1" applyFont="1" applyFill="1" applyBorder="1" applyAlignment="1">
      <alignment vertical="center"/>
    </xf>
    <xf numFmtId="0" fontId="27" fillId="3" borderId="0" xfId="15" applyFont="1" applyFill="1" applyAlignment="1">
      <alignment vertical="center"/>
    </xf>
    <xf numFmtId="175" fontId="28" fillId="3" borderId="14" xfId="4" applyNumberFormat="1" applyFont="1" applyFill="1" applyBorder="1" applyAlignment="1">
      <alignment horizontal="center"/>
    </xf>
    <xf numFmtId="175" fontId="28" fillId="6" borderId="14" xfId="4" applyNumberFormat="1" applyFont="1" applyFill="1" applyBorder="1"/>
    <xf numFmtId="0" fontId="38" fillId="5" borderId="0" xfId="0" applyFont="1" applyFill="1"/>
    <xf numFmtId="175" fontId="28" fillId="3" borderId="0" xfId="15" applyNumberFormat="1" applyFont="1" applyFill="1"/>
    <xf numFmtId="175" fontId="28" fillId="3" borderId="3" xfId="4" applyNumberFormat="1" applyFont="1" applyFill="1" applyBorder="1" applyAlignment="1">
      <alignment horizontal="center"/>
    </xf>
    <xf numFmtId="175" fontId="28" fillId="7" borderId="0" xfId="4" applyNumberFormat="1" applyFont="1" applyFill="1" applyBorder="1"/>
    <xf numFmtId="43" fontId="28" fillId="6" borderId="14" xfId="4" applyFont="1" applyFill="1" applyBorder="1" applyAlignment="1">
      <alignment horizontal="center"/>
    </xf>
    <xf numFmtId="0" fontId="37" fillId="3" borderId="0" xfId="0" applyFont="1" applyFill="1"/>
    <xf numFmtId="175" fontId="37" fillId="3" borderId="0" xfId="4" applyNumberFormat="1" applyFont="1" applyFill="1"/>
    <xf numFmtId="0" fontId="37" fillId="7" borderId="0" xfId="0" applyFont="1" applyFill="1"/>
    <xf numFmtId="175" fontId="37" fillId="2" borderId="0" xfId="4" applyNumberFormat="1" applyFont="1" applyFill="1"/>
    <xf numFmtId="43" fontId="37" fillId="3" borderId="0" xfId="4" applyFont="1" applyFill="1"/>
    <xf numFmtId="175" fontId="37" fillId="3" borderId="16" xfId="4" applyNumberFormat="1" applyFont="1" applyFill="1" applyBorder="1"/>
    <xf numFmtId="175" fontId="39" fillId="3" borderId="0" xfId="4" applyNumberFormat="1" applyFont="1" applyFill="1"/>
    <xf numFmtId="0" fontId="39" fillId="3" borderId="0" xfId="0" applyFont="1" applyFill="1"/>
    <xf numFmtId="0" fontId="37" fillId="3" borderId="0" xfId="0" applyFont="1" applyFill="1" applyAlignment="1">
      <alignment horizontal="right"/>
    </xf>
    <xf numFmtId="0" fontId="37" fillId="3" borderId="0" xfId="0" applyFont="1" applyFill="1" applyAlignment="1">
      <alignment horizontal="left"/>
    </xf>
    <xf numFmtId="0" fontId="28" fillId="0" borderId="0" xfId="0" applyFont="1" applyFill="1"/>
    <xf numFmtId="10" fontId="28" fillId="7" borderId="3" xfId="12" applyNumberFormat="1" applyFont="1" applyFill="1" applyBorder="1"/>
    <xf numFmtId="2" fontId="28" fillId="7" borderId="14" xfId="0" applyNumberFormat="1" applyFont="1" applyFill="1" applyBorder="1" applyAlignment="1"/>
    <xf numFmtId="2" fontId="28" fillId="7" borderId="14" xfId="4" applyNumberFormat="1" applyFont="1" applyFill="1" applyBorder="1"/>
    <xf numFmtId="10" fontId="28" fillId="6" borderId="17" xfId="0" applyNumberFormat="1" applyFont="1" applyFill="1" applyBorder="1" applyAlignment="1">
      <alignment horizontal="center"/>
    </xf>
    <xf numFmtId="3" fontId="28" fillId="3" borderId="14" xfId="0" applyNumberFormat="1" applyFont="1" applyFill="1" applyBorder="1"/>
    <xf numFmtId="43" fontId="27" fillId="5" borderId="14" xfId="4" applyNumberFormat="1" applyFont="1" applyFill="1" applyBorder="1"/>
    <xf numFmtId="10" fontId="28" fillId="3" borderId="0" xfId="0" applyNumberFormat="1" applyFont="1" applyFill="1" applyBorder="1"/>
    <xf numFmtId="43" fontId="28" fillId="6" borderId="14" xfId="4" applyNumberFormat="1" applyFont="1" applyFill="1" applyBorder="1"/>
    <xf numFmtId="43" fontId="28" fillId="3" borderId="0" xfId="4" applyNumberFormat="1" applyFont="1" applyFill="1"/>
    <xf numFmtId="0" fontId="28" fillId="3" borderId="0" xfId="0" applyFont="1" applyFill="1" applyAlignment="1">
      <alignment vertical="center"/>
    </xf>
    <xf numFmtId="175" fontId="28" fillId="3" borderId="0" xfId="4" applyNumberFormat="1" applyFont="1" applyFill="1" applyBorder="1" applyAlignment="1">
      <alignment horizontal="center"/>
    </xf>
    <xf numFmtId="175" fontId="28" fillId="3" borderId="0" xfId="4" applyNumberFormat="1" applyFont="1" applyFill="1" applyBorder="1" applyAlignment="1">
      <alignment vertical="center"/>
    </xf>
    <xf numFmtId="9" fontId="28" fillId="6" borderId="14" xfId="12" applyFont="1" applyFill="1" applyBorder="1"/>
    <xf numFmtId="0" fontId="28" fillId="3" borderId="0" xfId="0" applyFont="1" applyFill="1" applyBorder="1" applyAlignment="1">
      <alignment horizontal="left"/>
    </xf>
    <xf numFmtId="3" fontId="28" fillId="3" borderId="0" xfId="0" applyNumberFormat="1" applyFont="1" applyFill="1" applyBorder="1"/>
    <xf numFmtId="0" fontId="28" fillId="3" borderId="9" xfId="0" applyFont="1" applyFill="1" applyBorder="1" applyAlignment="1">
      <alignment horizontal="center"/>
    </xf>
    <xf numFmtId="3" fontId="28" fillId="3" borderId="4" xfId="0" applyNumberFormat="1" applyFont="1" applyFill="1" applyBorder="1"/>
    <xf numFmtId="166" fontId="28" fillId="3" borderId="6" xfId="0" applyNumberFormat="1" applyFont="1" applyFill="1" applyBorder="1" applyAlignment="1">
      <alignment horizontal="center"/>
    </xf>
    <xf numFmtId="175" fontId="28" fillId="3" borderId="6" xfId="4" applyNumberFormat="1" applyFont="1" applyFill="1" applyBorder="1"/>
    <xf numFmtId="0" fontId="28" fillId="3" borderId="4" xfId="15" applyFont="1" applyFill="1" applyBorder="1" applyAlignment="1">
      <alignment horizontal="center"/>
    </xf>
    <xf numFmtId="0" fontId="28" fillId="3" borderId="5" xfId="15" applyFont="1" applyFill="1" applyBorder="1" applyAlignment="1">
      <alignment horizontal="center"/>
    </xf>
    <xf numFmtId="0" fontId="28" fillId="3" borderId="3" xfId="15" applyFont="1" applyFill="1" applyBorder="1" applyAlignment="1">
      <alignment horizontal="center"/>
    </xf>
    <xf numFmtId="3" fontId="33" fillId="3" borderId="0" xfId="12" applyNumberFormat="1" applyFont="1" applyFill="1" applyBorder="1"/>
    <xf numFmtId="0" fontId="28" fillId="7" borderId="0" xfId="0" applyFont="1" applyFill="1" applyBorder="1" applyAlignment="1">
      <alignment horizontal="right"/>
    </xf>
    <xf numFmtId="3" fontId="33" fillId="3" borderId="0" xfId="0" applyNumberFormat="1" applyFont="1" applyFill="1"/>
    <xf numFmtId="43" fontId="28" fillId="6" borderId="17" xfId="4" applyFont="1" applyFill="1" applyBorder="1"/>
    <xf numFmtId="175" fontId="37" fillId="3" borderId="0" xfId="4" applyNumberFormat="1" applyFont="1" applyFill="1" applyAlignment="1">
      <alignment horizontal="right"/>
    </xf>
    <xf numFmtId="43" fontId="28" fillId="3" borderId="0" xfId="4" applyFont="1" applyFill="1" applyAlignment="1">
      <alignment horizontal="center"/>
    </xf>
    <xf numFmtId="43" fontId="28" fillId="3" borderId="0" xfId="4" applyFont="1" applyFill="1" applyBorder="1" applyAlignment="1">
      <alignment horizontal="center"/>
    </xf>
    <xf numFmtId="43" fontId="28" fillId="3" borderId="0" xfId="4" applyFont="1" applyFill="1" applyBorder="1" applyAlignment="1">
      <alignment horizontal="left"/>
    </xf>
    <xf numFmtId="43" fontId="29" fillId="3" borderId="0" xfId="4" applyFont="1" applyFill="1"/>
    <xf numFmtId="43" fontId="28" fillId="3" borderId="0" xfId="4" applyFont="1" applyFill="1" applyAlignment="1">
      <alignment horizontal="center" vertical="top" wrapText="1"/>
    </xf>
    <xf numFmtId="43" fontId="28" fillId="0" borderId="0" xfId="4" applyFont="1" applyFill="1"/>
    <xf numFmtId="43" fontId="28" fillId="3" borderId="0" xfId="4" applyFont="1" applyFill="1" applyBorder="1"/>
    <xf numFmtId="179" fontId="28" fillId="3" borderId="0" xfId="4" applyNumberFormat="1" applyFont="1" applyFill="1" applyAlignment="1">
      <alignment horizontal="left"/>
    </xf>
    <xf numFmtId="179" fontId="28" fillId="3" borderId="5" xfId="4" applyNumberFormat="1" applyFont="1" applyFill="1" applyBorder="1" applyAlignment="1">
      <alignment horizontal="center"/>
    </xf>
    <xf numFmtId="179" fontId="28" fillId="0" borderId="5" xfId="4" applyNumberFormat="1" applyFont="1" applyFill="1" applyBorder="1" applyAlignment="1">
      <alignment horizontal="center"/>
    </xf>
    <xf numFmtId="179" fontId="28" fillId="3" borderId="14" xfId="4" applyNumberFormat="1" applyFont="1" applyFill="1" applyBorder="1" applyAlignment="1">
      <alignment horizontal="center"/>
    </xf>
    <xf numFmtId="179" fontId="28" fillId="3" borderId="0" xfId="4" applyNumberFormat="1" applyFont="1" applyFill="1" applyAlignment="1">
      <alignment horizontal="center"/>
    </xf>
    <xf numFmtId="175" fontId="42" fillId="3" borderId="0" xfId="4" applyNumberFormat="1" applyFont="1" applyFill="1"/>
    <xf numFmtId="175" fontId="37" fillId="7" borderId="0" xfId="0" applyNumberFormat="1" applyFont="1" applyFill="1"/>
    <xf numFmtId="175" fontId="39" fillId="3" borderId="0" xfId="4" applyNumberFormat="1" applyFont="1" applyFill="1" applyAlignment="1">
      <alignment horizontal="center"/>
    </xf>
    <xf numFmtId="0" fontId="28" fillId="3" borderId="9" xfId="0" applyFont="1" applyFill="1" applyBorder="1" applyAlignment="1">
      <alignment horizontal="left"/>
    </xf>
    <xf numFmtId="0" fontId="28" fillId="3" borderId="10" xfId="0" applyFont="1" applyFill="1" applyBorder="1" applyAlignment="1">
      <alignment horizontal="left"/>
    </xf>
    <xf numFmtId="0" fontId="28" fillId="3" borderId="8" xfId="0" applyFont="1" applyFill="1" applyBorder="1" applyAlignment="1">
      <alignment horizontal="left"/>
    </xf>
    <xf numFmtId="171" fontId="28" fillId="7" borderId="0" xfId="0" applyNumberFormat="1" applyFont="1" applyFill="1"/>
    <xf numFmtId="175" fontId="28" fillId="3" borderId="17" xfId="4" applyNumberFormat="1" applyFont="1" applyFill="1" applyBorder="1" applyAlignment="1">
      <alignment horizontal="center"/>
    </xf>
    <xf numFmtId="0" fontId="28" fillId="7" borderId="0" xfId="0" quotePrefix="1" applyFont="1" applyFill="1" applyBorder="1" applyAlignment="1"/>
    <xf numFmtId="10" fontId="28" fillId="3" borderId="9" xfId="12" applyNumberFormat="1" applyFont="1" applyFill="1" applyBorder="1"/>
    <xf numFmtId="43" fontId="28" fillId="3" borderId="0" xfId="4" applyFont="1" applyFill="1"/>
    <xf numFmtId="0" fontId="28" fillId="3" borderId="3" xfId="0" applyFont="1" applyFill="1" applyBorder="1"/>
    <xf numFmtId="43" fontId="28" fillId="3" borderId="5" xfId="4" applyNumberFormat="1" applyFont="1" applyFill="1" applyBorder="1"/>
    <xf numFmtId="43" fontId="28" fillId="3" borderId="4" xfId="4" applyNumberFormat="1" applyFont="1" applyFill="1" applyBorder="1"/>
    <xf numFmtId="43" fontId="28" fillId="3" borderId="3" xfId="4" applyNumberFormat="1" applyFont="1" applyFill="1" applyBorder="1"/>
    <xf numFmtId="178" fontId="28" fillId="7" borderId="0" xfId="0" quotePrefix="1" applyNumberFormat="1" applyFont="1" applyFill="1" applyAlignment="1">
      <alignment horizontal="right"/>
    </xf>
    <xf numFmtId="164" fontId="28" fillId="7" borderId="0" xfId="0" applyNumberFormat="1" applyFont="1" applyFill="1"/>
    <xf numFmtId="2" fontId="27" fillId="5" borderId="14" xfId="0" applyNumberFormat="1" applyFont="1" applyFill="1" applyBorder="1" applyAlignment="1">
      <alignment horizontal="center" vertical="top" wrapText="1"/>
    </xf>
    <xf numFmtId="0" fontId="28" fillId="7" borderId="0" xfId="0" applyFont="1" applyFill="1" applyBorder="1" applyAlignment="1">
      <alignment horizontal="left"/>
    </xf>
    <xf numFmtId="175" fontId="28" fillId="3" borderId="11" xfId="4" applyNumberFormat="1" applyFont="1" applyFill="1" applyBorder="1"/>
    <xf numFmtId="175" fontId="28" fillId="3" borderId="12" xfId="4" applyNumberFormat="1" applyFont="1" applyFill="1" applyBorder="1"/>
    <xf numFmtId="175" fontId="28" fillId="3" borderId="13" xfId="4" applyNumberFormat="1" applyFont="1" applyFill="1" applyBorder="1"/>
    <xf numFmtId="164" fontId="28" fillId="3" borderId="0" xfId="0" applyNumberFormat="1" applyFont="1" applyFill="1"/>
    <xf numFmtId="0" fontId="28" fillId="3" borderId="0" xfId="0" applyFont="1" applyFill="1"/>
    <xf numFmtId="4" fontId="28" fillId="3" borderId="0" xfId="0" applyNumberFormat="1" applyFont="1" applyFill="1"/>
    <xf numFmtId="169" fontId="28" fillId="3" borderId="0" xfId="11" applyNumberFormat="1" applyFont="1" applyFill="1" applyAlignment="1">
      <alignment vertical="center"/>
    </xf>
    <xf numFmtId="0" fontId="28" fillId="7" borderId="0" xfId="0" applyFont="1" applyFill="1"/>
    <xf numFmtId="0" fontId="28" fillId="7" borderId="0" xfId="0" applyFont="1" applyFill="1" applyBorder="1"/>
    <xf numFmtId="10" fontId="28" fillId="6" borderId="14" xfId="0" applyNumberFormat="1" applyFont="1" applyFill="1" applyBorder="1" applyAlignment="1">
      <alignment horizontal="center"/>
    </xf>
    <xf numFmtId="177" fontId="28" fillId="3" borderId="0" xfId="4" applyNumberFormat="1" applyFont="1" applyFill="1" applyBorder="1"/>
    <xf numFmtId="175" fontId="28" fillId="3" borderId="0" xfId="4" applyNumberFormat="1" applyFont="1" applyFill="1" applyBorder="1"/>
    <xf numFmtId="175" fontId="28" fillId="3" borderId="3" xfId="4" applyNumberFormat="1" applyFont="1" applyFill="1" applyBorder="1"/>
    <xf numFmtId="175" fontId="28" fillId="3" borderId="0" xfId="0" applyNumberFormat="1" applyFont="1" applyFill="1"/>
    <xf numFmtId="175" fontId="28" fillId="7" borderId="0" xfId="0" applyNumberFormat="1" applyFont="1" applyFill="1"/>
    <xf numFmtId="175" fontId="37" fillId="7" borderId="0" xfId="0" applyNumberFormat="1" applyFont="1" applyFill="1"/>
    <xf numFmtId="43" fontId="37" fillId="7" borderId="0" xfId="4" applyFont="1" applyFill="1"/>
    <xf numFmtId="43" fontId="28" fillId="3" borderId="0" xfId="15" applyNumberFormat="1" applyFont="1" applyFill="1"/>
    <xf numFmtId="176" fontId="7" fillId="3" borderId="0" xfId="14" applyNumberFormat="1" applyFont="1" applyFill="1" applyBorder="1" applyAlignment="1">
      <alignment horizontal="left"/>
    </xf>
    <xf numFmtId="164" fontId="17" fillId="3" borderId="0" xfId="14" applyNumberFormat="1" applyFont="1" applyFill="1" applyBorder="1" applyAlignment="1">
      <alignment horizontal="left"/>
    </xf>
    <xf numFmtId="175" fontId="28" fillId="3" borderId="0" xfId="4" applyNumberFormat="1" applyFont="1" applyFill="1" applyBorder="1" applyAlignment="1">
      <alignment horizontal="center"/>
    </xf>
    <xf numFmtId="175" fontId="28" fillId="3" borderId="4" xfId="4" applyNumberFormat="1" applyFont="1" applyFill="1" applyBorder="1" applyAlignment="1">
      <alignment horizontal="center"/>
    </xf>
    <xf numFmtId="175" fontId="28" fillId="3" borderId="5" xfId="4" applyNumberFormat="1" applyFont="1" applyFill="1" applyBorder="1" applyAlignment="1">
      <alignment horizontal="center"/>
    </xf>
    <xf numFmtId="175" fontId="28" fillId="3" borderId="0" xfId="4" applyNumberFormat="1" applyFont="1" applyFill="1" applyBorder="1"/>
    <xf numFmtId="43" fontId="28" fillId="3" borderId="0" xfId="4" applyFont="1" applyFill="1"/>
    <xf numFmtId="43" fontId="28" fillId="3" borderId="5" xfId="4" applyFont="1" applyFill="1" applyBorder="1"/>
    <xf numFmtId="43" fontId="28" fillId="3" borderId="3" xfId="4" applyFont="1" applyFill="1" applyBorder="1"/>
    <xf numFmtId="43" fontId="28" fillId="3" borderId="0" xfId="4" applyFont="1" applyFill="1" applyBorder="1"/>
    <xf numFmtId="43" fontId="28" fillId="3" borderId="9" xfId="4" applyFont="1" applyFill="1" applyBorder="1"/>
    <xf numFmtId="43" fontId="28" fillId="3" borderId="8" xfId="4" applyFont="1" applyFill="1" applyBorder="1"/>
    <xf numFmtId="43" fontId="28" fillId="3" borderId="10" xfId="4" applyFont="1" applyFill="1" applyBorder="1"/>
    <xf numFmtId="175" fontId="28" fillId="3" borderId="0" xfId="4" applyNumberFormat="1" applyFont="1" applyFill="1" applyAlignment="1">
      <alignment horizontal="center" vertical="top" wrapText="1"/>
    </xf>
    <xf numFmtId="0" fontId="31" fillId="7" borderId="0" xfId="0" applyFont="1" applyFill="1" applyAlignment="1">
      <alignment vertical="center" wrapText="1"/>
    </xf>
    <xf numFmtId="9" fontId="27" fillId="5" borderId="14" xfId="0" applyNumberFormat="1" applyFont="1" applyFill="1" applyBorder="1" applyAlignment="1">
      <alignment horizontal="center"/>
    </xf>
    <xf numFmtId="0" fontId="28" fillId="30" borderId="0" xfId="0" applyFont="1" applyFill="1" applyBorder="1" applyAlignment="1">
      <alignment horizontal="left"/>
    </xf>
    <xf numFmtId="175" fontId="37" fillId="3" borderId="0" xfId="4" applyNumberFormat="1" applyFont="1" applyFill="1" applyAlignment="1">
      <alignment horizontal="center"/>
    </xf>
    <xf numFmtId="0" fontId="39" fillId="3" borderId="0" xfId="0" applyFont="1" applyFill="1" applyAlignment="1">
      <alignment wrapText="1"/>
    </xf>
    <xf numFmtId="0" fontId="37" fillId="3" borderId="0" xfId="0" applyFont="1" applyFill="1" applyAlignment="1">
      <alignment wrapText="1"/>
    </xf>
    <xf numFmtId="175" fontId="37" fillId="2" borderId="0" xfId="4" applyNumberFormat="1" applyFont="1" applyFill="1" applyAlignment="1">
      <alignment wrapText="1"/>
    </xf>
    <xf numFmtId="175" fontId="37" fillId="3" borderId="0" xfId="4" applyNumberFormat="1" applyFont="1" applyFill="1" applyAlignment="1">
      <alignment wrapText="1"/>
    </xf>
    <xf numFmtId="0" fontId="39" fillId="2" borderId="28" xfId="0" applyFont="1" applyFill="1" applyBorder="1" applyAlignment="1">
      <alignment horizontal="center" vertical="center" wrapText="1"/>
    </xf>
    <xf numFmtId="0" fontId="37" fillId="2" borderId="28" xfId="0" applyFont="1" applyFill="1" applyBorder="1" applyAlignment="1">
      <alignment horizontal="center" vertical="center" wrapText="1"/>
    </xf>
    <xf numFmtId="175" fontId="37" fillId="2" borderId="29" xfId="4" applyNumberFormat="1" applyFont="1" applyFill="1" applyBorder="1" applyAlignment="1">
      <alignment horizontal="center" vertical="center" wrapText="1"/>
    </xf>
    <xf numFmtId="0" fontId="37" fillId="2" borderId="30" xfId="0" applyFont="1" applyFill="1" applyBorder="1"/>
    <xf numFmtId="0" fontId="66" fillId="3" borderId="0" xfId="0" applyFont="1" applyFill="1" applyAlignment="1">
      <alignment horizontal="right"/>
    </xf>
    <xf numFmtId="175" fontId="30" fillId="3" borderId="0" xfId="4" applyNumberFormat="1" applyFont="1" applyFill="1" applyAlignment="1">
      <alignment vertical="center"/>
    </xf>
    <xf numFmtId="0" fontId="30" fillId="3" borderId="0" xfId="0" applyFont="1" applyFill="1" applyAlignment="1">
      <alignment vertical="center"/>
    </xf>
    <xf numFmtId="175" fontId="33" fillId="3" borderId="0" xfId="4" applyNumberFormat="1" applyFont="1" applyFill="1"/>
    <xf numFmtId="175" fontId="33" fillId="3" borderId="5" xfId="4" applyNumberFormat="1" applyFont="1" applyFill="1" applyBorder="1"/>
    <xf numFmtId="175" fontId="33" fillId="3" borderId="14" xfId="4" applyNumberFormat="1" applyFont="1" applyFill="1" applyBorder="1"/>
    <xf numFmtId="175" fontId="33" fillId="3" borderId="0" xfId="4" applyNumberFormat="1" applyFont="1" applyFill="1" applyBorder="1"/>
    <xf numFmtId="175" fontId="0" fillId="3" borderId="0" xfId="4" applyNumberFormat="1" applyFont="1" applyFill="1"/>
    <xf numFmtId="0" fontId="0" fillId="3" borderId="0" xfId="0" applyFill="1"/>
    <xf numFmtId="43" fontId="28" fillId="3" borderId="0" xfId="4" applyFont="1" applyFill="1" applyBorder="1" applyAlignment="1">
      <alignment horizontal="center" vertical="top" wrapText="1"/>
    </xf>
    <xf numFmtId="3" fontId="28" fillId="3" borderId="0" xfId="15" applyNumberFormat="1" applyFont="1" applyFill="1" applyBorder="1"/>
    <xf numFmtId="43" fontId="27" fillId="3" borderId="0" xfId="4" applyFont="1" applyFill="1" applyBorder="1" applyAlignment="1">
      <alignment horizontal="center" vertical="center" textRotation="90" wrapText="1"/>
    </xf>
    <xf numFmtId="43" fontId="63" fillId="3" borderId="0" xfId="4" applyFont="1" applyFill="1"/>
    <xf numFmtId="43" fontId="64" fillId="3" borderId="0" xfId="4" applyFont="1" applyFill="1"/>
    <xf numFmtId="176" fontId="64" fillId="3" borderId="0" xfId="4" applyNumberFormat="1" applyFont="1" applyFill="1"/>
    <xf numFmtId="0" fontId="17" fillId="3" borderId="0" xfId="15" applyNumberFormat="1" applyFont="1" applyFill="1" applyBorder="1" applyAlignment="1">
      <alignment horizontal="right"/>
    </xf>
    <xf numFmtId="0" fontId="18" fillId="3" borderId="0" xfId="260" applyFill="1"/>
    <xf numFmtId="0" fontId="18" fillId="3" borderId="0" xfId="260" applyFill="1" applyAlignment="1">
      <alignment vertical="center"/>
    </xf>
    <xf numFmtId="0" fontId="18" fillId="3" borderId="0" xfId="260" applyFill="1" applyAlignment="1">
      <alignment horizontal="center" vertical="center"/>
    </xf>
    <xf numFmtId="0" fontId="71" fillId="7" borderId="0" xfId="0" applyFont="1" applyFill="1"/>
    <xf numFmtId="179" fontId="71" fillId="3" borderId="0" xfId="4" applyNumberFormat="1" applyFont="1" applyFill="1" applyAlignment="1">
      <alignment horizontal="left"/>
    </xf>
    <xf numFmtId="0" fontId="71" fillId="3" borderId="0" xfId="0" applyNumberFormat="1" applyFont="1" applyFill="1" applyAlignment="1">
      <alignment horizontal="left"/>
    </xf>
    <xf numFmtId="1" fontId="71" fillId="3" borderId="0" xfId="11" applyNumberFormat="1" applyFont="1" applyFill="1" applyAlignment="1">
      <alignment horizontal="left" vertical="center"/>
    </xf>
    <xf numFmtId="3" fontId="34" fillId="3" borderId="0" xfId="11" applyNumberFormat="1" applyFont="1" applyFill="1" applyAlignment="1">
      <alignment vertical="center"/>
    </xf>
    <xf numFmtId="0" fontId="34" fillId="3" borderId="0" xfId="0" applyFont="1" applyFill="1"/>
    <xf numFmtId="43" fontId="34" fillId="3" borderId="0" xfId="4" applyFont="1" applyFill="1"/>
    <xf numFmtId="169" fontId="34" fillId="3" borderId="0" xfId="11" applyNumberFormat="1" applyFont="1" applyFill="1" applyAlignment="1">
      <alignment vertical="center"/>
    </xf>
    <xf numFmtId="3" fontId="71" fillId="3" borderId="0" xfId="11" applyNumberFormat="1" applyFont="1" applyFill="1" applyAlignment="1">
      <alignment vertical="center"/>
    </xf>
    <xf numFmtId="169" fontId="71" fillId="3" borderId="0" xfId="0" applyNumberFormat="1" applyFont="1" applyFill="1"/>
    <xf numFmtId="0" fontId="71" fillId="3" borderId="0" xfId="0" applyFont="1" applyFill="1"/>
    <xf numFmtId="175" fontId="71" fillId="3" borderId="0" xfId="4" applyNumberFormat="1" applyFont="1" applyFill="1"/>
    <xf numFmtId="169" fontId="71" fillId="3" borderId="0" xfId="11" applyNumberFormat="1" applyFont="1" applyFill="1" applyAlignment="1">
      <alignment vertical="center"/>
    </xf>
    <xf numFmtId="175" fontId="71" fillId="3" borderId="0" xfId="4" applyNumberFormat="1" applyFont="1" applyFill="1" applyAlignment="1">
      <alignment vertical="center"/>
    </xf>
    <xf numFmtId="175" fontId="71" fillId="3" borderId="0" xfId="4" applyNumberFormat="1" applyFont="1" applyFill="1" applyBorder="1" applyAlignment="1">
      <alignment vertical="center"/>
    </xf>
    <xf numFmtId="43" fontId="71" fillId="3" borderId="0" xfId="4" applyFont="1" applyFill="1" applyAlignment="1">
      <alignment vertical="center"/>
    </xf>
    <xf numFmtId="0" fontId="71" fillId="3" borderId="0" xfId="11" applyFont="1" applyFill="1" applyAlignment="1">
      <alignment vertical="center"/>
    </xf>
    <xf numFmtId="177" fontId="71" fillId="3" borderId="0" xfId="11" applyNumberFormat="1" applyFont="1" applyFill="1" applyAlignment="1">
      <alignment vertical="center"/>
    </xf>
    <xf numFmtId="43" fontId="71" fillId="3" borderId="0" xfId="4" applyFont="1" applyFill="1" applyBorder="1" applyAlignment="1">
      <alignment vertical="center"/>
    </xf>
    <xf numFmtId="0" fontId="71" fillId="3" borderId="0" xfId="11" applyFont="1" applyFill="1" applyBorder="1" applyAlignment="1">
      <alignment vertical="center"/>
    </xf>
    <xf numFmtId="1" fontId="71" fillId="3" borderId="0" xfId="11" applyNumberFormat="1" applyFont="1" applyFill="1" applyAlignment="1">
      <alignment vertical="center"/>
    </xf>
    <xf numFmtId="0" fontId="71" fillId="3" borderId="0" xfId="0" applyFont="1" applyFill="1" applyAlignment="1">
      <alignment vertical="center"/>
    </xf>
    <xf numFmtId="0" fontId="42" fillId="7" borderId="0" xfId="0" applyFont="1" applyFill="1" applyAlignment="1">
      <alignment horizontal="center" vertical="center"/>
    </xf>
    <xf numFmtId="43" fontId="28" fillId="3" borderId="0" xfId="4" applyFont="1" applyFill="1" applyBorder="1" applyAlignment="1">
      <alignment horizontal="center" vertical="center"/>
    </xf>
    <xf numFmtId="0" fontId="68" fillId="7" borderId="0" xfId="668" applyFill="1" applyAlignment="1">
      <alignment horizontal="center" vertical="center" wrapText="1"/>
    </xf>
    <xf numFmtId="0" fontId="68" fillId="7" borderId="0" xfId="668" applyFill="1" applyAlignment="1">
      <alignment vertical="center"/>
    </xf>
    <xf numFmtId="43" fontId="68" fillId="3" borderId="0" xfId="668" applyNumberFormat="1" applyFill="1" applyBorder="1" applyAlignment="1">
      <alignment horizontal="center" vertical="center"/>
    </xf>
    <xf numFmtId="43" fontId="68" fillId="3" borderId="0" xfId="668" applyNumberFormat="1" applyFill="1" applyAlignment="1">
      <alignment horizontal="center" vertical="center" wrapText="1"/>
    </xf>
    <xf numFmtId="43" fontId="68" fillId="3" borderId="0" xfId="668" applyNumberFormat="1" applyFill="1" applyBorder="1" applyAlignment="1">
      <alignment horizontal="left" vertical="center"/>
    </xf>
    <xf numFmtId="175" fontId="27" fillId="5" borderId="4" xfId="4" applyNumberFormat="1" applyFont="1" applyFill="1" applyBorder="1" applyAlignment="1">
      <alignment horizontal="center" vertical="center" wrapText="1"/>
    </xf>
    <xf numFmtId="43" fontId="68" fillId="3" borderId="0" xfId="668" applyNumberFormat="1" applyFill="1" applyAlignment="1">
      <alignment horizontal="center" vertical="center" wrapText="1"/>
    </xf>
    <xf numFmtId="0" fontId="27" fillId="5" borderId="14" xfId="0" applyFont="1" applyFill="1" applyBorder="1" applyAlignment="1">
      <alignment horizontal="center" vertical="center" wrapText="1"/>
    </xf>
    <xf numFmtId="43" fontId="68" fillId="3" borderId="0" xfId="668" applyNumberFormat="1" applyFill="1" applyAlignment="1">
      <alignment horizontal="left" vertical="center"/>
    </xf>
    <xf numFmtId="43" fontId="68" fillId="3" borderId="0" xfId="668" applyNumberFormat="1" applyFill="1" applyBorder="1" applyAlignment="1">
      <alignment horizontal="center" vertical="center" wrapText="1"/>
    </xf>
    <xf numFmtId="0" fontId="28" fillId="3" borderId="0" xfId="0" applyFont="1" applyFill="1" applyAlignment="1">
      <alignment vertical="center"/>
    </xf>
    <xf numFmtId="0" fontId="27" fillId="5" borderId="4" xfId="0" applyFont="1" applyFill="1" applyBorder="1" applyAlignment="1">
      <alignment horizontal="center" vertical="center" wrapText="1"/>
    </xf>
    <xf numFmtId="43" fontId="68" fillId="3" borderId="0" xfId="668" applyNumberFormat="1" applyFill="1" applyAlignment="1">
      <alignment horizontal="center" vertical="center" wrapText="1"/>
    </xf>
    <xf numFmtId="0" fontId="68" fillId="7" borderId="0" xfId="668" applyFill="1" applyAlignment="1">
      <alignment horizontal="center" vertical="center"/>
    </xf>
    <xf numFmtId="175" fontId="28" fillId="36" borderId="5" xfId="4" applyNumberFormat="1" applyFont="1" applyFill="1" applyBorder="1"/>
    <xf numFmtId="175" fontId="28" fillId="36" borderId="14" xfId="4" applyNumberFormat="1" applyFont="1" applyFill="1" applyBorder="1"/>
    <xf numFmtId="43" fontId="41" fillId="38" borderId="4" xfId="4" applyFont="1" applyFill="1" applyBorder="1" applyAlignment="1">
      <alignment horizontal="center"/>
    </xf>
    <xf numFmtId="43" fontId="27" fillId="38" borderId="12" xfId="4" applyFont="1" applyFill="1" applyBorder="1" applyAlignment="1">
      <alignment horizontal="center"/>
    </xf>
    <xf numFmtId="43" fontId="27" fillId="38" borderId="14" xfId="4" applyFont="1" applyFill="1" applyBorder="1" applyAlignment="1">
      <alignment horizontal="center"/>
    </xf>
    <xf numFmtId="175" fontId="27" fillId="39" borderId="14" xfId="4" applyNumberFormat="1" applyFont="1" applyFill="1" applyBorder="1" applyAlignment="1">
      <alignment horizontal="center" vertical="center" wrapText="1"/>
    </xf>
    <xf numFmtId="9" fontId="27" fillId="39" borderId="5" xfId="12" applyFont="1" applyFill="1" applyBorder="1" applyAlignment="1">
      <alignment horizontal="center"/>
    </xf>
    <xf numFmtId="9" fontId="27" fillId="39" borderId="14" xfId="12" applyFont="1" applyFill="1" applyBorder="1" applyAlignment="1">
      <alignment horizontal="center"/>
    </xf>
    <xf numFmtId="175" fontId="28" fillId="35" borderId="5" xfId="4" applyNumberFormat="1" applyFont="1" applyFill="1" applyBorder="1"/>
    <xf numFmtId="9" fontId="27" fillId="39" borderId="14" xfId="12" applyNumberFormat="1" applyFont="1" applyFill="1" applyBorder="1" applyAlignment="1">
      <alignment horizontal="center" vertical="center" wrapText="1"/>
    </xf>
    <xf numFmtId="0" fontId="27" fillId="39" borderId="14" xfId="0" applyFont="1" applyFill="1" applyBorder="1" applyAlignment="1">
      <alignment horizontal="center" vertical="center" wrapText="1"/>
    </xf>
    <xf numFmtId="9" fontId="27" fillId="39" borderId="14" xfId="12" applyNumberFormat="1" applyFont="1" applyFill="1" applyBorder="1" applyAlignment="1">
      <alignment horizontal="center" vertical="center"/>
    </xf>
    <xf numFmtId="43" fontId="27" fillId="39" borderId="14" xfId="4" applyFont="1" applyFill="1" applyBorder="1" applyAlignment="1">
      <alignment vertical="center" wrapText="1"/>
    </xf>
    <xf numFmtId="175" fontId="28" fillId="35" borderId="11" xfId="4" applyNumberFormat="1" applyFont="1" applyFill="1" applyBorder="1"/>
    <xf numFmtId="175" fontId="28" fillId="35" borderId="14" xfId="4" applyNumberFormat="1" applyFont="1" applyFill="1" applyBorder="1"/>
    <xf numFmtId="0" fontId="27" fillId="39" borderId="4" xfId="0" applyFont="1" applyFill="1" applyBorder="1" applyAlignment="1">
      <alignment horizontal="center" vertical="center" wrapText="1"/>
    </xf>
    <xf numFmtId="175" fontId="28" fillId="3" borderId="8" xfId="4" applyNumberFormat="1" applyFont="1" applyFill="1" applyBorder="1"/>
    <xf numFmtId="0" fontId="27" fillId="39" borderId="12" xfId="0" applyFont="1" applyFill="1" applyBorder="1" applyAlignment="1">
      <alignment horizontal="center" vertical="center" wrapText="1"/>
    </xf>
    <xf numFmtId="175" fontId="28" fillId="36" borderId="4" xfId="4" applyNumberFormat="1" applyFont="1" applyFill="1" applyBorder="1"/>
    <xf numFmtId="175" fontId="28" fillId="36" borderId="3" xfId="4" applyNumberFormat="1" applyFont="1" applyFill="1" applyBorder="1"/>
    <xf numFmtId="180" fontId="27" fillId="5" borderId="14" xfId="4" applyNumberFormat="1" applyFont="1" applyFill="1" applyBorder="1" applyAlignment="1">
      <alignment horizontal="center" vertical="center" wrapText="1"/>
    </xf>
    <xf numFmtId="10" fontId="27" fillId="5" borderId="14" xfId="12" applyNumberFormat="1" applyFont="1" applyFill="1" applyBorder="1" applyAlignment="1">
      <alignment horizontal="center" vertical="center"/>
    </xf>
    <xf numFmtId="175" fontId="28" fillId="0" borderId="11" xfId="4" applyNumberFormat="1" applyFont="1" applyFill="1" applyBorder="1"/>
    <xf numFmtId="10" fontId="27" fillId="5" borderId="4" xfId="12" applyNumberFormat="1" applyFont="1" applyFill="1" applyBorder="1" applyAlignment="1">
      <alignment horizontal="center" vertical="center"/>
    </xf>
    <xf numFmtId="175" fontId="27" fillId="3" borderId="0" xfId="4" applyNumberFormat="1" applyFont="1" applyFill="1" applyBorder="1" applyAlignment="1">
      <alignment horizontal="center" vertical="center" wrapText="1"/>
    </xf>
    <xf numFmtId="10" fontId="27" fillId="3" borderId="0" xfId="12" applyNumberFormat="1" applyFont="1" applyFill="1" applyBorder="1" applyAlignment="1">
      <alignment horizontal="center" vertical="center"/>
    </xf>
    <xf numFmtId="0" fontId="27" fillId="40" borderId="4" xfId="15" applyFont="1" applyFill="1" applyBorder="1" applyAlignment="1">
      <alignment horizontal="center" vertical="center" wrapText="1"/>
    </xf>
    <xf numFmtId="43" fontId="27" fillId="40" borderId="14" xfId="4" quotePrefix="1" applyFont="1" applyFill="1" applyBorder="1" applyAlignment="1">
      <alignment horizontal="center" vertical="center" wrapText="1"/>
    </xf>
    <xf numFmtId="175" fontId="28" fillId="41" borderId="4" xfId="4" applyNumberFormat="1" applyFont="1" applyFill="1" applyBorder="1"/>
    <xf numFmtId="175" fontId="28" fillId="41" borderId="5" xfId="4" applyNumberFormat="1" applyFont="1" applyFill="1" applyBorder="1"/>
    <xf numFmtId="175" fontId="28" fillId="41" borderId="3" xfId="4" applyNumberFormat="1" applyFont="1" applyFill="1" applyBorder="1"/>
    <xf numFmtId="0" fontId="28" fillId="36" borderId="17" xfId="0" applyFont="1" applyFill="1" applyBorder="1"/>
    <xf numFmtId="0" fontId="28" fillId="36" borderId="7" xfId="0" applyFont="1" applyFill="1" applyBorder="1"/>
    <xf numFmtId="43" fontId="28" fillId="36" borderId="14" xfId="4" applyNumberFormat="1" applyFont="1" applyFill="1" applyBorder="1"/>
    <xf numFmtId="3" fontId="28" fillId="3" borderId="8" xfId="12" applyNumberFormat="1" applyFont="1" applyFill="1" applyBorder="1"/>
    <xf numFmtId="3" fontId="28" fillId="3" borderId="9" xfId="12" applyNumberFormat="1" applyFont="1" applyFill="1" applyBorder="1"/>
    <xf numFmtId="3" fontId="28" fillId="36" borderId="17" xfId="12" applyNumberFormat="1" applyFont="1" applyFill="1" applyBorder="1"/>
    <xf numFmtId="0" fontId="27" fillId="37" borderId="12" xfId="0" applyFont="1" applyFill="1" applyBorder="1" applyAlignment="1">
      <alignment horizontal="center" vertical="center" wrapText="1"/>
    </xf>
    <xf numFmtId="180" fontId="28" fillId="3" borderId="14" xfId="4" applyNumberFormat="1" applyFont="1" applyFill="1" applyBorder="1" applyAlignment="1">
      <alignment horizontal="center"/>
    </xf>
    <xf numFmtId="0" fontId="28" fillId="3" borderId="8" xfId="15" applyFont="1" applyFill="1" applyBorder="1"/>
    <xf numFmtId="0" fontId="28" fillId="3" borderId="9" xfId="15" applyFont="1" applyFill="1" applyBorder="1"/>
    <xf numFmtId="3" fontId="17" fillId="3" borderId="11" xfId="15" applyNumberFormat="1" applyFont="1" applyFill="1" applyBorder="1" applyAlignment="1">
      <alignment horizontal="right"/>
    </xf>
    <xf numFmtId="1" fontId="73" fillId="3" borderId="0" xfId="11" applyNumberFormat="1" applyFont="1" applyFill="1" applyAlignment="1">
      <alignment horizontal="left" vertical="center"/>
    </xf>
    <xf numFmtId="0" fontId="73" fillId="3" borderId="0" xfId="0" applyFont="1" applyFill="1" applyAlignment="1">
      <alignment horizontal="left" vertical="center"/>
    </xf>
    <xf numFmtId="0" fontId="73" fillId="3" borderId="0" xfId="0" applyNumberFormat="1" applyFont="1" applyFill="1" applyAlignment="1">
      <alignment horizontal="left"/>
    </xf>
    <xf numFmtId="0" fontId="28" fillId="3" borderId="0" xfId="0" applyNumberFormat="1" applyFont="1" applyFill="1" applyAlignment="1">
      <alignment horizontal="center" vertical="center"/>
    </xf>
    <xf numFmtId="179" fontId="73" fillId="3" borderId="0" xfId="4" applyNumberFormat="1" applyFont="1" applyFill="1" applyAlignment="1">
      <alignment horizontal="left"/>
    </xf>
    <xf numFmtId="0" fontId="27" fillId="5" borderId="4" xfId="0" applyFont="1" applyFill="1" applyBorder="1" applyAlignment="1">
      <alignment horizontal="center" vertical="center" wrapText="1"/>
    </xf>
    <xf numFmtId="0" fontId="28" fillId="7" borderId="0" xfId="0" applyFont="1" applyFill="1" applyBorder="1" applyAlignment="1">
      <alignment vertical="center" wrapText="1"/>
    </xf>
    <xf numFmtId="2" fontId="28" fillId="6" borderId="4" xfId="0" applyNumberFormat="1" applyFont="1" applyFill="1" applyBorder="1" applyAlignment="1">
      <alignment vertical="center"/>
    </xf>
    <xf numFmtId="0" fontId="28" fillId="7" borderId="0" xfId="0" applyFont="1" applyFill="1" applyBorder="1" applyAlignment="1">
      <alignment vertical="center"/>
    </xf>
    <xf numFmtId="0" fontId="28" fillId="7" borderId="0" xfId="0" applyFont="1" applyFill="1" applyAlignment="1">
      <alignment vertical="center"/>
    </xf>
    <xf numFmtId="0" fontId="28" fillId="6" borderId="33" xfId="0" applyFont="1" applyFill="1" applyBorder="1" applyAlignment="1">
      <alignment horizontal="center"/>
    </xf>
    <xf numFmtId="0" fontId="28" fillId="6" borderId="14" xfId="0" applyFont="1" applyFill="1" applyBorder="1" applyAlignment="1">
      <alignment horizontal="center"/>
    </xf>
    <xf numFmtId="14" fontId="27" fillId="40" borderId="3" xfId="15" applyNumberFormat="1" applyFont="1" applyFill="1" applyBorder="1" applyAlignment="1">
      <alignment horizontal="center" vertical="center" wrapText="1"/>
    </xf>
    <xf numFmtId="0" fontId="67" fillId="7" borderId="0" xfId="0" applyFont="1" applyFill="1" applyAlignment="1">
      <alignment horizontal="right"/>
    </xf>
    <xf numFmtId="171" fontId="28" fillId="7" borderId="0" xfId="0" applyNumberFormat="1" applyFont="1" applyFill="1" applyBorder="1"/>
    <xf numFmtId="182" fontId="28" fillId="6" borderId="14" xfId="4" applyNumberFormat="1" applyFont="1" applyFill="1" applyBorder="1" applyAlignment="1">
      <alignment horizontal="center" vertical="center" wrapText="1"/>
    </xf>
    <xf numFmtId="168" fontId="28" fillId="6" borderId="14" xfId="12" applyNumberFormat="1" applyFont="1" applyFill="1" applyBorder="1"/>
    <xf numFmtId="164" fontId="28" fillId="7" borderId="0" xfId="0" applyNumberFormat="1" applyFont="1" applyFill="1" applyBorder="1"/>
    <xf numFmtId="0" fontId="67" fillId="3" borderId="0" xfId="0" applyNumberFormat="1" applyFont="1" applyFill="1" applyBorder="1" applyAlignment="1">
      <alignment wrapText="1"/>
    </xf>
    <xf numFmtId="175" fontId="2" fillId="36" borderId="14" xfId="4" applyNumberFormat="1" applyFont="1" applyFill="1" applyBorder="1" applyAlignment="1">
      <alignment horizontal="center" vertical="center" wrapText="1"/>
    </xf>
    <xf numFmtId="43" fontId="28" fillId="36" borderId="5" xfId="4" applyNumberFormat="1" applyFont="1" applyFill="1" applyBorder="1"/>
    <xf numFmtId="49" fontId="67" fillId="3" borderId="0" xfId="4" applyNumberFormat="1" applyFont="1" applyFill="1" applyBorder="1" applyAlignment="1">
      <alignment vertical="center" wrapText="1"/>
    </xf>
    <xf numFmtId="0" fontId="29" fillId="3" borderId="0" xfId="11" applyFont="1" applyFill="1" applyAlignment="1"/>
    <xf numFmtId="0" fontId="34" fillId="3" borderId="0" xfId="0" applyFont="1" applyFill="1" applyBorder="1"/>
    <xf numFmtId="0" fontId="28" fillId="3" borderId="0" xfId="11" applyFont="1" applyFill="1" applyBorder="1" applyAlignment="1">
      <alignment horizontal="right" vertical="center"/>
    </xf>
    <xf numFmtId="0" fontId="28" fillId="3" borderId="0" xfId="0" applyFont="1" applyFill="1" applyAlignment="1">
      <alignment horizontal="right"/>
    </xf>
    <xf numFmtId="3" fontId="28" fillId="3" borderId="0" xfId="0" applyNumberFormat="1" applyFont="1" applyFill="1" applyBorder="1" applyAlignment="1">
      <alignment horizontal="right"/>
    </xf>
    <xf numFmtId="3" fontId="28" fillId="3" borderId="7" xfId="0" applyNumberFormat="1" applyFont="1" applyFill="1" applyBorder="1" applyAlignment="1">
      <alignment horizontal="right"/>
    </xf>
    <xf numFmtId="0" fontId="71" fillId="3" borderId="0" xfId="0" applyFont="1" applyFill="1" applyAlignment="1"/>
    <xf numFmtId="10" fontId="28" fillId="3" borderId="7" xfId="0" applyNumberFormat="1" applyFont="1" applyFill="1" applyBorder="1"/>
    <xf numFmtId="175" fontId="28" fillId="36" borderId="4" xfId="4" quotePrefix="1" applyNumberFormat="1" applyFont="1" applyFill="1" applyBorder="1"/>
    <xf numFmtId="175" fontId="28" fillId="36" borderId="5" xfId="4" quotePrefix="1" applyNumberFormat="1" applyFont="1" applyFill="1" applyBorder="1"/>
    <xf numFmtId="0" fontId="67" fillId="7" borderId="0" xfId="0" applyFont="1" applyFill="1" applyBorder="1" applyAlignment="1">
      <alignment vertical="center" wrapText="1"/>
    </xf>
    <xf numFmtId="0" fontId="67" fillId="3" borderId="0" xfId="0" applyFont="1" applyFill="1" applyBorder="1" applyAlignment="1">
      <alignment vertical="center" wrapText="1"/>
    </xf>
    <xf numFmtId="0" fontId="67" fillId="3" borderId="0" xfId="11" applyFont="1" applyFill="1" applyBorder="1" applyAlignment="1">
      <alignment vertical="center" wrapText="1"/>
    </xf>
    <xf numFmtId="0" fontId="67" fillId="3" borderId="0" xfId="0" applyFont="1" applyFill="1" applyBorder="1" applyAlignment="1"/>
    <xf numFmtId="175" fontId="28" fillId="36" borderId="11" xfId="4" applyNumberFormat="1" applyFont="1" applyFill="1" applyBorder="1"/>
    <xf numFmtId="2" fontId="27" fillId="5" borderId="4" xfId="0" applyNumberFormat="1" applyFont="1" applyFill="1" applyBorder="1" applyAlignment="1">
      <alignment horizontal="center" vertical="top" wrapText="1"/>
    </xf>
    <xf numFmtId="175" fontId="28" fillId="33" borderId="14" xfId="4" applyNumberFormat="1" applyFont="1" applyFill="1" applyBorder="1"/>
    <xf numFmtId="0" fontId="75" fillId="7" borderId="0" xfId="0" applyFont="1" applyFill="1"/>
    <xf numFmtId="0" fontId="75" fillId="7" borderId="0" xfId="0" applyFont="1" applyFill="1" applyAlignment="1">
      <alignment horizontal="center" vertical="center"/>
    </xf>
    <xf numFmtId="0" fontId="33" fillId="3" borderId="4" xfId="0" applyFont="1" applyFill="1" applyBorder="1" applyAlignment="1">
      <alignment horizontal="left"/>
    </xf>
    <xf numFmtId="0" fontId="33" fillId="3" borderId="8" xfId="0" applyFont="1" applyFill="1" applyBorder="1" applyAlignment="1">
      <alignment horizontal="center"/>
    </xf>
    <xf numFmtId="0" fontId="33" fillId="3" borderId="9" xfId="0" applyFont="1" applyFill="1" applyBorder="1" applyAlignment="1">
      <alignment horizontal="center"/>
    </xf>
    <xf numFmtId="0" fontId="33" fillId="3" borderId="10" xfId="0" applyFont="1" applyFill="1" applyBorder="1" applyAlignment="1">
      <alignment horizontal="center"/>
    </xf>
    <xf numFmtId="43" fontId="33" fillId="3" borderId="0" xfId="4" applyFont="1" applyFill="1" applyBorder="1"/>
    <xf numFmtId="166" fontId="28" fillId="3" borderId="10" xfId="0" applyNumberFormat="1" applyFont="1" applyFill="1" applyBorder="1" applyAlignment="1">
      <alignment horizontal="center"/>
    </xf>
    <xf numFmtId="0" fontId="33" fillId="3" borderId="5" xfId="0" applyFont="1" applyFill="1" applyBorder="1" applyAlignment="1">
      <alignment horizontal="left"/>
    </xf>
    <xf numFmtId="0" fontId="33" fillId="3" borderId="3" xfId="0" applyFont="1" applyFill="1" applyBorder="1" applyAlignment="1">
      <alignment horizontal="left"/>
    </xf>
    <xf numFmtId="180" fontId="33" fillId="3" borderId="4" xfId="4" applyNumberFormat="1" applyFont="1" applyFill="1" applyBorder="1"/>
    <xf numFmtId="180" fontId="33" fillId="3" borderId="5" xfId="4" applyNumberFormat="1" applyFont="1" applyFill="1" applyBorder="1"/>
    <xf numFmtId="180" fontId="33" fillId="3" borderId="3" xfId="4" applyNumberFormat="1" applyFont="1" applyFill="1" applyBorder="1"/>
    <xf numFmtId="43" fontId="68" fillId="3" borderId="0" xfId="668" applyNumberFormat="1" applyFill="1" applyAlignment="1">
      <alignment horizontal="left" vertical="center"/>
    </xf>
    <xf numFmtId="43" fontId="68" fillId="3" borderId="0" xfId="668" applyNumberFormat="1" applyFill="1" applyBorder="1" applyAlignment="1">
      <alignment horizontal="right" vertical="center"/>
    </xf>
    <xf numFmtId="0" fontId="27" fillId="38" borderId="4" xfId="0" applyFont="1" applyFill="1" applyBorder="1" applyAlignment="1">
      <alignment horizontal="center" vertical="center" wrapText="1"/>
    </xf>
    <xf numFmtId="175" fontId="28" fillId="41" borderId="3" xfId="4" applyNumberFormat="1" applyFont="1" applyFill="1" applyBorder="1" applyAlignment="1">
      <alignment horizontal="center"/>
    </xf>
    <xf numFmtId="43" fontId="33" fillId="5" borderId="14" xfId="4" applyFont="1" applyFill="1" applyBorder="1"/>
    <xf numFmtId="172" fontId="28" fillId="5" borderId="14" xfId="12" applyNumberFormat="1" applyFont="1" applyFill="1" applyBorder="1"/>
    <xf numFmtId="3" fontId="28" fillId="3" borderId="10" xfId="12" applyNumberFormat="1" applyFont="1" applyFill="1" applyBorder="1"/>
    <xf numFmtId="43" fontId="28" fillId="3" borderId="12" xfId="4" applyFont="1" applyFill="1" applyBorder="1"/>
    <xf numFmtId="43" fontId="28" fillId="3" borderId="11" xfId="4" applyFont="1" applyFill="1" applyBorder="1"/>
    <xf numFmtId="43" fontId="28" fillId="3" borderId="13" xfId="4" applyFont="1" applyFill="1" applyBorder="1"/>
    <xf numFmtId="43" fontId="28" fillId="3" borderId="7" xfId="4" applyFont="1" applyFill="1" applyBorder="1"/>
    <xf numFmtId="43" fontId="75" fillId="7" borderId="0" xfId="4" applyFont="1" applyFill="1"/>
    <xf numFmtId="175" fontId="28" fillId="36" borderId="3" xfId="4" quotePrefix="1" applyNumberFormat="1" applyFont="1" applyFill="1" applyBorder="1"/>
    <xf numFmtId="43" fontId="28" fillId="3" borderId="0" xfId="4" applyNumberFormat="1" applyFont="1" applyFill="1" applyBorder="1"/>
    <xf numFmtId="3" fontId="28" fillId="3" borderId="17" xfId="12" applyNumberFormat="1" applyFont="1" applyFill="1" applyBorder="1"/>
    <xf numFmtId="177" fontId="28" fillId="3" borderId="7" xfId="4" applyNumberFormat="1" applyFont="1" applyFill="1" applyBorder="1"/>
    <xf numFmtId="43" fontId="28" fillId="36" borderId="4" xfId="4" applyNumberFormat="1" applyFont="1" applyFill="1" applyBorder="1"/>
    <xf numFmtId="0" fontId="75" fillId="7" borderId="0" xfId="0" applyFont="1" applyFill="1" applyBorder="1" applyAlignment="1">
      <alignment horizontal="left" indent="8"/>
    </xf>
    <xf numFmtId="0" fontId="69" fillId="3" borderId="0" xfId="260" applyFont="1" applyFill="1" applyAlignment="1">
      <alignment horizontal="left" vertical="center" indent="1"/>
    </xf>
    <xf numFmtId="0" fontId="68" fillId="7" borderId="8" xfId="668" applyFill="1" applyBorder="1" applyAlignment="1">
      <alignment horizontal="left" vertical="center" indent="1"/>
    </xf>
    <xf numFmtId="0" fontId="68" fillId="7" borderId="9" xfId="668" applyFill="1" applyBorder="1" applyAlignment="1">
      <alignment horizontal="left" vertical="center" indent="1"/>
    </xf>
    <xf numFmtId="0" fontId="68" fillId="7" borderId="10" xfId="668" applyFill="1" applyBorder="1" applyAlignment="1">
      <alignment horizontal="left" vertical="center" indent="1"/>
    </xf>
    <xf numFmtId="0" fontId="68" fillId="35" borderId="10" xfId="668" applyFill="1" applyBorder="1" applyAlignment="1">
      <alignment horizontal="left" vertical="center" indent="1"/>
    </xf>
    <xf numFmtId="0" fontId="68" fillId="32" borderId="17" xfId="668" applyFill="1" applyBorder="1" applyAlignment="1">
      <alignment horizontal="left" vertical="center" indent="1"/>
    </xf>
    <xf numFmtId="43" fontId="68" fillId="3" borderId="0" xfId="668" applyNumberFormat="1" applyFill="1" applyAlignment="1">
      <alignment vertical="center" wrapText="1"/>
    </xf>
    <xf numFmtId="175" fontId="37" fillId="31" borderId="32" xfId="4" applyNumberFormat="1" applyFont="1" applyFill="1" applyBorder="1" applyAlignment="1">
      <alignment horizontal="right"/>
    </xf>
    <xf numFmtId="175" fontId="37" fillId="31" borderId="16" xfId="4" applyNumberFormat="1" applyFont="1" applyFill="1" applyBorder="1" applyAlignment="1">
      <alignment horizontal="right"/>
    </xf>
    <xf numFmtId="175" fontId="37" fillId="31" borderId="31" xfId="0" applyNumberFormat="1" applyFont="1" applyFill="1" applyBorder="1" applyAlignment="1">
      <alignment horizontal="right"/>
    </xf>
    <xf numFmtId="175" fontId="37" fillId="31" borderId="30" xfId="0" applyNumberFormat="1" applyFont="1" applyFill="1" applyBorder="1" applyAlignment="1">
      <alignment horizontal="right"/>
    </xf>
    <xf numFmtId="175" fontId="37" fillId="31" borderId="30" xfId="4" applyNumberFormat="1" applyFont="1" applyFill="1" applyBorder="1" applyAlignment="1">
      <alignment horizontal="right"/>
    </xf>
    <xf numFmtId="175" fontId="37" fillId="31" borderId="0" xfId="4" applyNumberFormat="1" applyFont="1" applyFill="1" applyAlignment="1">
      <alignment horizontal="right"/>
    </xf>
    <xf numFmtId="175" fontId="28" fillId="3" borderId="14" xfId="4" applyNumberFormat="1" applyFont="1" applyFill="1" applyBorder="1" applyProtection="1"/>
    <xf numFmtId="43" fontId="28" fillId="3" borderId="14" xfId="4" applyNumberFormat="1" applyFont="1" applyFill="1" applyBorder="1" applyProtection="1"/>
    <xf numFmtId="43" fontId="28" fillId="36" borderId="5" xfId="4" applyNumberFormat="1" applyFont="1" applyFill="1" applyBorder="1" applyProtection="1"/>
    <xf numFmtId="43" fontId="28" fillId="36" borderId="14" xfId="4" applyNumberFormat="1" applyFont="1" applyFill="1" applyBorder="1" applyProtection="1"/>
    <xf numFmtId="175" fontId="28" fillId="36" borderId="5" xfId="4" applyNumberFormat="1" applyFont="1" applyFill="1" applyBorder="1" applyProtection="1"/>
    <xf numFmtId="175" fontId="28" fillId="36" borderId="14" xfId="4" applyNumberFormat="1" applyFont="1" applyFill="1" applyBorder="1" applyProtection="1"/>
    <xf numFmtId="43" fontId="28" fillId="42" borderId="9" xfId="4" applyFont="1" applyFill="1" applyBorder="1"/>
    <xf numFmtId="3" fontId="27" fillId="38" borderId="4" xfId="0" applyNumberFormat="1" applyFont="1" applyFill="1" applyBorder="1" applyAlignment="1">
      <alignment horizontal="center" vertical="center" wrapText="1"/>
    </xf>
    <xf numFmtId="175" fontId="27" fillId="38" borderId="4" xfId="4" applyNumberFormat="1" applyFont="1" applyFill="1" applyBorder="1" applyAlignment="1">
      <alignment horizontal="center" vertical="center" wrapText="1"/>
    </xf>
    <xf numFmtId="43" fontId="27" fillId="38" borderId="4" xfId="4" applyFont="1" applyFill="1" applyBorder="1" applyAlignment="1">
      <alignment horizontal="center" vertical="center" wrapText="1"/>
    </xf>
    <xf numFmtId="3" fontId="27" fillId="38" borderId="14" xfId="0" applyNumberFormat="1" applyFont="1" applyFill="1" applyBorder="1" applyAlignment="1">
      <alignment horizontal="center"/>
    </xf>
    <xf numFmtId="166" fontId="27" fillId="38" borderId="14" xfId="0" applyNumberFormat="1" applyFont="1" applyFill="1" applyBorder="1" applyAlignment="1">
      <alignment horizontal="center"/>
    </xf>
    <xf numFmtId="175" fontId="27" fillId="38" borderId="14" xfId="4" applyNumberFormat="1" applyFont="1" applyFill="1" applyBorder="1" applyAlignment="1">
      <alignment horizontal="center"/>
    </xf>
    <xf numFmtId="0" fontId="27" fillId="38" borderId="14" xfId="0" applyNumberFormat="1" applyFont="1" applyFill="1" applyBorder="1" applyAlignment="1">
      <alignment horizontal="center"/>
    </xf>
    <xf numFmtId="0" fontId="27" fillId="8" borderId="4" xfId="0" applyFont="1" applyFill="1" applyBorder="1" applyAlignment="1">
      <alignment horizontal="center" vertical="center" wrapText="1"/>
    </xf>
    <xf numFmtId="0" fontId="27" fillId="8" borderId="14" xfId="0" applyFont="1" applyFill="1" applyBorder="1" applyAlignment="1">
      <alignment horizontal="center" vertical="center" wrapText="1"/>
    </xf>
    <xf numFmtId="175" fontId="28" fillId="42" borderId="5" xfId="4" applyNumberFormat="1" applyFont="1" applyFill="1" applyBorder="1"/>
    <xf numFmtId="175" fontId="28" fillId="42" borderId="14" xfId="4" applyNumberFormat="1" applyFont="1" applyFill="1" applyBorder="1"/>
    <xf numFmtId="0" fontId="70" fillId="3" borderId="0" xfId="260" applyFont="1" applyFill="1" applyAlignment="1">
      <alignment horizontal="left" vertical="center" indent="1"/>
    </xf>
    <xf numFmtId="43" fontId="27" fillId="38" borderId="4" xfId="4" applyFont="1" applyFill="1" applyBorder="1" applyAlignment="1">
      <alignment horizontal="center" vertical="center" wrapText="1"/>
    </xf>
    <xf numFmtId="0" fontId="41" fillId="38" borderId="4" xfId="4" quotePrefix="1" applyNumberFormat="1" applyFont="1" applyFill="1" applyBorder="1" applyAlignment="1">
      <alignment horizontal="center"/>
    </xf>
    <xf numFmtId="14" fontId="41" fillId="38" borderId="4" xfId="0" applyNumberFormat="1" applyFont="1" applyFill="1" applyBorder="1" applyAlignment="1">
      <alignment horizontal="center"/>
    </xf>
    <xf numFmtId="43" fontId="41" fillId="38" borderId="4" xfId="4" applyFont="1" applyFill="1" applyBorder="1" applyAlignment="1">
      <alignment horizontal="center" vertical="center" wrapText="1"/>
    </xf>
    <xf numFmtId="3" fontId="41" fillId="38" borderId="4" xfId="0" applyNumberFormat="1" applyFont="1" applyFill="1" applyBorder="1" applyAlignment="1">
      <alignment horizontal="center" vertical="center" wrapText="1"/>
    </xf>
    <xf numFmtId="175" fontId="27" fillId="38" borderId="4" xfId="4" applyNumberFormat="1" applyFont="1" applyFill="1" applyBorder="1" applyAlignment="1">
      <alignment horizontal="center" vertical="center" wrapText="1"/>
    </xf>
    <xf numFmtId="175" fontId="28" fillId="3" borderId="6" xfId="4" applyNumberFormat="1" applyFont="1" applyFill="1" applyBorder="1" applyAlignment="1">
      <alignment vertical="center"/>
    </xf>
    <xf numFmtId="43" fontId="28" fillId="3" borderId="14" xfId="4" applyNumberFormat="1" applyFont="1" applyFill="1" applyBorder="1" applyAlignment="1">
      <alignment vertical="center"/>
    </xf>
    <xf numFmtId="175" fontId="28" fillId="3" borderId="7" xfId="4" applyNumberFormat="1" applyFont="1" applyFill="1" applyBorder="1" applyAlignment="1">
      <alignment vertical="center"/>
    </xf>
    <xf numFmtId="0" fontId="29" fillId="3" borderId="0" xfId="11" applyFont="1" applyFill="1" applyAlignment="1">
      <alignment vertical="center"/>
    </xf>
    <xf numFmtId="175" fontId="28" fillId="3" borderId="8" xfId="4" applyNumberFormat="1" applyFont="1" applyFill="1" applyBorder="1" applyAlignment="1">
      <alignment vertical="center"/>
    </xf>
    <xf numFmtId="43" fontId="28" fillId="3" borderId="4" xfId="4" applyNumberFormat="1" applyFont="1" applyFill="1" applyBorder="1" applyAlignment="1">
      <alignment vertical="center"/>
    </xf>
    <xf numFmtId="175" fontId="28" fillId="3" borderId="0" xfId="0" applyNumberFormat="1" applyFont="1" applyFill="1" applyAlignment="1">
      <alignment vertical="center"/>
    </xf>
    <xf numFmtId="175" fontId="28" fillId="3" borderId="9" xfId="4" applyNumberFormat="1" applyFont="1" applyFill="1" applyBorder="1" applyAlignment="1">
      <alignment vertical="center"/>
    </xf>
    <xf numFmtId="43" fontId="28" fillId="3" borderId="5" xfId="4" applyNumberFormat="1" applyFont="1" applyFill="1" applyBorder="1" applyAlignment="1">
      <alignment vertical="center"/>
    </xf>
    <xf numFmtId="181" fontId="27" fillId="39" borderId="14" xfId="4" applyNumberFormat="1" applyFont="1" applyFill="1" applyBorder="1" applyAlignment="1">
      <alignment horizontal="center" vertical="center"/>
    </xf>
    <xf numFmtId="0" fontId="28" fillId="36" borderId="14" xfId="0" applyFont="1" applyFill="1" applyBorder="1" applyAlignment="1">
      <alignment horizontal="center" vertical="center" wrapText="1"/>
    </xf>
    <xf numFmtId="175" fontId="33" fillId="33" borderId="3" xfId="0" applyNumberFormat="1" applyFont="1" applyFill="1" applyBorder="1"/>
    <xf numFmtId="175" fontId="33" fillId="33" borderId="14" xfId="0" applyNumberFormat="1" applyFont="1" applyFill="1" applyBorder="1"/>
    <xf numFmtId="175" fontId="28" fillId="33" borderId="7" xfId="0" applyNumberFormat="1" applyFont="1" applyFill="1" applyBorder="1"/>
    <xf numFmtId="175" fontId="28" fillId="5" borderId="3" xfId="0" applyNumberFormat="1" applyFont="1" applyFill="1" applyBorder="1"/>
    <xf numFmtId="175" fontId="28" fillId="42" borderId="4" xfId="4" applyNumberFormat="1" applyFont="1" applyFill="1" applyBorder="1"/>
    <xf numFmtId="175" fontId="28" fillId="42" borderId="3" xfId="4" applyNumberFormat="1" applyFont="1" applyFill="1" applyBorder="1"/>
    <xf numFmtId="167" fontId="27" fillId="39" borderId="14" xfId="12" applyNumberFormat="1" applyFont="1" applyFill="1" applyBorder="1" applyAlignment="1">
      <alignment horizontal="center" vertical="center" wrapText="1"/>
    </xf>
    <xf numFmtId="172" fontId="33" fillId="35" borderId="11" xfId="0" applyNumberFormat="1" applyFont="1" applyFill="1" applyBorder="1" applyAlignment="1">
      <alignment horizontal="center"/>
    </xf>
    <xf numFmtId="172" fontId="33" fillId="35" borderId="5" xfId="0" applyNumberFormat="1" applyFont="1" applyFill="1" applyBorder="1" applyAlignment="1">
      <alignment horizontal="center"/>
    </xf>
    <xf numFmtId="172" fontId="33" fillId="35" borderId="14" xfId="0" applyNumberFormat="1" applyFont="1" applyFill="1" applyBorder="1" applyAlignment="1">
      <alignment horizontal="center"/>
    </xf>
    <xf numFmtId="175" fontId="27" fillId="5" borderId="14" xfId="4" applyNumberFormat="1" applyFont="1" applyFill="1" applyBorder="1" applyAlignment="1">
      <alignment horizontal="center" vertical="center" wrapText="1"/>
    </xf>
    <xf numFmtId="167" fontId="27" fillId="5" borderId="14" xfId="12" applyNumberFormat="1" applyFont="1" applyFill="1" applyBorder="1" applyAlignment="1">
      <alignment horizontal="center" vertical="center" wrapText="1"/>
    </xf>
    <xf numFmtId="172" fontId="33" fillId="36" borderId="5" xfId="0" applyNumberFormat="1" applyFont="1" applyFill="1" applyBorder="1" applyAlignment="1">
      <alignment horizontal="center"/>
    </xf>
    <xf numFmtId="172" fontId="33" fillId="36" borderId="14" xfId="0" applyNumberFormat="1" applyFont="1" applyFill="1" applyBorder="1" applyAlignment="1">
      <alignment horizontal="center"/>
    </xf>
    <xf numFmtId="175" fontId="27" fillId="40" borderId="14" xfId="4" applyNumberFormat="1" applyFont="1" applyFill="1" applyBorder="1" applyAlignment="1">
      <alignment horizontal="center" vertical="center" wrapText="1"/>
    </xf>
    <xf numFmtId="167" fontId="27" fillId="40" borderId="14" xfId="12" applyNumberFormat="1" applyFont="1" applyFill="1" applyBorder="1" applyAlignment="1">
      <alignment horizontal="center" vertical="center" wrapText="1"/>
    </xf>
    <xf numFmtId="172" fontId="33" fillId="41" borderId="5" xfId="0" applyNumberFormat="1" applyFont="1" applyFill="1" applyBorder="1" applyAlignment="1">
      <alignment horizontal="center"/>
    </xf>
    <xf numFmtId="172" fontId="33" fillId="41" borderId="14" xfId="0" applyNumberFormat="1" applyFont="1" applyFill="1" applyBorder="1" applyAlignment="1">
      <alignment horizontal="center"/>
    </xf>
    <xf numFmtId="0" fontId="68" fillId="43" borderId="8" xfId="668" applyFill="1" applyBorder="1" applyAlignment="1">
      <alignment horizontal="left" vertical="center" indent="1"/>
    </xf>
    <xf numFmtId="0" fontId="68" fillId="43" borderId="9" xfId="668" applyFill="1" applyBorder="1" applyAlignment="1">
      <alignment horizontal="left" vertical="center" indent="1"/>
    </xf>
    <xf numFmtId="175" fontId="28" fillId="3" borderId="0" xfId="4" applyNumberFormat="1" applyFont="1" applyFill="1" applyBorder="1" applyAlignment="1">
      <alignment horizontal="left"/>
    </xf>
    <xf numFmtId="175" fontId="28" fillId="42" borderId="5" xfId="4" applyNumberFormat="1" applyFont="1" applyFill="1" applyBorder="1" applyProtection="1"/>
    <xf numFmtId="175" fontId="28" fillId="42" borderId="14" xfId="4" applyNumberFormat="1" applyFont="1" applyFill="1" applyBorder="1" applyProtection="1"/>
    <xf numFmtId="0" fontId="27" fillId="5" borderId="4" xfId="0" applyFont="1" applyFill="1" applyBorder="1" applyAlignment="1">
      <alignment horizontal="center" vertical="center" wrapText="1"/>
    </xf>
    <xf numFmtId="0" fontId="27" fillId="5" borderId="14" xfId="0" applyFont="1" applyFill="1" applyBorder="1" applyAlignment="1">
      <alignment horizontal="center" vertical="center" wrapText="1"/>
    </xf>
    <xf numFmtId="43" fontId="27" fillId="5" borderId="4" xfId="4" applyFont="1" applyFill="1" applyBorder="1" applyAlignment="1">
      <alignment horizontal="center" vertical="center" wrapText="1"/>
    </xf>
    <xf numFmtId="43" fontId="68" fillId="3" borderId="0" xfId="668" applyNumberFormat="1" applyFill="1" applyAlignment="1">
      <alignment horizontal="left" vertical="center"/>
    </xf>
    <xf numFmtId="175" fontId="28" fillId="44" borderId="5" xfId="4" applyNumberFormat="1" applyFont="1" applyFill="1" applyBorder="1"/>
    <xf numFmtId="175" fontId="28" fillId="44" borderId="0" xfId="4" applyNumberFormat="1" applyFont="1" applyFill="1" applyBorder="1"/>
    <xf numFmtId="0" fontId="68" fillId="34" borderId="17" xfId="668" applyFill="1" applyBorder="1" applyAlignment="1">
      <alignment horizontal="left" vertical="center" wrapText="1" indent="1"/>
    </xf>
    <xf numFmtId="177" fontId="28" fillId="3" borderId="5" xfId="4" applyNumberFormat="1" applyFont="1" applyFill="1" applyBorder="1"/>
    <xf numFmtId="177" fontId="28" fillId="44" borderId="4" xfId="4" applyNumberFormat="1" applyFont="1" applyFill="1" applyBorder="1"/>
    <xf numFmtId="177" fontId="28" fillId="44" borderId="5" xfId="4" applyNumberFormat="1" applyFont="1" applyFill="1" applyBorder="1"/>
    <xf numFmtId="177" fontId="28" fillId="44" borderId="3" xfId="4" applyNumberFormat="1" applyFont="1" applyFill="1" applyBorder="1"/>
    <xf numFmtId="43" fontId="28" fillId="3" borderId="12" xfId="4" applyNumberFormat="1" applyFont="1" applyFill="1" applyBorder="1"/>
    <xf numFmtId="43" fontId="28" fillId="3" borderId="11" xfId="4" applyNumberFormat="1" applyFont="1" applyFill="1" applyBorder="1"/>
    <xf numFmtId="0" fontId="28" fillId="36" borderId="4" xfId="0" applyFont="1" applyFill="1" applyBorder="1" applyAlignment="1">
      <alignment horizontal="center" vertical="center" wrapText="1"/>
    </xf>
    <xf numFmtId="175" fontId="28" fillId="35" borderId="12" xfId="4" applyNumberFormat="1" applyFont="1" applyFill="1" applyBorder="1"/>
    <xf numFmtId="175" fontId="28" fillId="35" borderId="13" xfId="4" applyNumberFormat="1" applyFont="1" applyFill="1" applyBorder="1"/>
    <xf numFmtId="0" fontId="68" fillId="5" borderId="17" xfId="668" applyFill="1" applyBorder="1" applyAlignment="1">
      <alignment horizontal="left" vertical="center" wrapText="1" indent="1"/>
    </xf>
    <xf numFmtId="177" fontId="27" fillId="5" borderId="4" xfId="0" applyNumberFormat="1" applyFont="1" applyFill="1" applyBorder="1" applyAlignment="1">
      <alignment horizontal="center" vertical="center" wrapText="1"/>
    </xf>
    <xf numFmtId="179" fontId="27" fillId="5" borderId="4" xfId="4" applyNumberFormat="1" applyFont="1" applyFill="1" applyBorder="1" applyAlignment="1">
      <alignment horizontal="center" vertical="center" wrapText="1"/>
    </xf>
    <xf numFmtId="175" fontId="28" fillId="4" borderId="4" xfId="0" applyNumberFormat="1" applyFont="1" applyFill="1" applyBorder="1"/>
    <xf numFmtId="175" fontId="28" fillId="4" borderId="5" xfId="0" applyNumberFormat="1" applyFont="1" applyFill="1" applyBorder="1"/>
    <xf numFmtId="175" fontId="28" fillId="4" borderId="3" xfId="0" applyNumberFormat="1" applyFont="1" applyFill="1" applyBorder="1"/>
    <xf numFmtId="175" fontId="28" fillId="4" borderId="14" xfId="0" applyNumberFormat="1" applyFont="1" applyFill="1" applyBorder="1"/>
    <xf numFmtId="0" fontId="67" fillId="7" borderId="0" xfId="0" applyFont="1" applyFill="1" applyAlignment="1">
      <alignment horizontal="center"/>
    </xf>
    <xf numFmtId="183" fontId="27" fillId="5" borderId="14" xfId="0" applyNumberFormat="1" applyFont="1" applyFill="1" applyBorder="1" applyAlignment="1">
      <alignment horizontal="center" vertical="top" wrapText="1"/>
    </xf>
    <xf numFmtId="16" fontId="79" fillId="36" borderId="17" xfId="668" applyNumberFormat="1" applyFont="1" applyFill="1" applyBorder="1" applyAlignment="1">
      <alignment horizontal="center" vertical="center"/>
    </xf>
    <xf numFmtId="0" fontId="79" fillId="36" borderId="6" xfId="668" applyFont="1" applyFill="1" applyBorder="1" applyAlignment="1">
      <alignment horizontal="center" vertical="center"/>
    </xf>
    <xf numFmtId="0" fontId="79" fillId="36" borderId="7" xfId="668" applyFont="1" applyFill="1" applyBorder="1" applyAlignment="1">
      <alignment horizontal="center" vertical="center"/>
    </xf>
    <xf numFmtId="43" fontId="72" fillId="3" borderId="4" xfId="4" applyFont="1" applyFill="1" applyBorder="1"/>
    <xf numFmtId="43" fontId="72" fillId="3" borderId="5" xfId="4" applyFont="1" applyFill="1" applyBorder="1"/>
    <xf numFmtId="43" fontId="1" fillId="31" borderId="4" xfId="4" applyFont="1" applyFill="1" applyBorder="1"/>
    <xf numFmtId="43" fontId="1" fillId="31" borderId="5" xfId="4" applyFont="1" applyFill="1" applyBorder="1"/>
    <xf numFmtId="43" fontId="1" fillId="31" borderId="3" xfId="4" applyFont="1" applyFill="1" applyBorder="1"/>
    <xf numFmtId="182" fontId="28" fillId="7" borderId="14" xfId="4" applyNumberFormat="1" applyFont="1" applyFill="1" applyBorder="1"/>
    <xf numFmtId="177" fontId="28" fillId="6" borderId="14" xfId="4" applyNumberFormat="1" applyFont="1" applyFill="1" applyBorder="1" applyAlignment="1">
      <alignment horizontal="center" vertical="center" wrapText="1"/>
    </xf>
    <xf numFmtId="43" fontId="42" fillId="3" borderId="5" xfId="4" applyFont="1" applyFill="1" applyBorder="1"/>
    <xf numFmtId="43" fontId="42" fillId="3" borderId="5" xfId="4" applyFont="1" applyFill="1" applyBorder="1" applyAlignment="1">
      <alignment horizontal="center"/>
    </xf>
    <xf numFmtId="43" fontId="42" fillId="3" borderId="0" xfId="4" applyFont="1" applyFill="1" applyBorder="1"/>
    <xf numFmtId="43" fontId="28" fillId="3" borderId="9" xfId="4" applyFont="1" applyFill="1" applyBorder="1" applyAlignment="1">
      <alignment horizontal="center"/>
    </xf>
    <xf numFmtId="43" fontId="28" fillId="3" borderId="4" xfId="4" applyFont="1" applyFill="1" applyBorder="1" applyAlignment="1">
      <alignment horizontal="center"/>
    </xf>
    <xf numFmtId="43" fontId="28" fillId="3" borderId="5" xfId="4" applyFont="1" applyFill="1" applyBorder="1" applyAlignment="1">
      <alignment horizontal="center"/>
    </xf>
    <xf numFmtId="43" fontId="28" fillId="3" borderId="3" xfId="4" applyFont="1" applyFill="1" applyBorder="1" applyAlignment="1">
      <alignment horizontal="center"/>
    </xf>
    <xf numFmtId="43" fontId="28" fillId="3" borderId="4" xfId="4" applyFont="1" applyFill="1" applyBorder="1" applyAlignment="1">
      <alignment horizontal="center" vertical="top" wrapText="1"/>
    </xf>
    <xf numFmtId="43" fontId="28" fillId="3" borderId="5" xfId="4" applyFont="1" applyFill="1" applyBorder="1" applyAlignment="1">
      <alignment horizontal="center" vertical="top" wrapText="1"/>
    </xf>
    <xf numFmtId="43" fontId="28" fillId="3" borderId="3" xfId="4" applyFont="1" applyFill="1" applyBorder="1" applyAlignment="1">
      <alignment horizontal="center" vertical="top" wrapText="1"/>
    </xf>
    <xf numFmtId="0" fontId="28" fillId="3" borderId="4" xfId="28" applyFont="1" applyFill="1" applyBorder="1" applyAlignment="1">
      <alignment horizontal="center"/>
    </xf>
    <xf numFmtId="0" fontId="28" fillId="3" borderId="5" xfId="28" applyFont="1" applyFill="1" applyBorder="1" applyAlignment="1">
      <alignment horizontal="center"/>
    </xf>
    <xf numFmtId="43" fontId="28" fillId="36" borderId="5" xfId="4" applyFont="1" applyFill="1" applyBorder="1"/>
    <xf numFmtId="184" fontId="28" fillId="3" borderId="0" xfId="4" applyNumberFormat="1" applyFont="1" applyFill="1"/>
    <xf numFmtId="43" fontId="28" fillId="3" borderId="0" xfId="4" quotePrefix="1" applyFont="1" applyFill="1"/>
    <xf numFmtId="43" fontId="42" fillId="3" borderId="11" xfId="4" applyFont="1" applyFill="1" applyBorder="1"/>
    <xf numFmtId="175" fontId="28" fillId="0" borderId="5" xfId="4" applyNumberFormat="1" applyFont="1" applyFill="1" applyBorder="1"/>
    <xf numFmtId="175" fontId="28" fillId="44" borderId="14" xfId="4" applyNumberFormat="1" applyFont="1" applyFill="1" applyBorder="1"/>
    <xf numFmtId="175" fontId="28" fillId="44" borderId="6" xfId="4" applyNumberFormat="1" applyFont="1" applyFill="1" applyBorder="1"/>
    <xf numFmtId="0" fontId="28" fillId="3" borderId="4" xfId="0" applyFont="1" applyFill="1" applyBorder="1" applyAlignment="1">
      <alignment horizontal="left"/>
    </xf>
    <xf numFmtId="0" fontId="28" fillId="3" borderId="5" xfId="0" applyFont="1" applyFill="1" applyBorder="1" applyAlignment="1">
      <alignment horizontal="left"/>
    </xf>
    <xf numFmtId="0" fontId="28" fillId="3" borderId="3" xfId="0" applyFont="1" applyFill="1" applyBorder="1" applyAlignment="1">
      <alignment horizontal="left"/>
    </xf>
    <xf numFmtId="175" fontId="28" fillId="4" borderId="7" xfId="4" applyNumberFormat="1" applyFont="1" applyFill="1" applyBorder="1"/>
    <xf numFmtId="0" fontId="27" fillId="38" borderId="4" xfId="0" applyFont="1" applyFill="1" applyBorder="1" applyAlignment="1">
      <alignment horizontal="center" vertical="center" wrapText="1"/>
    </xf>
    <xf numFmtId="175" fontId="42" fillId="3" borderId="5" xfId="4" applyNumberFormat="1" applyFont="1" applyFill="1" applyBorder="1"/>
    <xf numFmtId="0" fontId="27" fillId="33" borderId="4" xfId="0" applyFont="1" applyFill="1" applyBorder="1" applyAlignment="1">
      <alignment horizontal="center" vertical="center" wrapText="1"/>
    </xf>
    <xf numFmtId="43" fontId="28" fillId="3" borderId="0" xfId="4" applyFont="1" applyFill="1" applyAlignment="1">
      <alignment vertical="top"/>
    </xf>
    <xf numFmtId="2" fontId="28" fillId="7" borderId="0" xfId="0" applyNumberFormat="1" applyFont="1" applyFill="1" applyBorder="1" applyAlignment="1">
      <alignment vertical="center"/>
    </xf>
    <xf numFmtId="3" fontId="28" fillId="46" borderId="14" xfId="0" applyNumberFormat="1" applyFont="1" applyFill="1" applyBorder="1"/>
    <xf numFmtId="43" fontId="28" fillId="36" borderId="14" xfId="4" applyFont="1" applyFill="1" applyBorder="1"/>
    <xf numFmtId="164" fontId="37" fillId="7" borderId="0" xfId="0" applyNumberFormat="1" applyFont="1" applyFill="1"/>
    <xf numFmtId="43" fontId="27" fillId="38" borderId="4" xfId="4" applyFont="1" applyFill="1" applyBorder="1" applyAlignment="1">
      <alignment horizontal="center" vertical="center" wrapText="1"/>
    </xf>
    <xf numFmtId="0" fontId="27" fillId="38" borderId="4" xfId="0" applyFont="1" applyFill="1" applyBorder="1" applyAlignment="1">
      <alignment horizontal="center" vertical="center" wrapText="1"/>
    </xf>
    <xf numFmtId="167" fontId="27" fillId="40" borderId="4" xfId="12" applyNumberFormat="1" applyFont="1" applyFill="1" applyBorder="1" applyAlignment="1">
      <alignment horizontal="center" vertical="center" wrapText="1"/>
    </xf>
    <xf numFmtId="167" fontId="27" fillId="38" borderId="4" xfId="12" applyNumberFormat="1" applyFont="1" applyFill="1" applyBorder="1" applyAlignment="1">
      <alignment horizontal="center" vertical="center" wrapText="1"/>
    </xf>
    <xf numFmtId="167" fontId="27" fillId="5" borderId="4" xfId="12" applyNumberFormat="1" applyFont="1" applyFill="1" applyBorder="1" applyAlignment="1">
      <alignment horizontal="center" vertical="center" wrapText="1"/>
    </xf>
    <xf numFmtId="167" fontId="27" fillId="39" borderId="4" xfId="12" applyNumberFormat="1" applyFont="1" applyFill="1" applyBorder="1" applyAlignment="1">
      <alignment horizontal="center" vertical="center" wrapText="1"/>
    </xf>
    <xf numFmtId="0" fontId="28" fillId="7" borderId="0" xfId="0" applyFont="1" applyFill="1" applyBorder="1" applyAlignment="1">
      <alignment wrapText="1"/>
    </xf>
    <xf numFmtId="0" fontId="21" fillId="35" borderId="16" xfId="260" applyFont="1" applyFill="1" applyBorder="1" applyAlignment="1">
      <alignment horizontal="center" vertical="center" wrapText="1"/>
    </xf>
    <xf numFmtId="0" fontId="21" fillId="35" borderId="13" xfId="260" applyFont="1" applyFill="1" applyBorder="1" applyAlignment="1">
      <alignment horizontal="center" vertical="center" wrapText="1"/>
    </xf>
    <xf numFmtId="0" fontId="21" fillId="7" borderId="15" xfId="260" applyFont="1" applyFill="1" applyBorder="1" applyAlignment="1">
      <alignment horizontal="center" vertical="center" wrapText="1"/>
    </xf>
    <xf numFmtId="0" fontId="21" fillId="7" borderId="12" xfId="260" applyFont="1" applyFill="1" applyBorder="1" applyAlignment="1">
      <alignment horizontal="center" vertical="center" wrapText="1"/>
    </xf>
    <xf numFmtId="0" fontId="21" fillId="7" borderId="11" xfId="260" applyFont="1" applyFill="1" applyBorder="1" applyAlignment="1">
      <alignment horizontal="center" vertical="center" wrapText="1"/>
    </xf>
    <xf numFmtId="0" fontId="21" fillId="7" borderId="16" xfId="260" applyFont="1" applyFill="1" applyBorder="1" applyAlignment="1">
      <alignment horizontal="center" vertical="center" wrapText="1"/>
    </xf>
    <xf numFmtId="0" fontId="21" fillId="7" borderId="13" xfId="260" applyFont="1" applyFill="1" applyBorder="1" applyAlignment="1">
      <alignment horizontal="center" vertical="center" wrapText="1"/>
    </xf>
    <xf numFmtId="0" fontId="21" fillId="34" borderId="6" xfId="260" applyFont="1" applyFill="1" applyBorder="1" applyAlignment="1">
      <alignment horizontal="center" vertical="center" wrapText="1"/>
    </xf>
    <xf numFmtId="0" fontId="21" fillId="34" borderId="7" xfId="260" applyFont="1" applyFill="1" applyBorder="1" applyAlignment="1">
      <alignment horizontal="center" vertical="center" wrapText="1"/>
    </xf>
    <xf numFmtId="0" fontId="21" fillId="7" borderId="16" xfId="260" applyFont="1" applyFill="1" applyBorder="1" applyAlignment="1">
      <alignment horizontal="center" vertical="center"/>
    </xf>
    <xf numFmtId="0" fontId="21" fillId="7" borderId="13" xfId="260" applyFont="1" applyFill="1" applyBorder="1" applyAlignment="1">
      <alignment horizontal="center" vertical="center"/>
    </xf>
    <xf numFmtId="0" fontId="21" fillId="5" borderId="6" xfId="260" applyFont="1" applyFill="1" applyBorder="1" applyAlignment="1">
      <alignment horizontal="center" vertical="center" wrapText="1"/>
    </xf>
    <xf numFmtId="0" fontId="21" fillId="5" borderId="7" xfId="260" applyFont="1" applyFill="1" applyBorder="1" applyAlignment="1">
      <alignment horizontal="center" vertical="center" wrapText="1"/>
    </xf>
    <xf numFmtId="0" fontId="21" fillId="43" borderId="15" xfId="260" applyFont="1" applyFill="1" applyBorder="1" applyAlignment="1">
      <alignment horizontal="center" vertical="center" wrapText="1"/>
    </xf>
    <xf numFmtId="0" fontId="21" fillId="43" borderId="12" xfId="260" applyFont="1" applyFill="1" applyBorder="1" applyAlignment="1">
      <alignment horizontal="center" vertical="center" wrapText="1"/>
    </xf>
    <xf numFmtId="0" fontId="21" fillId="43" borderId="11" xfId="260" applyFont="1" applyFill="1" applyBorder="1" applyAlignment="1">
      <alignment horizontal="center" vertical="center" wrapText="1"/>
    </xf>
    <xf numFmtId="0" fontId="21" fillId="43" borderId="0" xfId="260" applyFont="1" applyFill="1" applyBorder="1" applyAlignment="1">
      <alignment horizontal="center" vertical="center" wrapText="1"/>
    </xf>
    <xf numFmtId="0" fontId="21" fillId="32" borderId="6" xfId="260" applyFont="1" applyFill="1" applyBorder="1" applyAlignment="1">
      <alignment horizontal="center" vertical="center" wrapText="1"/>
    </xf>
    <xf numFmtId="0" fontId="21" fillId="32" borderId="7" xfId="260" applyFont="1" applyFill="1" applyBorder="1" applyAlignment="1">
      <alignment horizontal="center" vertical="center" wrapText="1"/>
    </xf>
    <xf numFmtId="0" fontId="21" fillId="7" borderId="15" xfId="260" applyFont="1" applyFill="1" applyBorder="1" applyAlignment="1">
      <alignment horizontal="center" vertical="center"/>
    </xf>
    <xf numFmtId="0" fontId="21" fillId="7" borderId="12" xfId="260" applyFont="1" applyFill="1" applyBorder="1" applyAlignment="1">
      <alignment horizontal="center" vertical="center"/>
    </xf>
    <xf numFmtId="0" fontId="67" fillId="7" borderId="4" xfId="0" applyFont="1" applyFill="1" applyBorder="1" applyAlignment="1">
      <alignment horizontal="center" vertical="center" wrapText="1"/>
    </xf>
    <xf numFmtId="0" fontId="67" fillId="7" borderId="5" xfId="0" applyFont="1" applyFill="1" applyBorder="1" applyAlignment="1">
      <alignment horizontal="center" vertical="center" wrapText="1"/>
    </xf>
    <xf numFmtId="0" fontId="67" fillId="7" borderId="3" xfId="0" applyFont="1" applyFill="1" applyBorder="1" applyAlignment="1">
      <alignment horizontal="center" vertical="center" wrapText="1"/>
    </xf>
    <xf numFmtId="0" fontId="66" fillId="7" borderId="8" xfId="0" applyFont="1" applyFill="1" applyBorder="1" applyAlignment="1">
      <alignment horizontal="left" vertical="center" wrapText="1"/>
    </xf>
    <xf numFmtId="0" fontId="66" fillId="7" borderId="15" xfId="0" applyFont="1" applyFill="1" applyBorder="1" applyAlignment="1">
      <alignment horizontal="left" vertical="center" wrapText="1"/>
    </xf>
    <xf numFmtId="0" fontId="66" fillId="7" borderId="12" xfId="0" applyFont="1" applyFill="1" applyBorder="1" applyAlignment="1">
      <alignment horizontal="left" vertical="center" wrapText="1"/>
    </xf>
    <xf numFmtId="0" fontId="66" fillId="7" borderId="9" xfId="0" applyFont="1" applyFill="1" applyBorder="1" applyAlignment="1">
      <alignment horizontal="left" vertical="center" wrapText="1"/>
    </xf>
    <xf numFmtId="0" fontId="66" fillId="7" borderId="0" xfId="0" applyFont="1" applyFill="1" applyBorder="1" applyAlignment="1">
      <alignment horizontal="left" vertical="center" wrapText="1"/>
    </xf>
    <xf numFmtId="0" fontId="66" fillId="7" borderId="11" xfId="0" applyFont="1" applyFill="1" applyBorder="1" applyAlignment="1">
      <alignment horizontal="left" vertical="center" wrapText="1"/>
    </xf>
    <xf numFmtId="0" fontId="66" fillId="7" borderId="10" xfId="0" applyFont="1" applyFill="1" applyBorder="1" applyAlignment="1">
      <alignment horizontal="left" vertical="center" wrapText="1"/>
    </xf>
    <xf numFmtId="0" fontId="66" fillId="7" borderId="16" xfId="0" applyFont="1" applyFill="1" applyBorder="1" applyAlignment="1">
      <alignment horizontal="left" vertical="center" wrapText="1"/>
    </xf>
    <xf numFmtId="0" fontId="66" fillId="7" borderId="13" xfId="0" applyFont="1" applyFill="1" applyBorder="1" applyAlignment="1">
      <alignment horizontal="left" vertical="center" wrapText="1"/>
    </xf>
    <xf numFmtId="0" fontId="28" fillId="7" borderId="17" xfId="0" applyFont="1" applyFill="1" applyBorder="1" applyAlignment="1">
      <alignment horizontal="center"/>
    </xf>
    <xf numFmtId="0" fontId="28" fillId="7" borderId="7" xfId="0" applyFont="1" applyFill="1" applyBorder="1" applyAlignment="1">
      <alignment horizontal="center"/>
    </xf>
    <xf numFmtId="0" fontId="28" fillId="7" borderId="6" xfId="0" applyFont="1" applyFill="1" applyBorder="1" applyAlignment="1">
      <alignment horizontal="center"/>
    </xf>
    <xf numFmtId="0" fontId="28" fillId="7" borderId="0" xfId="0" applyFont="1" applyFill="1" applyAlignment="1">
      <alignment horizontal="center"/>
    </xf>
    <xf numFmtId="0" fontId="40" fillId="3" borderId="0" xfId="0" applyFont="1" applyFill="1" applyAlignment="1">
      <alignment horizontal="center"/>
    </xf>
    <xf numFmtId="15" fontId="35" fillId="8" borderId="0" xfId="0" applyNumberFormat="1" applyFont="1" applyFill="1" applyAlignment="1">
      <alignment horizontal="center"/>
    </xf>
    <xf numFmtId="0" fontId="67" fillId="3" borderId="0" xfId="0" applyFont="1" applyFill="1" applyAlignment="1">
      <alignment horizontal="left" vertical="top" wrapText="1"/>
    </xf>
    <xf numFmtId="179" fontId="27" fillId="38" borderId="4" xfId="4" applyNumberFormat="1" applyFont="1" applyFill="1" applyBorder="1" applyAlignment="1">
      <alignment horizontal="center" vertical="center" wrapText="1"/>
    </xf>
    <xf numFmtId="179" fontId="27" fillId="38" borderId="3" xfId="4" applyNumberFormat="1" applyFont="1" applyFill="1" applyBorder="1" applyAlignment="1">
      <alignment horizontal="center" vertical="center" wrapText="1"/>
    </xf>
    <xf numFmtId="43" fontId="27" fillId="38" borderId="8" xfId="4" applyFont="1" applyFill="1" applyBorder="1" applyAlignment="1">
      <alignment horizontal="center" vertical="center" wrapText="1"/>
    </xf>
    <xf numFmtId="43" fontId="27" fillId="38" borderId="10" xfId="4" applyFont="1" applyFill="1" applyBorder="1" applyAlignment="1">
      <alignment horizontal="center" vertical="center" wrapText="1"/>
    </xf>
    <xf numFmtId="175" fontId="27" fillId="38" borderId="4" xfId="4" applyNumberFormat="1" applyFont="1" applyFill="1" applyBorder="1" applyAlignment="1">
      <alignment horizontal="center" vertical="center" wrapText="1"/>
    </xf>
    <xf numFmtId="175" fontId="27" fillId="38" borderId="3" xfId="4" applyNumberFormat="1" applyFont="1" applyFill="1" applyBorder="1" applyAlignment="1">
      <alignment horizontal="center" vertical="center" wrapText="1"/>
    </xf>
    <xf numFmtId="43" fontId="27" fillId="38" borderId="4" xfId="4" applyFont="1" applyFill="1" applyBorder="1" applyAlignment="1">
      <alignment horizontal="center" vertical="center" wrapText="1"/>
    </xf>
    <xf numFmtId="43" fontId="27" fillId="38" borderId="5" xfId="4" applyFont="1" applyFill="1" applyBorder="1" applyAlignment="1">
      <alignment horizontal="center" vertical="center" wrapText="1"/>
    </xf>
    <xf numFmtId="43" fontId="27" fillId="38" borderId="3" xfId="4" applyFont="1" applyFill="1" applyBorder="1" applyAlignment="1">
      <alignment horizontal="center" vertical="center" wrapText="1"/>
    </xf>
    <xf numFmtId="43" fontId="28" fillId="32" borderId="4" xfId="4" applyFont="1" applyFill="1" applyBorder="1" applyAlignment="1">
      <alignment horizontal="center" vertical="center" wrapText="1"/>
    </xf>
    <xf numFmtId="43" fontId="28" fillId="32" borderId="3" xfId="4" applyFont="1" applyFill="1" applyBorder="1" applyAlignment="1">
      <alignment horizontal="center" vertical="center" wrapText="1"/>
    </xf>
    <xf numFmtId="175" fontId="27" fillId="5" borderId="4" xfId="4" applyNumberFormat="1" applyFont="1" applyFill="1" applyBorder="1" applyAlignment="1">
      <alignment horizontal="center" vertical="center" wrapText="1"/>
    </xf>
    <xf numFmtId="175" fontId="27" fillId="5" borderId="3" xfId="4" applyNumberFormat="1" applyFont="1" applyFill="1" applyBorder="1" applyAlignment="1">
      <alignment horizontal="center" vertical="center" wrapText="1"/>
    </xf>
    <xf numFmtId="43" fontId="27" fillId="5" borderId="17" xfId="4" applyFont="1" applyFill="1" applyBorder="1" applyAlignment="1">
      <alignment horizontal="center"/>
    </xf>
    <xf numFmtId="43" fontId="27" fillId="5" borderId="6" xfId="4" applyFont="1" applyFill="1" applyBorder="1" applyAlignment="1">
      <alignment horizontal="center"/>
    </xf>
    <xf numFmtId="43" fontId="27" fillId="5" borderId="7" xfId="4" applyFont="1" applyFill="1" applyBorder="1" applyAlignment="1">
      <alignment horizontal="center"/>
    </xf>
    <xf numFmtId="175" fontId="2" fillId="36" borderId="8" xfId="4" applyNumberFormat="1" applyFont="1" applyFill="1" applyBorder="1" applyAlignment="1">
      <alignment horizontal="center" vertical="center" wrapText="1"/>
    </xf>
    <xf numFmtId="175" fontId="2" fillId="36" borderId="12" xfId="4" applyNumberFormat="1" applyFont="1" applyFill="1" applyBorder="1" applyAlignment="1">
      <alignment horizontal="center" vertical="center" wrapText="1"/>
    </xf>
    <xf numFmtId="175" fontId="27" fillId="5" borderId="5" xfId="4" applyNumberFormat="1" applyFont="1" applyFill="1" applyBorder="1" applyAlignment="1">
      <alignment horizontal="center" vertical="center" wrapText="1"/>
    </xf>
    <xf numFmtId="3" fontId="27" fillId="38" borderId="4" xfId="0" applyNumberFormat="1" applyFont="1" applyFill="1" applyBorder="1" applyAlignment="1">
      <alignment horizontal="center" vertical="center" wrapText="1"/>
    </xf>
    <xf numFmtId="3" fontId="27" fillId="38" borderId="3" xfId="0" applyNumberFormat="1" applyFont="1" applyFill="1" applyBorder="1" applyAlignment="1">
      <alignment horizontal="center" vertical="center" wrapText="1"/>
    </xf>
    <xf numFmtId="0" fontId="27" fillId="38" borderId="4" xfId="0" applyFont="1" applyFill="1" applyBorder="1" applyAlignment="1">
      <alignment horizontal="center" vertical="center" wrapText="1"/>
    </xf>
    <xf numFmtId="0" fontId="27" fillId="38" borderId="3" xfId="0" applyFont="1" applyFill="1" applyBorder="1" applyAlignment="1">
      <alignment horizontal="center" vertical="center" wrapText="1"/>
    </xf>
    <xf numFmtId="0" fontId="27" fillId="38" borderId="4" xfId="0" applyNumberFormat="1" applyFont="1" applyFill="1" applyBorder="1" applyAlignment="1">
      <alignment horizontal="center" vertical="center" wrapText="1"/>
    </xf>
    <xf numFmtId="0" fontId="27" fillId="38" borderId="3" xfId="0" applyNumberFormat="1" applyFont="1" applyFill="1" applyBorder="1" applyAlignment="1">
      <alignment horizontal="center" vertical="center" wrapText="1"/>
    </xf>
    <xf numFmtId="0" fontId="27" fillId="39" borderId="17" xfId="0" applyFont="1" applyFill="1" applyBorder="1" applyAlignment="1">
      <alignment horizontal="center" vertical="center" wrapText="1"/>
    </xf>
    <xf numFmtId="0" fontId="27" fillId="39" borderId="15" xfId="0" applyFont="1" applyFill="1" applyBorder="1" applyAlignment="1">
      <alignment horizontal="center" vertical="center" wrapText="1"/>
    </xf>
    <xf numFmtId="0" fontId="27" fillId="39" borderId="4" xfId="0" applyFont="1" applyFill="1" applyBorder="1" applyAlignment="1">
      <alignment horizontal="center" vertical="center" wrapText="1"/>
    </xf>
    <xf numFmtId="0" fontId="27" fillId="39" borderId="3" xfId="0" applyFont="1" applyFill="1" applyBorder="1" applyAlignment="1">
      <alignment horizontal="center" vertical="center" wrapText="1"/>
    </xf>
    <xf numFmtId="0" fontId="27" fillId="39" borderId="12" xfId="0" applyFont="1" applyFill="1" applyBorder="1" applyAlignment="1">
      <alignment horizontal="center" vertical="center" wrapText="1"/>
    </xf>
    <xf numFmtId="0" fontId="27" fillId="39" borderId="13" xfId="0" applyFont="1" applyFill="1" applyBorder="1" applyAlignment="1">
      <alignment horizontal="center" vertical="center" wrapText="1"/>
    </xf>
    <xf numFmtId="0" fontId="27" fillId="39" borderId="8" xfId="0" applyFont="1" applyFill="1" applyBorder="1" applyAlignment="1">
      <alignment horizontal="center" vertical="center" wrapText="1"/>
    </xf>
    <xf numFmtId="0" fontId="27" fillId="39" borderId="10" xfId="0" applyFont="1" applyFill="1" applyBorder="1" applyAlignment="1">
      <alignment horizontal="center" vertical="center" wrapText="1"/>
    </xf>
    <xf numFmtId="0" fontId="27" fillId="39" borderId="5" xfId="0" applyFont="1" applyFill="1" applyBorder="1" applyAlignment="1">
      <alignment horizontal="center" vertical="center" wrapText="1"/>
    </xf>
    <xf numFmtId="4" fontId="28" fillId="3" borderId="17" xfId="0" applyNumberFormat="1" applyFont="1" applyFill="1" applyBorder="1" applyAlignment="1">
      <alignment horizontal="left" vertical="center"/>
    </xf>
    <xf numFmtId="4" fontId="28" fillId="3" borderId="7" xfId="0" applyNumberFormat="1" applyFont="1" applyFill="1" applyBorder="1" applyAlignment="1">
      <alignment horizontal="left" vertical="center"/>
    </xf>
    <xf numFmtId="4" fontId="28" fillId="3" borderId="8" xfId="0" applyNumberFormat="1" applyFont="1" applyFill="1" applyBorder="1" applyAlignment="1">
      <alignment horizontal="left" vertical="center"/>
    </xf>
    <xf numFmtId="4" fontId="28" fillId="3" borderId="12" xfId="0" applyNumberFormat="1" applyFont="1" applyFill="1" applyBorder="1" applyAlignment="1">
      <alignment horizontal="left" vertical="center"/>
    </xf>
    <xf numFmtId="4" fontId="28" fillId="3" borderId="9" xfId="0" applyNumberFormat="1" applyFont="1" applyFill="1" applyBorder="1" applyAlignment="1">
      <alignment horizontal="left" vertical="center"/>
    </xf>
    <xf numFmtId="4" fontId="28" fillId="3" borderId="11" xfId="0" applyNumberFormat="1" applyFont="1" applyFill="1" applyBorder="1" applyAlignment="1">
      <alignment horizontal="left" vertical="center"/>
    </xf>
    <xf numFmtId="0" fontId="28" fillId="35" borderId="17" xfId="0" applyFont="1" applyFill="1" applyBorder="1" applyAlignment="1">
      <alignment horizontal="center"/>
    </xf>
    <xf numFmtId="0" fontId="28" fillId="35" borderId="6" xfId="0" applyFont="1" applyFill="1" applyBorder="1" applyAlignment="1">
      <alignment horizontal="center"/>
    </xf>
    <xf numFmtId="0" fontId="28" fillId="35" borderId="7" xfId="0" applyFont="1" applyFill="1" applyBorder="1" applyAlignment="1">
      <alignment horizontal="center"/>
    </xf>
    <xf numFmtId="10" fontId="27" fillId="39" borderId="14" xfId="12" applyNumberFormat="1" applyFont="1" applyFill="1" applyBorder="1" applyAlignment="1">
      <alignment horizontal="center" vertical="center" wrapText="1"/>
    </xf>
    <xf numFmtId="10" fontId="27" fillId="39" borderId="4" xfId="12" applyNumberFormat="1" applyFont="1" applyFill="1" applyBorder="1" applyAlignment="1">
      <alignment horizontal="center" vertical="center" wrapText="1"/>
    </xf>
    <xf numFmtId="0" fontId="27" fillId="39" borderId="17" xfId="0" applyFont="1" applyFill="1" applyBorder="1" applyAlignment="1">
      <alignment horizontal="center" vertical="center"/>
    </xf>
    <xf numFmtId="0" fontId="27" fillId="39" borderId="6" xfId="0" applyFont="1" applyFill="1" applyBorder="1" applyAlignment="1">
      <alignment horizontal="center" vertical="center"/>
    </xf>
    <xf numFmtId="0" fontId="27" fillId="39" borderId="7" xfId="0" applyFont="1" applyFill="1" applyBorder="1" applyAlignment="1">
      <alignment horizontal="center" vertical="center"/>
    </xf>
    <xf numFmtId="0" fontId="27" fillId="5" borderId="14" xfId="0" applyFont="1" applyFill="1" applyBorder="1" applyAlignment="1">
      <alignment horizontal="center" vertical="center" wrapText="1"/>
    </xf>
    <xf numFmtId="0" fontId="28" fillId="3" borderId="17" xfId="0" applyFont="1" applyFill="1" applyBorder="1" applyAlignment="1">
      <alignment horizontal="left"/>
    </xf>
    <xf numFmtId="0" fontId="28" fillId="3" borderId="7" xfId="0" applyFont="1" applyFill="1" applyBorder="1" applyAlignment="1">
      <alignment horizontal="left"/>
    </xf>
    <xf numFmtId="0" fontId="28" fillId="3" borderId="8" xfId="0" applyFont="1" applyFill="1" applyBorder="1" applyAlignment="1">
      <alignment horizontal="left"/>
    </xf>
    <xf numFmtId="0" fontId="28" fillId="3" borderId="12" xfId="0" applyFont="1" applyFill="1" applyBorder="1" applyAlignment="1">
      <alignment horizontal="left"/>
    </xf>
    <xf numFmtId="0" fontId="27" fillId="5" borderId="4" xfId="0" applyFont="1" applyFill="1" applyBorder="1" applyAlignment="1">
      <alignment horizontal="center" vertical="center" wrapText="1"/>
    </xf>
    <xf numFmtId="0" fontId="27" fillId="5" borderId="5" xfId="0" applyFont="1" applyFill="1" applyBorder="1" applyAlignment="1">
      <alignment horizontal="center" vertical="center" wrapText="1"/>
    </xf>
    <xf numFmtId="0" fontId="27" fillId="5" borderId="3" xfId="0" applyFont="1" applyFill="1" applyBorder="1" applyAlignment="1">
      <alignment horizontal="center" vertical="center" wrapText="1"/>
    </xf>
    <xf numFmtId="0" fontId="27" fillId="5" borderId="17" xfId="0" applyFont="1" applyFill="1" applyBorder="1" applyAlignment="1">
      <alignment horizontal="center" vertical="center"/>
    </xf>
    <xf numFmtId="0" fontId="27" fillId="5" borderId="6" xfId="0" applyFont="1" applyFill="1" applyBorder="1" applyAlignment="1">
      <alignment horizontal="center" vertical="center"/>
    </xf>
    <xf numFmtId="0" fontId="27" fillId="5" borderId="7" xfId="0" applyFont="1" applyFill="1" applyBorder="1" applyAlignment="1">
      <alignment horizontal="center" vertical="center"/>
    </xf>
    <xf numFmtId="43" fontId="27" fillId="5" borderId="4" xfId="4" applyFont="1" applyFill="1" applyBorder="1" applyAlignment="1">
      <alignment horizontal="center" vertical="center" wrapText="1"/>
    </xf>
    <xf numFmtId="43" fontId="27" fillId="5" borderId="3" xfId="4" applyFont="1" applyFill="1" applyBorder="1" applyAlignment="1">
      <alignment horizontal="center" vertical="center" wrapText="1"/>
    </xf>
    <xf numFmtId="43" fontId="68" fillId="3" borderId="0" xfId="668" applyNumberFormat="1" applyFill="1" applyAlignment="1">
      <alignment horizontal="left" vertical="center"/>
    </xf>
    <xf numFmtId="0" fontId="27" fillId="5" borderId="12" xfId="0" applyFont="1" applyFill="1" applyBorder="1" applyAlignment="1">
      <alignment horizontal="center" vertical="center" wrapText="1"/>
    </xf>
    <xf numFmtId="0" fontId="27" fillId="5" borderId="13" xfId="0" applyFont="1" applyFill="1" applyBorder="1" applyAlignment="1">
      <alignment horizontal="center" vertical="center" wrapText="1"/>
    </xf>
    <xf numFmtId="0" fontId="27" fillId="5" borderId="8" xfId="0" applyFont="1" applyFill="1" applyBorder="1" applyAlignment="1">
      <alignment horizontal="center" vertical="center" wrapText="1"/>
    </xf>
    <xf numFmtId="0" fontId="27" fillId="5" borderId="10" xfId="0" applyFont="1" applyFill="1" applyBorder="1" applyAlignment="1">
      <alignment horizontal="center" vertical="center" wrapText="1"/>
    </xf>
    <xf numFmtId="43" fontId="28" fillId="45" borderId="17" xfId="4" applyNumberFormat="1" applyFont="1" applyFill="1" applyBorder="1" applyAlignment="1">
      <alignment horizontal="center"/>
    </xf>
    <xf numFmtId="43" fontId="28" fillId="45" borderId="6" xfId="4" applyNumberFormat="1" applyFont="1" applyFill="1" applyBorder="1" applyAlignment="1">
      <alignment horizontal="center"/>
    </xf>
    <xf numFmtId="43" fontId="28" fillId="45" borderId="7" xfId="4" applyNumberFormat="1" applyFont="1" applyFill="1" applyBorder="1" applyAlignment="1">
      <alignment horizontal="center"/>
    </xf>
    <xf numFmtId="0" fontId="27" fillId="5" borderId="11" xfId="0" applyFont="1" applyFill="1" applyBorder="1" applyAlignment="1">
      <alignment horizontal="center" vertical="center" wrapText="1"/>
    </xf>
    <xf numFmtId="0" fontId="27" fillId="40" borderId="4" xfId="15" applyFont="1" applyFill="1" applyBorder="1" applyAlignment="1">
      <alignment horizontal="center" vertical="center" wrapText="1"/>
    </xf>
    <xf numFmtId="0" fontId="27" fillId="40" borderId="5" xfId="15" applyFont="1" applyFill="1" applyBorder="1" applyAlignment="1">
      <alignment horizontal="center" vertical="center" wrapText="1"/>
    </xf>
    <xf numFmtId="0" fontId="27" fillId="40" borderId="3" xfId="15" applyFont="1" applyFill="1" applyBorder="1" applyAlignment="1">
      <alignment horizontal="center" vertical="center" wrapText="1"/>
    </xf>
    <xf numFmtId="0" fontId="27" fillId="40" borderId="8" xfId="15" applyFont="1" applyFill="1" applyBorder="1" applyAlignment="1">
      <alignment horizontal="center" vertical="center" wrapText="1"/>
    </xf>
    <xf numFmtId="0" fontId="27" fillId="40" borderId="10" xfId="15" applyFont="1" applyFill="1" applyBorder="1" applyAlignment="1">
      <alignment horizontal="center" vertical="center" wrapText="1"/>
    </xf>
    <xf numFmtId="167" fontId="27" fillId="40" borderId="15" xfId="12" applyNumberFormat="1" applyFont="1" applyFill="1" applyBorder="1" applyAlignment="1">
      <alignment horizontal="center" vertical="center" wrapText="1"/>
    </xf>
    <xf numFmtId="167" fontId="27" fillId="40" borderId="12" xfId="12" applyNumberFormat="1" applyFont="1" applyFill="1" applyBorder="1" applyAlignment="1">
      <alignment horizontal="center" vertical="center" wrapText="1"/>
    </xf>
    <xf numFmtId="0" fontId="27" fillId="38" borderId="8" xfId="0" applyFont="1" applyFill="1" applyBorder="1" applyAlignment="1">
      <alignment horizontal="center" vertical="center" wrapText="1"/>
    </xf>
    <xf numFmtId="0" fontId="27" fillId="38" borderId="10" xfId="0" applyFont="1" applyFill="1" applyBorder="1" applyAlignment="1">
      <alignment horizontal="center" vertical="center" wrapText="1"/>
    </xf>
    <xf numFmtId="167" fontId="27" fillId="39" borderId="8" xfId="12" applyNumberFormat="1" applyFont="1" applyFill="1" applyBorder="1" applyAlignment="1">
      <alignment horizontal="center" vertical="center" wrapText="1"/>
    </xf>
    <xf numFmtId="167" fontId="27" fillId="39" borderId="15" xfId="12" applyNumberFormat="1" applyFont="1" applyFill="1" applyBorder="1" applyAlignment="1">
      <alignment horizontal="center" vertical="center" wrapText="1"/>
    </xf>
    <xf numFmtId="167" fontId="27" fillId="39" borderId="12" xfId="12" applyNumberFormat="1" applyFont="1" applyFill="1" applyBorder="1" applyAlignment="1">
      <alignment horizontal="center" vertical="center" wrapText="1"/>
    </xf>
    <xf numFmtId="167" fontId="27" fillId="5" borderId="15" xfId="12" applyNumberFormat="1" applyFont="1" applyFill="1" applyBorder="1" applyAlignment="1">
      <alignment horizontal="center" vertical="center" wrapText="1"/>
    </xf>
    <xf numFmtId="167" fontId="27" fillId="5" borderId="12" xfId="12" applyNumberFormat="1" applyFont="1" applyFill="1" applyBorder="1" applyAlignment="1">
      <alignment horizontal="center" vertical="center" wrapText="1"/>
    </xf>
  </cellXfs>
  <cellStyles count="669">
    <cellStyle name="20 % - Accent1 2" xfId="349" xr:uid="{00000000-0005-0000-0000-000000000000}"/>
    <cellStyle name="20 % - Accent2 2" xfId="350" xr:uid="{00000000-0005-0000-0000-000001000000}"/>
    <cellStyle name="20 % - Accent3 2" xfId="351" xr:uid="{00000000-0005-0000-0000-000002000000}"/>
    <cellStyle name="20 % - Accent4 2" xfId="352" xr:uid="{00000000-0005-0000-0000-000003000000}"/>
    <cellStyle name="20 % - Accent5 2" xfId="353" xr:uid="{00000000-0005-0000-0000-000004000000}"/>
    <cellStyle name="20 % - Accent6 2" xfId="354" xr:uid="{00000000-0005-0000-0000-000005000000}"/>
    <cellStyle name="40 % - Accent1 2" xfId="355" xr:uid="{00000000-0005-0000-0000-000006000000}"/>
    <cellStyle name="40 % - Accent2 2" xfId="356" xr:uid="{00000000-0005-0000-0000-000007000000}"/>
    <cellStyle name="40 % - Accent3 2" xfId="357" xr:uid="{00000000-0005-0000-0000-000008000000}"/>
    <cellStyle name="40 % - Accent4 2" xfId="358" xr:uid="{00000000-0005-0000-0000-000009000000}"/>
    <cellStyle name="40 % - Accent5 2" xfId="359" xr:uid="{00000000-0005-0000-0000-00000A000000}"/>
    <cellStyle name="40 % - Accent6 2" xfId="360" xr:uid="{00000000-0005-0000-0000-00000B000000}"/>
    <cellStyle name="60 % - Accent1 2" xfId="361" xr:uid="{00000000-0005-0000-0000-00000C000000}"/>
    <cellStyle name="60 % - Accent2 2" xfId="362" xr:uid="{00000000-0005-0000-0000-00000D000000}"/>
    <cellStyle name="60 % - Accent3 2" xfId="363" xr:uid="{00000000-0005-0000-0000-00000E000000}"/>
    <cellStyle name="60 % - Accent4 2" xfId="364" xr:uid="{00000000-0005-0000-0000-00000F000000}"/>
    <cellStyle name="60 % - Accent5 2" xfId="365" xr:uid="{00000000-0005-0000-0000-000010000000}"/>
    <cellStyle name="60 % - Accent6 2" xfId="366" xr:uid="{00000000-0005-0000-0000-000011000000}"/>
    <cellStyle name="Accent1 2" xfId="367" xr:uid="{00000000-0005-0000-0000-000012000000}"/>
    <cellStyle name="Accent2 2" xfId="368" xr:uid="{00000000-0005-0000-0000-000013000000}"/>
    <cellStyle name="Accent3 2" xfId="369" xr:uid="{00000000-0005-0000-0000-000014000000}"/>
    <cellStyle name="Accent4 2" xfId="370" xr:uid="{00000000-0005-0000-0000-000015000000}"/>
    <cellStyle name="Accent5 2" xfId="371" xr:uid="{00000000-0005-0000-0000-000016000000}"/>
    <cellStyle name="Accent6 2" xfId="372" xr:uid="{00000000-0005-0000-0000-000017000000}"/>
    <cellStyle name="Avertissement 2" xfId="373" xr:uid="{00000000-0005-0000-0000-000018000000}"/>
    <cellStyle name="Calcul 2" xfId="374" xr:uid="{00000000-0005-0000-0000-000019000000}"/>
    <cellStyle name="Cellule liée 2" xfId="375" xr:uid="{00000000-0005-0000-0000-00001A000000}"/>
    <cellStyle name="cexColumnHeadings" xfId="1" xr:uid="{00000000-0005-0000-0000-00001B000000}"/>
    <cellStyle name="cexColumnHeadings 2" xfId="393" xr:uid="{00000000-0005-0000-0000-00001C000000}"/>
    <cellStyle name="cexReportTitle" xfId="2" xr:uid="{00000000-0005-0000-0000-00001D000000}"/>
    <cellStyle name="cexTableEntry" xfId="3" xr:uid="{00000000-0005-0000-0000-00001E000000}"/>
    <cellStyle name="cexTableEntry 2" xfId="394" xr:uid="{00000000-0005-0000-0000-00001F000000}"/>
    <cellStyle name="Entrée 2" xfId="376" xr:uid="{00000000-0005-0000-0000-000020000000}"/>
    <cellStyle name="Insatisfaisant 2" xfId="377" xr:uid="{00000000-0005-0000-0000-000021000000}"/>
    <cellStyle name="Lien hypertexte" xfId="668" builtinId="8"/>
    <cellStyle name="Milliers" xfId="4" builtinId="3"/>
    <cellStyle name="Milliers 2" xfId="5" xr:uid="{00000000-0005-0000-0000-000023000000}"/>
    <cellStyle name="Milliers 3" xfId="6" xr:uid="{00000000-0005-0000-0000-000024000000}"/>
    <cellStyle name="Milliers 3 10" xfId="139" xr:uid="{00000000-0005-0000-0000-000025000000}"/>
    <cellStyle name="Milliers 3 10 2" xfId="395" xr:uid="{00000000-0005-0000-0000-000026000000}"/>
    <cellStyle name="Milliers 3 10 3" xfId="615" xr:uid="{00000000-0005-0000-0000-000027000000}"/>
    <cellStyle name="Milliers 3 11" xfId="156" xr:uid="{00000000-0005-0000-0000-000028000000}"/>
    <cellStyle name="Milliers 3 11 2" xfId="424" xr:uid="{00000000-0005-0000-0000-000029000000}"/>
    <cellStyle name="Milliers 3 11 3" xfId="644" xr:uid="{00000000-0005-0000-0000-00002A000000}"/>
    <cellStyle name="Milliers 3 12" xfId="173" xr:uid="{00000000-0005-0000-0000-00002B000000}"/>
    <cellStyle name="Milliers 3 13" xfId="448" xr:uid="{00000000-0005-0000-0000-00002C000000}"/>
    <cellStyle name="Milliers 3 2" xfId="16" xr:uid="{00000000-0005-0000-0000-00002D000000}"/>
    <cellStyle name="Milliers 3 2 10" xfId="158" xr:uid="{00000000-0005-0000-0000-00002E000000}"/>
    <cellStyle name="Milliers 3 2 10 2" xfId="426" xr:uid="{00000000-0005-0000-0000-00002F000000}"/>
    <cellStyle name="Milliers 3 2 10 3" xfId="646" xr:uid="{00000000-0005-0000-0000-000030000000}"/>
    <cellStyle name="Milliers 3 2 11" xfId="175" xr:uid="{00000000-0005-0000-0000-000031000000}"/>
    <cellStyle name="Milliers 3 2 12" xfId="450" xr:uid="{00000000-0005-0000-0000-000032000000}"/>
    <cellStyle name="Milliers 3 2 2" xfId="19" xr:uid="{00000000-0005-0000-0000-000033000000}"/>
    <cellStyle name="Milliers 3 2 2 10" xfId="452" xr:uid="{00000000-0005-0000-0000-000034000000}"/>
    <cellStyle name="Milliers 3 2 2 2" xfId="35" xr:uid="{00000000-0005-0000-0000-000035000000}"/>
    <cellStyle name="Milliers 3 2 2 2 2" xfId="59" xr:uid="{00000000-0005-0000-0000-000036000000}"/>
    <cellStyle name="Milliers 3 2 2 2 2 2" xfId="310" xr:uid="{00000000-0005-0000-0000-000037000000}"/>
    <cellStyle name="Milliers 3 2 2 2 2 2 2" xfId="576" xr:uid="{00000000-0005-0000-0000-000038000000}"/>
    <cellStyle name="Milliers 3 2 2 2 2 3" xfId="219" xr:uid="{00000000-0005-0000-0000-000039000000}"/>
    <cellStyle name="Milliers 3 2 2 2 2 4" xfId="493" xr:uid="{00000000-0005-0000-0000-00003A000000}"/>
    <cellStyle name="Milliers 3 2 2 2 3" xfId="88" xr:uid="{00000000-0005-0000-0000-00003B000000}"/>
    <cellStyle name="Milliers 3 2 2 2 3 2" xfId="339" xr:uid="{00000000-0005-0000-0000-00003C000000}"/>
    <cellStyle name="Milliers 3 2 2 2 3 2 2" xfId="605" xr:uid="{00000000-0005-0000-0000-00003D000000}"/>
    <cellStyle name="Milliers 3 2 2 2 3 3" xfId="248" xr:uid="{00000000-0005-0000-0000-00003E000000}"/>
    <cellStyle name="Milliers 3 2 2 2 3 4" xfId="522" xr:uid="{00000000-0005-0000-0000-00003F000000}"/>
    <cellStyle name="Milliers 3 2 2 2 4" xfId="111" xr:uid="{00000000-0005-0000-0000-000040000000}"/>
    <cellStyle name="Milliers 3 2 2 2 4 2" xfId="283" xr:uid="{00000000-0005-0000-0000-000041000000}"/>
    <cellStyle name="Milliers 3 2 2 2 4 3" xfId="549" xr:uid="{00000000-0005-0000-0000-000042000000}"/>
    <cellStyle name="Milliers 3 2 2 2 5" xfId="416" xr:uid="{00000000-0005-0000-0000-000043000000}"/>
    <cellStyle name="Milliers 3 2 2 2 5 2" xfId="636" xr:uid="{00000000-0005-0000-0000-000044000000}"/>
    <cellStyle name="Milliers 3 2 2 2 6" xfId="442" xr:uid="{00000000-0005-0000-0000-000045000000}"/>
    <cellStyle name="Milliers 3 2 2 2 6 2" xfId="662" xr:uid="{00000000-0005-0000-0000-000046000000}"/>
    <cellStyle name="Milliers 3 2 2 2 7" xfId="191" xr:uid="{00000000-0005-0000-0000-000047000000}"/>
    <cellStyle name="Milliers 3 2 2 2 8" xfId="466" xr:uid="{00000000-0005-0000-0000-000048000000}"/>
    <cellStyle name="Milliers 3 2 2 3" xfId="45" xr:uid="{00000000-0005-0000-0000-000049000000}"/>
    <cellStyle name="Milliers 3 2 2 3 2" xfId="293" xr:uid="{00000000-0005-0000-0000-00004A000000}"/>
    <cellStyle name="Milliers 3 2 2 3 2 2" xfId="559" xr:uid="{00000000-0005-0000-0000-00004B000000}"/>
    <cellStyle name="Milliers 3 2 2 3 3" xfId="201" xr:uid="{00000000-0005-0000-0000-00004C000000}"/>
    <cellStyle name="Milliers 3 2 2 3 4" xfId="476" xr:uid="{00000000-0005-0000-0000-00004D000000}"/>
    <cellStyle name="Milliers 3 2 2 4" xfId="71" xr:uid="{00000000-0005-0000-0000-00004E000000}"/>
    <cellStyle name="Milliers 3 2 2 4 2" xfId="322" xr:uid="{00000000-0005-0000-0000-00004F000000}"/>
    <cellStyle name="Milliers 3 2 2 4 2 2" xfId="588" xr:uid="{00000000-0005-0000-0000-000050000000}"/>
    <cellStyle name="Milliers 3 2 2 4 3" xfId="231" xr:uid="{00000000-0005-0000-0000-000051000000}"/>
    <cellStyle name="Milliers 3 2 2 4 4" xfId="505" xr:uid="{00000000-0005-0000-0000-000052000000}"/>
    <cellStyle name="Milliers 3 2 2 5" xfId="97" xr:uid="{00000000-0005-0000-0000-000053000000}"/>
    <cellStyle name="Milliers 3 2 2 5 2" xfId="268" xr:uid="{00000000-0005-0000-0000-000054000000}"/>
    <cellStyle name="Milliers 3 2 2 5 3" xfId="535" xr:uid="{00000000-0005-0000-0000-000055000000}"/>
    <cellStyle name="Milliers 3 2 2 6" xfId="124" xr:uid="{00000000-0005-0000-0000-000056000000}"/>
    <cellStyle name="Milliers 3 2 2 6 2" xfId="399" xr:uid="{00000000-0005-0000-0000-000057000000}"/>
    <cellStyle name="Milliers 3 2 2 6 3" xfId="619" xr:uid="{00000000-0005-0000-0000-000058000000}"/>
    <cellStyle name="Milliers 3 2 2 7" xfId="143" xr:uid="{00000000-0005-0000-0000-000059000000}"/>
    <cellStyle name="Milliers 3 2 2 7 2" xfId="428" xr:uid="{00000000-0005-0000-0000-00005A000000}"/>
    <cellStyle name="Milliers 3 2 2 7 3" xfId="648" xr:uid="{00000000-0005-0000-0000-00005B000000}"/>
    <cellStyle name="Milliers 3 2 2 8" xfId="160" xr:uid="{00000000-0005-0000-0000-00005C000000}"/>
    <cellStyle name="Milliers 3 2 2 9" xfId="177" xr:uid="{00000000-0005-0000-0000-00005D000000}"/>
    <cellStyle name="Milliers 3 2 3" xfId="20" xr:uid="{00000000-0005-0000-0000-00005E000000}"/>
    <cellStyle name="Milliers 3 2 3 10" xfId="453" xr:uid="{00000000-0005-0000-0000-00005F000000}"/>
    <cellStyle name="Milliers 3 2 3 2" xfId="39" xr:uid="{00000000-0005-0000-0000-000060000000}"/>
    <cellStyle name="Milliers 3 2 3 2 2" xfId="63" xr:uid="{00000000-0005-0000-0000-000061000000}"/>
    <cellStyle name="Milliers 3 2 3 2 2 2" xfId="311" xr:uid="{00000000-0005-0000-0000-000062000000}"/>
    <cellStyle name="Milliers 3 2 3 2 2 2 2" xfId="577" xr:uid="{00000000-0005-0000-0000-000063000000}"/>
    <cellStyle name="Milliers 3 2 3 2 2 3" xfId="220" xr:uid="{00000000-0005-0000-0000-000064000000}"/>
    <cellStyle name="Milliers 3 2 3 2 2 4" xfId="494" xr:uid="{00000000-0005-0000-0000-000065000000}"/>
    <cellStyle name="Milliers 3 2 3 2 3" xfId="91" xr:uid="{00000000-0005-0000-0000-000066000000}"/>
    <cellStyle name="Milliers 3 2 3 2 3 2" xfId="340" xr:uid="{00000000-0005-0000-0000-000067000000}"/>
    <cellStyle name="Milliers 3 2 3 2 3 2 2" xfId="606" xr:uid="{00000000-0005-0000-0000-000068000000}"/>
    <cellStyle name="Milliers 3 2 3 2 3 3" xfId="249" xr:uid="{00000000-0005-0000-0000-000069000000}"/>
    <cellStyle name="Milliers 3 2 3 2 3 4" xfId="523" xr:uid="{00000000-0005-0000-0000-00006A000000}"/>
    <cellStyle name="Milliers 3 2 3 2 4" xfId="115" xr:uid="{00000000-0005-0000-0000-00006B000000}"/>
    <cellStyle name="Milliers 3 2 3 2 4 2" xfId="287" xr:uid="{00000000-0005-0000-0000-00006C000000}"/>
    <cellStyle name="Milliers 3 2 3 2 4 3" xfId="553" xr:uid="{00000000-0005-0000-0000-00006D000000}"/>
    <cellStyle name="Milliers 3 2 3 2 5" xfId="417" xr:uid="{00000000-0005-0000-0000-00006E000000}"/>
    <cellStyle name="Milliers 3 2 3 2 5 2" xfId="637" xr:uid="{00000000-0005-0000-0000-00006F000000}"/>
    <cellStyle name="Milliers 3 2 3 2 6" xfId="446" xr:uid="{00000000-0005-0000-0000-000070000000}"/>
    <cellStyle name="Milliers 3 2 3 2 6 2" xfId="666" xr:uid="{00000000-0005-0000-0000-000071000000}"/>
    <cellStyle name="Milliers 3 2 3 2 7" xfId="195" xr:uid="{00000000-0005-0000-0000-000072000000}"/>
    <cellStyle name="Milliers 3 2 3 2 8" xfId="470" xr:uid="{00000000-0005-0000-0000-000073000000}"/>
    <cellStyle name="Milliers 3 2 3 3" xfId="46" xr:uid="{00000000-0005-0000-0000-000074000000}"/>
    <cellStyle name="Milliers 3 2 3 3 2" xfId="294" xr:uid="{00000000-0005-0000-0000-000075000000}"/>
    <cellStyle name="Milliers 3 2 3 3 2 2" xfId="560" xr:uid="{00000000-0005-0000-0000-000076000000}"/>
    <cellStyle name="Milliers 3 2 3 3 3" xfId="202" xr:uid="{00000000-0005-0000-0000-000077000000}"/>
    <cellStyle name="Milliers 3 2 3 3 4" xfId="477" xr:uid="{00000000-0005-0000-0000-000078000000}"/>
    <cellStyle name="Milliers 3 2 3 4" xfId="72" xr:uid="{00000000-0005-0000-0000-000079000000}"/>
    <cellStyle name="Milliers 3 2 3 4 2" xfId="323" xr:uid="{00000000-0005-0000-0000-00007A000000}"/>
    <cellStyle name="Milliers 3 2 3 4 2 2" xfId="589" xr:uid="{00000000-0005-0000-0000-00007B000000}"/>
    <cellStyle name="Milliers 3 2 3 4 3" xfId="232" xr:uid="{00000000-0005-0000-0000-00007C000000}"/>
    <cellStyle name="Milliers 3 2 3 4 4" xfId="506" xr:uid="{00000000-0005-0000-0000-00007D000000}"/>
    <cellStyle name="Milliers 3 2 3 5" xfId="98" xr:uid="{00000000-0005-0000-0000-00007E000000}"/>
    <cellStyle name="Milliers 3 2 3 5 2" xfId="269" xr:uid="{00000000-0005-0000-0000-00007F000000}"/>
    <cellStyle name="Milliers 3 2 3 5 3" xfId="536" xr:uid="{00000000-0005-0000-0000-000080000000}"/>
    <cellStyle name="Milliers 3 2 3 6" xfId="125" xr:uid="{00000000-0005-0000-0000-000081000000}"/>
    <cellStyle name="Milliers 3 2 3 6 2" xfId="400" xr:uid="{00000000-0005-0000-0000-000082000000}"/>
    <cellStyle name="Milliers 3 2 3 6 3" xfId="620" xr:uid="{00000000-0005-0000-0000-000083000000}"/>
    <cellStyle name="Milliers 3 2 3 7" xfId="144" xr:uid="{00000000-0005-0000-0000-000084000000}"/>
    <cellStyle name="Milliers 3 2 3 7 2" xfId="429" xr:uid="{00000000-0005-0000-0000-000085000000}"/>
    <cellStyle name="Milliers 3 2 3 7 3" xfId="649" xr:uid="{00000000-0005-0000-0000-000086000000}"/>
    <cellStyle name="Milliers 3 2 3 8" xfId="161" xr:uid="{00000000-0005-0000-0000-000087000000}"/>
    <cellStyle name="Milliers 3 2 3 9" xfId="178" xr:uid="{00000000-0005-0000-0000-000088000000}"/>
    <cellStyle name="Milliers 3 2 4" xfId="31" xr:uid="{00000000-0005-0000-0000-000089000000}"/>
    <cellStyle name="Milliers 3 2 4 2" xfId="55" xr:uid="{00000000-0005-0000-0000-00008A000000}"/>
    <cellStyle name="Milliers 3 2 4 2 2" xfId="304" xr:uid="{00000000-0005-0000-0000-00008B000000}"/>
    <cellStyle name="Milliers 3 2 4 2 2 2" xfId="570" xr:uid="{00000000-0005-0000-0000-00008C000000}"/>
    <cellStyle name="Milliers 3 2 4 2 3" xfId="213" xr:uid="{00000000-0005-0000-0000-00008D000000}"/>
    <cellStyle name="Milliers 3 2 4 2 4" xfId="487" xr:uid="{00000000-0005-0000-0000-00008E000000}"/>
    <cellStyle name="Milliers 3 2 4 3" xfId="86" xr:uid="{00000000-0005-0000-0000-00008F000000}"/>
    <cellStyle name="Milliers 3 2 4 3 2" xfId="333" xr:uid="{00000000-0005-0000-0000-000090000000}"/>
    <cellStyle name="Milliers 3 2 4 3 2 2" xfId="599" xr:uid="{00000000-0005-0000-0000-000091000000}"/>
    <cellStyle name="Milliers 3 2 4 3 3" xfId="242" xr:uid="{00000000-0005-0000-0000-000092000000}"/>
    <cellStyle name="Milliers 3 2 4 3 4" xfId="516" xr:uid="{00000000-0005-0000-0000-000093000000}"/>
    <cellStyle name="Milliers 3 2 4 4" xfId="107" xr:uid="{00000000-0005-0000-0000-000094000000}"/>
    <cellStyle name="Milliers 3 2 4 4 2" xfId="279" xr:uid="{00000000-0005-0000-0000-000095000000}"/>
    <cellStyle name="Milliers 3 2 4 4 3" xfId="545" xr:uid="{00000000-0005-0000-0000-000096000000}"/>
    <cellStyle name="Milliers 3 2 4 5" xfId="135" xr:uid="{00000000-0005-0000-0000-000097000000}"/>
    <cellStyle name="Milliers 3 2 4 5 2" xfId="410" xr:uid="{00000000-0005-0000-0000-000098000000}"/>
    <cellStyle name="Milliers 3 2 4 5 3" xfId="630" xr:uid="{00000000-0005-0000-0000-000099000000}"/>
    <cellStyle name="Milliers 3 2 4 6" xfId="154" xr:uid="{00000000-0005-0000-0000-00009A000000}"/>
    <cellStyle name="Milliers 3 2 4 6 2" xfId="438" xr:uid="{00000000-0005-0000-0000-00009B000000}"/>
    <cellStyle name="Milliers 3 2 4 6 3" xfId="658" xr:uid="{00000000-0005-0000-0000-00009C000000}"/>
    <cellStyle name="Milliers 3 2 4 7" xfId="171" xr:uid="{00000000-0005-0000-0000-00009D000000}"/>
    <cellStyle name="Milliers 3 2 4 8" xfId="187" xr:uid="{00000000-0005-0000-0000-00009E000000}"/>
    <cellStyle name="Milliers 3 2 4 9" xfId="462" xr:uid="{00000000-0005-0000-0000-00009F000000}"/>
    <cellStyle name="Milliers 3 2 5" xfId="43" xr:uid="{00000000-0005-0000-0000-0000A0000000}"/>
    <cellStyle name="Milliers 3 2 5 2" xfId="246" xr:uid="{00000000-0005-0000-0000-0000A1000000}"/>
    <cellStyle name="Milliers 3 2 5 2 2" xfId="337" xr:uid="{00000000-0005-0000-0000-0000A2000000}"/>
    <cellStyle name="Milliers 3 2 5 2 2 2" xfId="603" xr:uid="{00000000-0005-0000-0000-0000A3000000}"/>
    <cellStyle name="Milliers 3 2 5 2 3" xfId="520" xr:uid="{00000000-0005-0000-0000-0000A4000000}"/>
    <cellStyle name="Milliers 3 2 5 3" xfId="308" xr:uid="{00000000-0005-0000-0000-0000A5000000}"/>
    <cellStyle name="Milliers 3 2 5 3 2" xfId="574" xr:uid="{00000000-0005-0000-0000-0000A6000000}"/>
    <cellStyle name="Milliers 3 2 5 4" xfId="414" xr:uid="{00000000-0005-0000-0000-0000A7000000}"/>
    <cellStyle name="Milliers 3 2 5 4 2" xfId="634" xr:uid="{00000000-0005-0000-0000-0000A8000000}"/>
    <cellStyle name="Milliers 3 2 5 5" xfId="217" xr:uid="{00000000-0005-0000-0000-0000A9000000}"/>
    <cellStyle name="Milliers 3 2 5 6" xfId="491" xr:uid="{00000000-0005-0000-0000-0000AA000000}"/>
    <cellStyle name="Milliers 3 2 6" xfId="69" xr:uid="{00000000-0005-0000-0000-0000AB000000}"/>
    <cellStyle name="Milliers 3 2 6 2" xfId="291" xr:uid="{00000000-0005-0000-0000-0000AC000000}"/>
    <cellStyle name="Milliers 3 2 6 2 2" xfId="557" xr:uid="{00000000-0005-0000-0000-0000AD000000}"/>
    <cellStyle name="Milliers 3 2 6 3" xfId="199" xr:uid="{00000000-0005-0000-0000-0000AE000000}"/>
    <cellStyle name="Milliers 3 2 6 4" xfId="474" xr:uid="{00000000-0005-0000-0000-0000AF000000}"/>
    <cellStyle name="Milliers 3 2 7" xfId="95" xr:uid="{00000000-0005-0000-0000-0000B0000000}"/>
    <cellStyle name="Milliers 3 2 7 2" xfId="320" xr:uid="{00000000-0005-0000-0000-0000B1000000}"/>
    <cellStyle name="Milliers 3 2 7 2 2" xfId="586" xr:uid="{00000000-0005-0000-0000-0000B2000000}"/>
    <cellStyle name="Milliers 3 2 7 3" xfId="229" xr:uid="{00000000-0005-0000-0000-0000B3000000}"/>
    <cellStyle name="Milliers 3 2 7 4" xfId="503" xr:uid="{00000000-0005-0000-0000-0000B4000000}"/>
    <cellStyle name="Milliers 3 2 8" xfId="122" xr:uid="{00000000-0005-0000-0000-0000B5000000}"/>
    <cellStyle name="Milliers 3 2 8 2" xfId="266" xr:uid="{00000000-0005-0000-0000-0000B6000000}"/>
    <cellStyle name="Milliers 3 2 8 3" xfId="533" xr:uid="{00000000-0005-0000-0000-0000B7000000}"/>
    <cellStyle name="Milliers 3 2 9" xfId="141" xr:uid="{00000000-0005-0000-0000-0000B8000000}"/>
    <cellStyle name="Milliers 3 2 9 2" xfId="397" xr:uid="{00000000-0005-0000-0000-0000B9000000}"/>
    <cellStyle name="Milliers 3 2 9 3" xfId="617" xr:uid="{00000000-0005-0000-0000-0000BA000000}"/>
    <cellStyle name="Milliers 3 3" xfId="21" xr:uid="{00000000-0005-0000-0000-0000BB000000}"/>
    <cellStyle name="Milliers 3 3 10" xfId="454" xr:uid="{00000000-0005-0000-0000-0000BC000000}"/>
    <cellStyle name="Milliers 3 3 2" xfId="33" xr:uid="{00000000-0005-0000-0000-0000BD000000}"/>
    <cellStyle name="Milliers 3 3 2 2" xfId="57" xr:uid="{00000000-0005-0000-0000-0000BE000000}"/>
    <cellStyle name="Milliers 3 3 2 2 2" xfId="312" xr:uid="{00000000-0005-0000-0000-0000BF000000}"/>
    <cellStyle name="Milliers 3 3 2 2 2 2" xfId="578" xr:uid="{00000000-0005-0000-0000-0000C0000000}"/>
    <cellStyle name="Milliers 3 3 2 2 3" xfId="221" xr:uid="{00000000-0005-0000-0000-0000C1000000}"/>
    <cellStyle name="Milliers 3 3 2 2 4" xfId="495" xr:uid="{00000000-0005-0000-0000-0000C2000000}"/>
    <cellStyle name="Milliers 3 3 2 3" xfId="67" xr:uid="{00000000-0005-0000-0000-0000C3000000}"/>
    <cellStyle name="Milliers 3 3 2 3 2" xfId="341" xr:uid="{00000000-0005-0000-0000-0000C4000000}"/>
    <cellStyle name="Milliers 3 3 2 3 2 2" xfId="607" xr:uid="{00000000-0005-0000-0000-0000C5000000}"/>
    <cellStyle name="Milliers 3 3 2 3 3" xfId="250" xr:uid="{00000000-0005-0000-0000-0000C6000000}"/>
    <cellStyle name="Milliers 3 3 2 3 4" xfId="524" xr:uid="{00000000-0005-0000-0000-0000C7000000}"/>
    <cellStyle name="Milliers 3 3 2 4" xfId="109" xr:uid="{00000000-0005-0000-0000-0000C8000000}"/>
    <cellStyle name="Milliers 3 3 2 4 2" xfId="281" xr:uid="{00000000-0005-0000-0000-0000C9000000}"/>
    <cellStyle name="Milliers 3 3 2 4 3" xfId="547" xr:uid="{00000000-0005-0000-0000-0000CA000000}"/>
    <cellStyle name="Milliers 3 3 2 5" xfId="418" xr:uid="{00000000-0005-0000-0000-0000CB000000}"/>
    <cellStyle name="Milliers 3 3 2 5 2" xfId="638" xr:uid="{00000000-0005-0000-0000-0000CC000000}"/>
    <cellStyle name="Milliers 3 3 2 6" xfId="440" xr:uid="{00000000-0005-0000-0000-0000CD000000}"/>
    <cellStyle name="Milliers 3 3 2 6 2" xfId="660" xr:uid="{00000000-0005-0000-0000-0000CE000000}"/>
    <cellStyle name="Milliers 3 3 2 7" xfId="189" xr:uid="{00000000-0005-0000-0000-0000CF000000}"/>
    <cellStyle name="Milliers 3 3 2 8" xfId="464" xr:uid="{00000000-0005-0000-0000-0000D0000000}"/>
    <cellStyle name="Milliers 3 3 3" xfId="47" xr:uid="{00000000-0005-0000-0000-0000D1000000}"/>
    <cellStyle name="Milliers 3 3 3 2" xfId="295" xr:uid="{00000000-0005-0000-0000-0000D2000000}"/>
    <cellStyle name="Milliers 3 3 3 2 2" xfId="561" xr:uid="{00000000-0005-0000-0000-0000D3000000}"/>
    <cellStyle name="Milliers 3 3 3 3" xfId="203" xr:uid="{00000000-0005-0000-0000-0000D4000000}"/>
    <cellStyle name="Milliers 3 3 3 4" xfId="478" xr:uid="{00000000-0005-0000-0000-0000D5000000}"/>
    <cellStyle name="Milliers 3 3 4" xfId="73" xr:uid="{00000000-0005-0000-0000-0000D6000000}"/>
    <cellStyle name="Milliers 3 3 4 2" xfId="324" xr:uid="{00000000-0005-0000-0000-0000D7000000}"/>
    <cellStyle name="Milliers 3 3 4 2 2" xfId="590" xr:uid="{00000000-0005-0000-0000-0000D8000000}"/>
    <cellStyle name="Milliers 3 3 4 3" xfId="233" xr:uid="{00000000-0005-0000-0000-0000D9000000}"/>
    <cellStyle name="Milliers 3 3 4 4" xfId="507" xr:uid="{00000000-0005-0000-0000-0000DA000000}"/>
    <cellStyle name="Milliers 3 3 5" xfId="99" xr:uid="{00000000-0005-0000-0000-0000DB000000}"/>
    <cellStyle name="Milliers 3 3 5 2" xfId="270" xr:uid="{00000000-0005-0000-0000-0000DC000000}"/>
    <cellStyle name="Milliers 3 3 5 3" xfId="537" xr:uid="{00000000-0005-0000-0000-0000DD000000}"/>
    <cellStyle name="Milliers 3 3 6" xfId="126" xr:uid="{00000000-0005-0000-0000-0000DE000000}"/>
    <cellStyle name="Milliers 3 3 6 2" xfId="401" xr:uid="{00000000-0005-0000-0000-0000DF000000}"/>
    <cellStyle name="Milliers 3 3 6 3" xfId="621" xr:uid="{00000000-0005-0000-0000-0000E0000000}"/>
    <cellStyle name="Milliers 3 3 7" xfId="145" xr:uid="{00000000-0005-0000-0000-0000E1000000}"/>
    <cellStyle name="Milliers 3 3 7 2" xfId="430" xr:uid="{00000000-0005-0000-0000-0000E2000000}"/>
    <cellStyle name="Milliers 3 3 7 3" xfId="650" xr:uid="{00000000-0005-0000-0000-0000E3000000}"/>
    <cellStyle name="Milliers 3 3 8" xfId="162" xr:uid="{00000000-0005-0000-0000-0000E4000000}"/>
    <cellStyle name="Milliers 3 3 9" xfId="179" xr:uid="{00000000-0005-0000-0000-0000E5000000}"/>
    <cellStyle name="Milliers 3 4" xfId="22" xr:uid="{00000000-0005-0000-0000-0000E6000000}"/>
    <cellStyle name="Milliers 3 4 10" xfId="455" xr:uid="{00000000-0005-0000-0000-0000E7000000}"/>
    <cellStyle name="Milliers 3 4 2" xfId="37" xr:uid="{00000000-0005-0000-0000-0000E8000000}"/>
    <cellStyle name="Milliers 3 4 2 2" xfId="61" xr:uid="{00000000-0005-0000-0000-0000E9000000}"/>
    <cellStyle name="Milliers 3 4 2 2 2" xfId="313" xr:uid="{00000000-0005-0000-0000-0000EA000000}"/>
    <cellStyle name="Milliers 3 4 2 2 2 2" xfId="579" xr:uid="{00000000-0005-0000-0000-0000EB000000}"/>
    <cellStyle name="Milliers 3 4 2 2 3" xfId="222" xr:uid="{00000000-0005-0000-0000-0000EC000000}"/>
    <cellStyle name="Milliers 3 4 2 2 4" xfId="496" xr:uid="{00000000-0005-0000-0000-0000ED000000}"/>
    <cellStyle name="Milliers 3 4 2 3" xfId="89" xr:uid="{00000000-0005-0000-0000-0000EE000000}"/>
    <cellStyle name="Milliers 3 4 2 3 2" xfId="342" xr:uid="{00000000-0005-0000-0000-0000EF000000}"/>
    <cellStyle name="Milliers 3 4 2 3 2 2" xfId="608" xr:uid="{00000000-0005-0000-0000-0000F0000000}"/>
    <cellStyle name="Milliers 3 4 2 3 3" xfId="251" xr:uid="{00000000-0005-0000-0000-0000F1000000}"/>
    <cellStyle name="Milliers 3 4 2 3 4" xfId="525" xr:uid="{00000000-0005-0000-0000-0000F2000000}"/>
    <cellStyle name="Milliers 3 4 2 4" xfId="113" xr:uid="{00000000-0005-0000-0000-0000F3000000}"/>
    <cellStyle name="Milliers 3 4 2 4 2" xfId="285" xr:uid="{00000000-0005-0000-0000-0000F4000000}"/>
    <cellStyle name="Milliers 3 4 2 4 3" xfId="551" xr:uid="{00000000-0005-0000-0000-0000F5000000}"/>
    <cellStyle name="Milliers 3 4 2 5" xfId="419" xr:uid="{00000000-0005-0000-0000-0000F6000000}"/>
    <cellStyle name="Milliers 3 4 2 5 2" xfId="639" xr:uid="{00000000-0005-0000-0000-0000F7000000}"/>
    <cellStyle name="Milliers 3 4 2 6" xfId="444" xr:uid="{00000000-0005-0000-0000-0000F8000000}"/>
    <cellStyle name="Milliers 3 4 2 6 2" xfId="664" xr:uid="{00000000-0005-0000-0000-0000F9000000}"/>
    <cellStyle name="Milliers 3 4 2 7" xfId="193" xr:uid="{00000000-0005-0000-0000-0000FA000000}"/>
    <cellStyle name="Milliers 3 4 2 8" xfId="468" xr:uid="{00000000-0005-0000-0000-0000FB000000}"/>
    <cellStyle name="Milliers 3 4 3" xfId="48" xr:uid="{00000000-0005-0000-0000-0000FC000000}"/>
    <cellStyle name="Milliers 3 4 3 2" xfId="296" xr:uid="{00000000-0005-0000-0000-0000FD000000}"/>
    <cellStyle name="Milliers 3 4 3 2 2" xfId="562" xr:uid="{00000000-0005-0000-0000-0000FE000000}"/>
    <cellStyle name="Milliers 3 4 3 3" xfId="204" xr:uid="{00000000-0005-0000-0000-0000FF000000}"/>
    <cellStyle name="Milliers 3 4 3 4" xfId="479" xr:uid="{00000000-0005-0000-0000-000000010000}"/>
    <cellStyle name="Milliers 3 4 4" xfId="74" xr:uid="{00000000-0005-0000-0000-000001010000}"/>
    <cellStyle name="Milliers 3 4 4 2" xfId="325" xr:uid="{00000000-0005-0000-0000-000002010000}"/>
    <cellStyle name="Milliers 3 4 4 2 2" xfId="591" xr:uid="{00000000-0005-0000-0000-000003010000}"/>
    <cellStyle name="Milliers 3 4 4 3" xfId="234" xr:uid="{00000000-0005-0000-0000-000004010000}"/>
    <cellStyle name="Milliers 3 4 4 4" xfId="508" xr:uid="{00000000-0005-0000-0000-000005010000}"/>
    <cellStyle name="Milliers 3 4 5" xfId="100" xr:uid="{00000000-0005-0000-0000-000006010000}"/>
    <cellStyle name="Milliers 3 4 5 2" xfId="271" xr:uid="{00000000-0005-0000-0000-000007010000}"/>
    <cellStyle name="Milliers 3 4 5 3" xfId="538" xr:uid="{00000000-0005-0000-0000-000008010000}"/>
    <cellStyle name="Milliers 3 4 6" xfId="127" xr:uid="{00000000-0005-0000-0000-000009010000}"/>
    <cellStyle name="Milliers 3 4 6 2" xfId="402" xr:uid="{00000000-0005-0000-0000-00000A010000}"/>
    <cellStyle name="Milliers 3 4 6 3" xfId="622" xr:uid="{00000000-0005-0000-0000-00000B010000}"/>
    <cellStyle name="Milliers 3 4 7" xfId="146" xr:uid="{00000000-0005-0000-0000-00000C010000}"/>
    <cellStyle name="Milliers 3 4 7 2" xfId="431" xr:uid="{00000000-0005-0000-0000-00000D010000}"/>
    <cellStyle name="Milliers 3 4 7 3" xfId="651" xr:uid="{00000000-0005-0000-0000-00000E010000}"/>
    <cellStyle name="Milliers 3 4 8" xfId="163" xr:uid="{00000000-0005-0000-0000-00000F010000}"/>
    <cellStyle name="Milliers 3 4 9" xfId="180" xr:uid="{00000000-0005-0000-0000-000010010000}"/>
    <cellStyle name="Milliers 3 5" xfId="29" xr:uid="{00000000-0005-0000-0000-000011010000}"/>
    <cellStyle name="Milliers 3 5 2" xfId="53" xr:uid="{00000000-0005-0000-0000-000012010000}"/>
    <cellStyle name="Milliers 3 5 2 2" xfId="302" xr:uid="{00000000-0005-0000-0000-000013010000}"/>
    <cellStyle name="Milliers 3 5 2 2 2" xfId="568" xr:uid="{00000000-0005-0000-0000-000014010000}"/>
    <cellStyle name="Milliers 3 5 2 3" xfId="211" xr:uid="{00000000-0005-0000-0000-000015010000}"/>
    <cellStyle name="Milliers 3 5 2 4" xfId="485" xr:uid="{00000000-0005-0000-0000-000016010000}"/>
    <cellStyle name="Milliers 3 5 3" xfId="84" xr:uid="{00000000-0005-0000-0000-000017010000}"/>
    <cellStyle name="Milliers 3 5 3 2" xfId="331" xr:uid="{00000000-0005-0000-0000-000018010000}"/>
    <cellStyle name="Milliers 3 5 3 2 2" xfId="597" xr:uid="{00000000-0005-0000-0000-000019010000}"/>
    <cellStyle name="Milliers 3 5 3 3" xfId="240" xr:uid="{00000000-0005-0000-0000-00001A010000}"/>
    <cellStyle name="Milliers 3 5 3 4" xfId="514" xr:uid="{00000000-0005-0000-0000-00001B010000}"/>
    <cellStyle name="Milliers 3 5 4" xfId="105" xr:uid="{00000000-0005-0000-0000-00001C010000}"/>
    <cellStyle name="Milliers 3 5 4 2" xfId="277" xr:uid="{00000000-0005-0000-0000-00001D010000}"/>
    <cellStyle name="Milliers 3 5 4 3" xfId="543" xr:uid="{00000000-0005-0000-0000-00001E010000}"/>
    <cellStyle name="Milliers 3 5 5" xfId="133" xr:uid="{00000000-0005-0000-0000-00001F010000}"/>
    <cellStyle name="Milliers 3 5 5 2" xfId="408" xr:uid="{00000000-0005-0000-0000-000020010000}"/>
    <cellStyle name="Milliers 3 5 5 3" xfId="628" xr:uid="{00000000-0005-0000-0000-000021010000}"/>
    <cellStyle name="Milliers 3 5 6" xfId="152" xr:uid="{00000000-0005-0000-0000-000022010000}"/>
    <cellStyle name="Milliers 3 5 6 2" xfId="436" xr:uid="{00000000-0005-0000-0000-000023010000}"/>
    <cellStyle name="Milliers 3 5 6 3" xfId="656" xr:uid="{00000000-0005-0000-0000-000024010000}"/>
    <cellStyle name="Milliers 3 5 7" xfId="169" xr:uid="{00000000-0005-0000-0000-000025010000}"/>
    <cellStyle name="Milliers 3 5 8" xfId="185" xr:uid="{00000000-0005-0000-0000-000026010000}"/>
    <cellStyle name="Milliers 3 5 9" xfId="460" xr:uid="{00000000-0005-0000-0000-000027010000}"/>
    <cellStyle name="Milliers 3 6" xfId="41" xr:uid="{00000000-0005-0000-0000-000028010000}"/>
    <cellStyle name="Milliers 3 6 2" xfId="244" xr:uid="{00000000-0005-0000-0000-000029010000}"/>
    <cellStyle name="Milliers 3 6 2 2" xfId="335" xr:uid="{00000000-0005-0000-0000-00002A010000}"/>
    <cellStyle name="Milliers 3 6 2 2 2" xfId="601" xr:uid="{00000000-0005-0000-0000-00002B010000}"/>
    <cellStyle name="Milliers 3 6 2 3" xfId="518" xr:uid="{00000000-0005-0000-0000-00002C010000}"/>
    <cellStyle name="Milliers 3 6 3" xfId="306" xr:uid="{00000000-0005-0000-0000-00002D010000}"/>
    <cellStyle name="Milliers 3 6 3 2" xfId="572" xr:uid="{00000000-0005-0000-0000-00002E010000}"/>
    <cellStyle name="Milliers 3 6 4" xfId="412" xr:uid="{00000000-0005-0000-0000-00002F010000}"/>
    <cellStyle name="Milliers 3 6 4 2" xfId="632" xr:uid="{00000000-0005-0000-0000-000030010000}"/>
    <cellStyle name="Milliers 3 6 5" xfId="215" xr:uid="{00000000-0005-0000-0000-000031010000}"/>
    <cellStyle name="Milliers 3 6 6" xfId="489" xr:uid="{00000000-0005-0000-0000-000032010000}"/>
    <cellStyle name="Milliers 3 7" xfId="66" xr:uid="{00000000-0005-0000-0000-000033010000}"/>
    <cellStyle name="Milliers 3 7 2" xfId="289" xr:uid="{00000000-0005-0000-0000-000034010000}"/>
    <cellStyle name="Milliers 3 7 2 2" xfId="555" xr:uid="{00000000-0005-0000-0000-000035010000}"/>
    <cellStyle name="Milliers 3 7 3" xfId="197" xr:uid="{00000000-0005-0000-0000-000036010000}"/>
    <cellStyle name="Milliers 3 7 4" xfId="472" xr:uid="{00000000-0005-0000-0000-000037010000}"/>
    <cellStyle name="Milliers 3 8" xfId="93" xr:uid="{00000000-0005-0000-0000-000038010000}"/>
    <cellStyle name="Milliers 3 8 2" xfId="318" xr:uid="{00000000-0005-0000-0000-000039010000}"/>
    <cellStyle name="Milliers 3 8 2 2" xfId="584" xr:uid="{00000000-0005-0000-0000-00003A010000}"/>
    <cellStyle name="Milliers 3 8 3" xfId="227" xr:uid="{00000000-0005-0000-0000-00003B010000}"/>
    <cellStyle name="Milliers 3 8 4" xfId="501" xr:uid="{00000000-0005-0000-0000-00003C010000}"/>
    <cellStyle name="Milliers 3 9" xfId="120" xr:uid="{00000000-0005-0000-0000-00003D010000}"/>
    <cellStyle name="Milliers 3 9 2" xfId="263" xr:uid="{00000000-0005-0000-0000-00003E010000}"/>
    <cellStyle name="Milliers 3 9 3" xfId="531" xr:uid="{00000000-0005-0000-0000-00003F010000}"/>
    <cellStyle name="Milliers 4" xfId="14" xr:uid="{00000000-0005-0000-0000-000040010000}"/>
    <cellStyle name="Milliers 4 2" xfId="23" xr:uid="{00000000-0005-0000-0000-000041010000}"/>
    <cellStyle name="Milliers 5" xfId="81" xr:uid="{00000000-0005-0000-0000-000042010000}"/>
    <cellStyle name="Milliers 5 2" xfId="132" xr:uid="{00000000-0005-0000-0000-000043010000}"/>
    <cellStyle name="Milliers 5 2 2" xfId="330" xr:uid="{00000000-0005-0000-0000-000044010000}"/>
    <cellStyle name="Milliers 5 2 2 2" xfId="596" xr:uid="{00000000-0005-0000-0000-000045010000}"/>
    <cellStyle name="Milliers 5 2 3" xfId="239" xr:uid="{00000000-0005-0000-0000-000046010000}"/>
    <cellStyle name="Milliers 5 2 4" xfId="513" xr:uid="{00000000-0005-0000-0000-000047010000}"/>
    <cellStyle name="Milliers 5 3" xfId="151" xr:uid="{00000000-0005-0000-0000-000048010000}"/>
    <cellStyle name="Milliers 5 3 2" xfId="301" xr:uid="{00000000-0005-0000-0000-000049010000}"/>
    <cellStyle name="Milliers 5 3 3" xfId="567" xr:uid="{00000000-0005-0000-0000-00004A010000}"/>
    <cellStyle name="Milliers 5 4" xfId="168" xr:uid="{00000000-0005-0000-0000-00004B010000}"/>
    <cellStyle name="Milliers 5 4 2" xfId="407" xr:uid="{00000000-0005-0000-0000-00004C010000}"/>
    <cellStyle name="Milliers 5 4 3" xfId="627" xr:uid="{00000000-0005-0000-0000-00004D010000}"/>
    <cellStyle name="Milliers 5 5" xfId="209" xr:uid="{00000000-0005-0000-0000-00004E010000}"/>
    <cellStyle name="Milliers 5 6" xfId="484" xr:uid="{00000000-0005-0000-0000-00004F010000}"/>
    <cellStyle name="Milliers 6" xfId="118" xr:uid="{00000000-0005-0000-0000-000050010000}"/>
    <cellStyle name="Milliers 6 2" xfId="262" xr:uid="{00000000-0005-0000-0000-000051010000}"/>
    <cellStyle name="Milliers 7" xfId="272" xr:uid="{00000000-0005-0000-0000-000052010000}"/>
    <cellStyle name="Milliers 8" xfId="378" xr:uid="{00000000-0005-0000-0000-000053010000}"/>
    <cellStyle name="Milliers 9" xfId="392" xr:uid="{00000000-0005-0000-0000-000054010000}"/>
    <cellStyle name="Milliers 9 2" xfId="614" xr:uid="{00000000-0005-0000-0000-000055010000}"/>
    <cellStyle name="Neutre 2" xfId="379" xr:uid="{00000000-0005-0000-0000-000056010000}"/>
    <cellStyle name="Normal" xfId="0" builtinId="0"/>
    <cellStyle name="Normal 10" xfId="260" xr:uid="{00000000-0005-0000-0000-000058010000}"/>
    <cellStyle name="Normal 11" xfId="348" xr:uid="{00000000-0005-0000-0000-000059010000}"/>
    <cellStyle name="Normal 12" xfId="391" xr:uid="{00000000-0005-0000-0000-00005A010000}"/>
    <cellStyle name="Normal 12 2" xfId="613" xr:uid="{00000000-0005-0000-0000-00005B010000}"/>
    <cellStyle name="Normal 2" xfId="7" xr:uid="{00000000-0005-0000-0000-00005C010000}"/>
    <cellStyle name="Normal 2 2" xfId="8" xr:uid="{00000000-0005-0000-0000-00005D010000}"/>
    <cellStyle name="Normal 2 3" xfId="9" xr:uid="{00000000-0005-0000-0000-00005E010000}"/>
    <cellStyle name="Normal 2 3 2" xfId="380" xr:uid="{00000000-0005-0000-0000-00005F010000}"/>
    <cellStyle name="Normal 3" xfId="10" xr:uid="{00000000-0005-0000-0000-000060010000}"/>
    <cellStyle name="Normal 3 10" xfId="140" xr:uid="{00000000-0005-0000-0000-000061010000}"/>
    <cellStyle name="Normal 3 10 2" xfId="264" xr:uid="{00000000-0005-0000-0000-000062010000}"/>
    <cellStyle name="Normal 3 10 3" xfId="532" xr:uid="{00000000-0005-0000-0000-000063010000}"/>
    <cellStyle name="Normal 3 11" xfId="157" xr:uid="{00000000-0005-0000-0000-000064010000}"/>
    <cellStyle name="Normal 3 11 2" xfId="258" xr:uid="{00000000-0005-0000-0000-000065010000}"/>
    <cellStyle name="Normal 3 11 3" xfId="530" xr:uid="{00000000-0005-0000-0000-000066010000}"/>
    <cellStyle name="Normal 3 12" xfId="396" xr:uid="{00000000-0005-0000-0000-000067010000}"/>
    <cellStyle name="Normal 3 12 2" xfId="616" xr:uid="{00000000-0005-0000-0000-000068010000}"/>
    <cellStyle name="Normal 3 13" xfId="425" xr:uid="{00000000-0005-0000-0000-000069010000}"/>
    <cellStyle name="Normal 3 13 2" xfId="645" xr:uid="{00000000-0005-0000-0000-00006A010000}"/>
    <cellStyle name="Normal 3 14" xfId="174" xr:uid="{00000000-0005-0000-0000-00006B010000}"/>
    <cellStyle name="Normal 3 15" xfId="449" xr:uid="{00000000-0005-0000-0000-00006C010000}"/>
    <cellStyle name="Normal 3 2" xfId="17" xr:uid="{00000000-0005-0000-0000-00006D010000}"/>
    <cellStyle name="Normal 3 2 10" xfId="159" xr:uid="{00000000-0005-0000-0000-00006E010000}"/>
    <cellStyle name="Normal 3 2 10 2" xfId="427" xr:uid="{00000000-0005-0000-0000-00006F010000}"/>
    <cellStyle name="Normal 3 2 10 3" xfId="647" xr:uid="{00000000-0005-0000-0000-000070010000}"/>
    <cellStyle name="Normal 3 2 11" xfId="176" xr:uid="{00000000-0005-0000-0000-000071010000}"/>
    <cellStyle name="Normal 3 2 12" xfId="451" xr:uid="{00000000-0005-0000-0000-000072010000}"/>
    <cellStyle name="Normal 3 2 2" xfId="24" xr:uid="{00000000-0005-0000-0000-000073010000}"/>
    <cellStyle name="Normal 3 2 2 10" xfId="456" xr:uid="{00000000-0005-0000-0000-000074010000}"/>
    <cellStyle name="Normal 3 2 2 2" xfId="36" xr:uid="{00000000-0005-0000-0000-000075010000}"/>
    <cellStyle name="Normal 3 2 2 2 2" xfId="60" xr:uid="{00000000-0005-0000-0000-000076010000}"/>
    <cellStyle name="Normal 3 2 2 2 2 2" xfId="314" xr:uid="{00000000-0005-0000-0000-000077010000}"/>
    <cellStyle name="Normal 3 2 2 2 2 2 2" xfId="580" xr:uid="{00000000-0005-0000-0000-000078010000}"/>
    <cellStyle name="Normal 3 2 2 2 2 3" xfId="223" xr:uid="{00000000-0005-0000-0000-000079010000}"/>
    <cellStyle name="Normal 3 2 2 2 2 4" xfId="497" xr:uid="{00000000-0005-0000-0000-00007A010000}"/>
    <cellStyle name="Normal 3 2 2 2 3" xfId="80" xr:uid="{00000000-0005-0000-0000-00007B010000}"/>
    <cellStyle name="Normal 3 2 2 2 3 2" xfId="343" xr:uid="{00000000-0005-0000-0000-00007C010000}"/>
    <cellStyle name="Normal 3 2 2 2 3 2 2" xfId="609" xr:uid="{00000000-0005-0000-0000-00007D010000}"/>
    <cellStyle name="Normal 3 2 2 2 3 3" xfId="252" xr:uid="{00000000-0005-0000-0000-00007E010000}"/>
    <cellStyle name="Normal 3 2 2 2 3 4" xfId="526" xr:uid="{00000000-0005-0000-0000-00007F010000}"/>
    <cellStyle name="Normal 3 2 2 2 4" xfId="112" xr:uid="{00000000-0005-0000-0000-000080010000}"/>
    <cellStyle name="Normal 3 2 2 2 4 2" xfId="284" xr:uid="{00000000-0005-0000-0000-000081010000}"/>
    <cellStyle name="Normal 3 2 2 2 4 3" xfId="550" xr:uid="{00000000-0005-0000-0000-000082010000}"/>
    <cellStyle name="Normal 3 2 2 2 5" xfId="420" xr:uid="{00000000-0005-0000-0000-000083010000}"/>
    <cellStyle name="Normal 3 2 2 2 5 2" xfId="640" xr:uid="{00000000-0005-0000-0000-000084010000}"/>
    <cellStyle name="Normal 3 2 2 2 6" xfId="443" xr:uid="{00000000-0005-0000-0000-000085010000}"/>
    <cellStyle name="Normal 3 2 2 2 6 2" xfId="663" xr:uid="{00000000-0005-0000-0000-000086010000}"/>
    <cellStyle name="Normal 3 2 2 2 7" xfId="192" xr:uid="{00000000-0005-0000-0000-000087010000}"/>
    <cellStyle name="Normal 3 2 2 2 8" xfId="467" xr:uid="{00000000-0005-0000-0000-000088010000}"/>
    <cellStyle name="Normal 3 2 2 3" xfId="49" xr:uid="{00000000-0005-0000-0000-000089010000}"/>
    <cellStyle name="Normal 3 2 2 3 2" xfId="297" xr:uid="{00000000-0005-0000-0000-00008A010000}"/>
    <cellStyle name="Normal 3 2 2 3 2 2" xfId="563" xr:uid="{00000000-0005-0000-0000-00008B010000}"/>
    <cellStyle name="Normal 3 2 2 3 3" xfId="205" xr:uid="{00000000-0005-0000-0000-00008C010000}"/>
    <cellStyle name="Normal 3 2 2 3 4" xfId="480" xr:uid="{00000000-0005-0000-0000-00008D010000}"/>
    <cellStyle name="Normal 3 2 2 4" xfId="76" xr:uid="{00000000-0005-0000-0000-00008E010000}"/>
    <cellStyle name="Normal 3 2 2 4 2" xfId="326" xr:uid="{00000000-0005-0000-0000-00008F010000}"/>
    <cellStyle name="Normal 3 2 2 4 2 2" xfId="592" xr:uid="{00000000-0005-0000-0000-000090010000}"/>
    <cellStyle name="Normal 3 2 2 4 3" xfId="235" xr:uid="{00000000-0005-0000-0000-000091010000}"/>
    <cellStyle name="Normal 3 2 2 4 4" xfId="509" xr:uid="{00000000-0005-0000-0000-000092010000}"/>
    <cellStyle name="Normal 3 2 2 5" xfId="101" xr:uid="{00000000-0005-0000-0000-000093010000}"/>
    <cellStyle name="Normal 3 2 2 5 2" xfId="273" xr:uid="{00000000-0005-0000-0000-000094010000}"/>
    <cellStyle name="Normal 3 2 2 5 3" xfId="539" xr:uid="{00000000-0005-0000-0000-000095010000}"/>
    <cellStyle name="Normal 3 2 2 6" xfId="128" xr:uid="{00000000-0005-0000-0000-000096010000}"/>
    <cellStyle name="Normal 3 2 2 6 2" xfId="403" xr:uid="{00000000-0005-0000-0000-000097010000}"/>
    <cellStyle name="Normal 3 2 2 6 3" xfId="623" xr:uid="{00000000-0005-0000-0000-000098010000}"/>
    <cellStyle name="Normal 3 2 2 7" xfId="147" xr:uid="{00000000-0005-0000-0000-000099010000}"/>
    <cellStyle name="Normal 3 2 2 7 2" xfId="432" xr:uid="{00000000-0005-0000-0000-00009A010000}"/>
    <cellStyle name="Normal 3 2 2 7 3" xfId="652" xr:uid="{00000000-0005-0000-0000-00009B010000}"/>
    <cellStyle name="Normal 3 2 2 8" xfId="164" xr:uid="{00000000-0005-0000-0000-00009C010000}"/>
    <cellStyle name="Normal 3 2 2 9" xfId="181" xr:uid="{00000000-0005-0000-0000-00009D010000}"/>
    <cellStyle name="Normal 3 2 3" xfId="25" xr:uid="{00000000-0005-0000-0000-00009E010000}"/>
    <cellStyle name="Normal 3 2 3 10" xfId="457" xr:uid="{00000000-0005-0000-0000-00009F010000}"/>
    <cellStyle name="Normal 3 2 3 2" xfId="40" xr:uid="{00000000-0005-0000-0000-0000A0010000}"/>
    <cellStyle name="Normal 3 2 3 2 2" xfId="64" xr:uid="{00000000-0005-0000-0000-0000A1010000}"/>
    <cellStyle name="Normal 3 2 3 2 2 2" xfId="315" xr:uid="{00000000-0005-0000-0000-0000A2010000}"/>
    <cellStyle name="Normal 3 2 3 2 2 2 2" xfId="581" xr:uid="{00000000-0005-0000-0000-0000A3010000}"/>
    <cellStyle name="Normal 3 2 3 2 2 3" xfId="224" xr:uid="{00000000-0005-0000-0000-0000A4010000}"/>
    <cellStyle name="Normal 3 2 3 2 2 4" xfId="498" xr:uid="{00000000-0005-0000-0000-0000A5010000}"/>
    <cellStyle name="Normal 3 2 3 2 3" xfId="92" xr:uid="{00000000-0005-0000-0000-0000A6010000}"/>
    <cellStyle name="Normal 3 2 3 2 3 2" xfId="344" xr:uid="{00000000-0005-0000-0000-0000A7010000}"/>
    <cellStyle name="Normal 3 2 3 2 3 2 2" xfId="610" xr:uid="{00000000-0005-0000-0000-0000A8010000}"/>
    <cellStyle name="Normal 3 2 3 2 3 3" xfId="253" xr:uid="{00000000-0005-0000-0000-0000A9010000}"/>
    <cellStyle name="Normal 3 2 3 2 3 4" xfId="527" xr:uid="{00000000-0005-0000-0000-0000AA010000}"/>
    <cellStyle name="Normal 3 2 3 2 4" xfId="116" xr:uid="{00000000-0005-0000-0000-0000AB010000}"/>
    <cellStyle name="Normal 3 2 3 2 4 2" xfId="288" xr:uid="{00000000-0005-0000-0000-0000AC010000}"/>
    <cellStyle name="Normal 3 2 3 2 4 3" xfId="554" xr:uid="{00000000-0005-0000-0000-0000AD010000}"/>
    <cellStyle name="Normal 3 2 3 2 5" xfId="421" xr:uid="{00000000-0005-0000-0000-0000AE010000}"/>
    <cellStyle name="Normal 3 2 3 2 5 2" xfId="641" xr:uid="{00000000-0005-0000-0000-0000AF010000}"/>
    <cellStyle name="Normal 3 2 3 2 6" xfId="447" xr:uid="{00000000-0005-0000-0000-0000B0010000}"/>
    <cellStyle name="Normal 3 2 3 2 6 2" xfId="667" xr:uid="{00000000-0005-0000-0000-0000B1010000}"/>
    <cellStyle name="Normal 3 2 3 2 7" xfId="196" xr:uid="{00000000-0005-0000-0000-0000B2010000}"/>
    <cellStyle name="Normal 3 2 3 2 8" xfId="471" xr:uid="{00000000-0005-0000-0000-0000B3010000}"/>
    <cellStyle name="Normal 3 2 3 3" xfId="50" xr:uid="{00000000-0005-0000-0000-0000B4010000}"/>
    <cellStyle name="Normal 3 2 3 3 2" xfId="298" xr:uid="{00000000-0005-0000-0000-0000B5010000}"/>
    <cellStyle name="Normal 3 2 3 3 2 2" xfId="564" xr:uid="{00000000-0005-0000-0000-0000B6010000}"/>
    <cellStyle name="Normal 3 2 3 3 3" xfId="206" xr:uid="{00000000-0005-0000-0000-0000B7010000}"/>
    <cellStyle name="Normal 3 2 3 3 4" xfId="481" xr:uid="{00000000-0005-0000-0000-0000B8010000}"/>
    <cellStyle name="Normal 3 2 3 4" xfId="77" xr:uid="{00000000-0005-0000-0000-0000B9010000}"/>
    <cellStyle name="Normal 3 2 3 4 2" xfId="327" xr:uid="{00000000-0005-0000-0000-0000BA010000}"/>
    <cellStyle name="Normal 3 2 3 4 2 2" xfId="593" xr:uid="{00000000-0005-0000-0000-0000BB010000}"/>
    <cellStyle name="Normal 3 2 3 4 3" xfId="236" xr:uid="{00000000-0005-0000-0000-0000BC010000}"/>
    <cellStyle name="Normal 3 2 3 4 4" xfId="510" xr:uid="{00000000-0005-0000-0000-0000BD010000}"/>
    <cellStyle name="Normal 3 2 3 5" xfId="102" xr:uid="{00000000-0005-0000-0000-0000BE010000}"/>
    <cellStyle name="Normal 3 2 3 5 2" xfId="274" xr:uid="{00000000-0005-0000-0000-0000BF010000}"/>
    <cellStyle name="Normal 3 2 3 5 3" xfId="540" xr:uid="{00000000-0005-0000-0000-0000C0010000}"/>
    <cellStyle name="Normal 3 2 3 6" xfId="129" xr:uid="{00000000-0005-0000-0000-0000C1010000}"/>
    <cellStyle name="Normal 3 2 3 6 2" xfId="404" xr:uid="{00000000-0005-0000-0000-0000C2010000}"/>
    <cellStyle name="Normal 3 2 3 6 3" xfId="624" xr:uid="{00000000-0005-0000-0000-0000C3010000}"/>
    <cellStyle name="Normal 3 2 3 7" xfId="148" xr:uid="{00000000-0005-0000-0000-0000C4010000}"/>
    <cellStyle name="Normal 3 2 3 7 2" xfId="433" xr:uid="{00000000-0005-0000-0000-0000C5010000}"/>
    <cellStyle name="Normal 3 2 3 7 3" xfId="653" xr:uid="{00000000-0005-0000-0000-0000C6010000}"/>
    <cellStyle name="Normal 3 2 3 8" xfId="165" xr:uid="{00000000-0005-0000-0000-0000C7010000}"/>
    <cellStyle name="Normal 3 2 3 9" xfId="182" xr:uid="{00000000-0005-0000-0000-0000C8010000}"/>
    <cellStyle name="Normal 3 2 4" xfId="32" xr:uid="{00000000-0005-0000-0000-0000C9010000}"/>
    <cellStyle name="Normal 3 2 4 2" xfId="56" xr:uid="{00000000-0005-0000-0000-0000CA010000}"/>
    <cellStyle name="Normal 3 2 4 2 2" xfId="305" xr:uid="{00000000-0005-0000-0000-0000CB010000}"/>
    <cellStyle name="Normal 3 2 4 2 2 2" xfId="571" xr:uid="{00000000-0005-0000-0000-0000CC010000}"/>
    <cellStyle name="Normal 3 2 4 2 3" xfId="214" xr:uid="{00000000-0005-0000-0000-0000CD010000}"/>
    <cellStyle name="Normal 3 2 4 2 4" xfId="488" xr:uid="{00000000-0005-0000-0000-0000CE010000}"/>
    <cellStyle name="Normal 3 2 4 3" xfId="87" xr:uid="{00000000-0005-0000-0000-0000CF010000}"/>
    <cellStyle name="Normal 3 2 4 3 2" xfId="334" xr:uid="{00000000-0005-0000-0000-0000D0010000}"/>
    <cellStyle name="Normal 3 2 4 3 2 2" xfId="600" xr:uid="{00000000-0005-0000-0000-0000D1010000}"/>
    <cellStyle name="Normal 3 2 4 3 3" xfId="243" xr:uid="{00000000-0005-0000-0000-0000D2010000}"/>
    <cellStyle name="Normal 3 2 4 3 4" xfId="517" xr:uid="{00000000-0005-0000-0000-0000D3010000}"/>
    <cellStyle name="Normal 3 2 4 4" xfId="108" xr:uid="{00000000-0005-0000-0000-0000D4010000}"/>
    <cellStyle name="Normal 3 2 4 4 2" xfId="280" xr:uid="{00000000-0005-0000-0000-0000D5010000}"/>
    <cellStyle name="Normal 3 2 4 4 3" xfId="546" xr:uid="{00000000-0005-0000-0000-0000D6010000}"/>
    <cellStyle name="Normal 3 2 4 5" xfId="136" xr:uid="{00000000-0005-0000-0000-0000D7010000}"/>
    <cellStyle name="Normal 3 2 4 5 2" xfId="411" xr:uid="{00000000-0005-0000-0000-0000D8010000}"/>
    <cellStyle name="Normal 3 2 4 5 3" xfId="631" xr:uid="{00000000-0005-0000-0000-0000D9010000}"/>
    <cellStyle name="Normal 3 2 4 6" xfId="155" xr:uid="{00000000-0005-0000-0000-0000DA010000}"/>
    <cellStyle name="Normal 3 2 4 6 2" xfId="439" xr:uid="{00000000-0005-0000-0000-0000DB010000}"/>
    <cellStyle name="Normal 3 2 4 6 3" xfId="659" xr:uid="{00000000-0005-0000-0000-0000DC010000}"/>
    <cellStyle name="Normal 3 2 4 7" xfId="172" xr:uid="{00000000-0005-0000-0000-0000DD010000}"/>
    <cellStyle name="Normal 3 2 4 8" xfId="188" xr:uid="{00000000-0005-0000-0000-0000DE010000}"/>
    <cellStyle name="Normal 3 2 4 9" xfId="463" xr:uid="{00000000-0005-0000-0000-0000DF010000}"/>
    <cellStyle name="Normal 3 2 5" xfId="44" xr:uid="{00000000-0005-0000-0000-0000E0010000}"/>
    <cellStyle name="Normal 3 2 5 2" xfId="247" xr:uid="{00000000-0005-0000-0000-0000E1010000}"/>
    <cellStyle name="Normal 3 2 5 2 2" xfId="338" xr:uid="{00000000-0005-0000-0000-0000E2010000}"/>
    <cellStyle name="Normal 3 2 5 2 2 2" xfId="604" xr:uid="{00000000-0005-0000-0000-0000E3010000}"/>
    <cellStyle name="Normal 3 2 5 2 3" xfId="521" xr:uid="{00000000-0005-0000-0000-0000E4010000}"/>
    <cellStyle name="Normal 3 2 5 3" xfId="309" xr:uid="{00000000-0005-0000-0000-0000E5010000}"/>
    <cellStyle name="Normal 3 2 5 3 2" xfId="575" xr:uid="{00000000-0005-0000-0000-0000E6010000}"/>
    <cellStyle name="Normal 3 2 5 4" xfId="415" xr:uid="{00000000-0005-0000-0000-0000E7010000}"/>
    <cellStyle name="Normal 3 2 5 4 2" xfId="635" xr:uid="{00000000-0005-0000-0000-0000E8010000}"/>
    <cellStyle name="Normal 3 2 5 5" xfId="218" xr:uid="{00000000-0005-0000-0000-0000E9010000}"/>
    <cellStyle name="Normal 3 2 5 6" xfId="492" xr:uid="{00000000-0005-0000-0000-0000EA010000}"/>
    <cellStyle name="Normal 3 2 6" xfId="70" xr:uid="{00000000-0005-0000-0000-0000EB010000}"/>
    <cellStyle name="Normal 3 2 6 2" xfId="292" xr:uid="{00000000-0005-0000-0000-0000EC010000}"/>
    <cellStyle name="Normal 3 2 6 2 2" xfId="558" xr:uid="{00000000-0005-0000-0000-0000ED010000}"/>
    <cellStyle name="Normal 3 2 6 3" xfId="200" xr:uid="{00000000-0005-0000-0000-0000EE010000}"/>
    <cellStyle name="Normal 3 2 6 4" xfId="475" xr:uid="{00000000-0005-0000-0000-0000EF010000}"/>
    <cellStyle name="Normal 3 2 7" xfId="96" xr:uid="{00000000-0005-0000-0000-0000F0010000}"/>
    <cellStyle name="Normal 3 2 7 2" xfId="321" xr:uid="{00000000-0005-0000-0000-0000F1010000}"/>
    <cellStyle name="Normal 3 2 7 2 2" xfId="587" xr:uid="{00000000-0005-0000-0000-0000F2010000}"/>
    <cellStyle name="Normal 3 2 7 3" xfId="230" xr:uid="{00000000-0005-0000-0000-0000F3010000}"/>
    <cellStyle name="Normal 3 2 7 4" xfId="504" xr:uid="{00000000-0005-0000-0000-0000F4010000}"/>
    <cellStyle name="Normal 3 2 8" xfId="123" xr:uid="{00000000-0005-0000-0000-0000F5010000}"/>
    <cellStyle name="Normal 3 2 8 2" xfId="267" xr:uid="{00000000-0005-0000-0000-0000F6010000}"/>
    <cellStyle name="Normal 3 2 8 3" xfId="534" xr:uid="{00000000-0005-0000-0000-0000F7010000}"/>
    <cellStyle name="Normal 3 2 9" xfId="142" xr:uid="{00000000-0005-0000-0000-0000F8010000}"/>
    <cellStyle name="Normal 3 2 9 2" xfId="398" xr:uid="{00000000-0005-0000-0000-0000F9010000}"/>
    <cellStyle name="Normal 3 2 9 3" xfId="618" xr:uid="{00000000-0005-0000-0000-0000FA010000}"/>
    <cellStyle name="Normal 3 3" xfId="26" xr:uid="{00000000-0005-0000-0000-0000FB010000}"/>
    <cellStyle name="Normal 3 3 10" xfId="458" xr:uid="{00000000-0005-0000-0000-0000FC010000}"/>
    <cellStyle name="Normal 3 3 2" xfId="34" xr:uid="{00000000-0005-0000-0000-0000FD010000}"/>
    <cellStyle name="Normal 3 3 2 2" xfId="58" xr:uid="{00000000-0005-0000-0000-0000FE010000}"/>
    <cellStyle name="Normal 3 3 2 2 2" xfId="316" xr:uid="{00000000-0005-0000-0000-0000FF010000}"/>
    <cellStyle name="Normal 3 3 2 2 2 2" xfId="582" xr:uid="{00000000-0005-0000-0000-000000020000}"/>
    <cellStyle name="Normal 3 3 2 2 3" xfId="225" xr:uid="{00000000-0005-0000-0000-000001020000}"/>
    <cellStyle name="Normal 3 3 2 2 4" xfId="499" xr:uid="{00000000-0005-0000-0000-000002020000}"/>
    <cellStyle name="Normal 3 3 2 3" xfId="75" xr:uid="{00000000-0005-0000-0000-000003020000}"/>
    <cellStyle name="Normal 3 3 2 3 2" xfId="345" xr:uid="{00000000-0005-0000-0000-000004020000}"/>
    <cellStyle name="Normal 3 3 2 3 2 2" xfId="611" xr:uid="{00000000-0005-0000-0000-000005020000}"/>
    <cellStyle name="Normal 3 3 2 3 3" xfId="254" xr:uid="{00000000-0005-0000-0000-000006020000}"/>
    <cellStyle name="Normal 3 3 2 3 4" xfId="528" xr:uid="{00000000-0005-0000-0000-000007020000}"/>
    <cellStyle name="Normal 3 3 2 4" xfId="110" xr:uid="{00000000-0005-0000-0000-000008020000}"/>
    <cellStyle name="Normal 3 3 2 4 2" xfId="282" xr:uid="{00000000-0005-0000-0000-000009020000}"/>
    <cellStyle name="Normal 3 3 2 4 3" xfId="548" xr:uid="{00000000-0005-0000-0000-00000A020000}"/>
    <cellStyle name="Normal 3 3 2 5" xfId="422" xr:uid="{00000000-0005-0000-0000-00000B020000}"/>
    <cellStyle name="Normal 3 3 2 5 2" xfId="642" xr:uid="{00000000-0005-0000-0000-00000C020000}"/>
    <cellStyle name="Normal 3 3 2 6" xfId="441" xr:uid="{00000000-0005-0000-0000-00000D020000}"/>
    <cellStyle name="Normal 3 3 2 6 2" xfId="661" xr:uid="{00000000-0005-0000-0000-00000E020000}"/>
    <cellStyle name="Normal 3 3 2 7" xfId="190" xr:uid="{00000000-0005-0000-0000-00000F020000}"/>
    <cellStyle name="Normal 3 3 2 8" xfId="465" xr:uid="{00000000-0005-0000-0000-000010020000}"/>
    <cellStyle name="Normal 3 3 3" xfId="51" xr:uid="{00000000-0005-0000-0000-000011020000}"/>
    <cellStyle name="Normal 3 3 3 2" xfId="299" xr:uid="{00000000-0005-0000-0000-000012020000}"/>
    <cellStyle name="Normal 3 3 3 2 2" xfId="565" xr:uid="{00000000-0005-0000-0000-000013020000}"/>
    <cellStyle name="Normal 3 3 3 3" xfId="207" xr:uid="{00000000-0005-0000-0000-000014020000}"/>
    <cellStyle name="Normal 3 3 3 4" xfId="482" xr:uid="{00000000-0005-0000-0000-000015020000}"/>
    <cellStyle name="Normal 3 3 4" xfId="78" xr:uid="{00000000-0005-0000-0000-000016020000}"/>
    <cellStyle name="Normal 3 3 4 2" xfId="328" xr:uid="{00000000-0005-0000-0000-000017020000}"/>
    <cellStyle name="Normal 3 3 4 2 2" xfId="594" xr:uid="{00000000-0005-0000-0000-000018020000}"/>
    <cellStyle name="Normal 3 3 4 3" xfId="237" xr:uid="{00000000-0005-0000-0000-000019020000}"/>
    <cellStyle name="Normal 3 3 4 4" xfId="511" xr:uid="{00000000-0005-0000-0000-00001A020000}"/>
    <cellStyle name="Normal 3 3 5" xfId="103" xr:uid="{00000000-0005-0000-0000-00001B020000}"/>
    <cellStyle name="Normal 3 3 5 2" xfId="275" xr:uid="{00000000-0005-0000-0000-00001C020000}"/>
    <cellStyle name="Normal 3 3 5 3" xfId="541" xr:uid="{00000000-0005-0000-0000-00001D020000}"/>
    <cellStyle name="Normal 3 3 6" xfId="130" xr:uid="{00000000-0005-0000-0000-00001E020000}"/>
    <cellStyle name="Normal 3 3 6 2" xfId="405" xr:uid="{00000000-0005-0000-0000-00001F020000}"/>
    <cellStyle name="Normal 3 3 6 3" xfId="625" xr:uid="{00000000-0005-0000-0000-000020020000}"/>
    <cellStyle name="Normal 3 3 7" xfId="149" xr:uid="{00000000-0005-0000-0000-000021020000}"/>
    <cellStyle name="Normal 3 3 7 2" xfId="434" xr:uid="{00000000-0005-0000-0000-000022020000}"/>
    <cellStyle name="Normal 3 3 7 3" xfId="654" xr:uid="{00000000-0005-0000-0000-000023020000}"/>
    <cellStyle name="Normal 3 3 8" xfId="166" xr:uid="{00000000-0005-0000-0000-000024020000}"/>
    <cellStyle name="Normal 3 3 9" xfId="183" xr:uid="{00000000-0005-0000-0000-000025020000}"/>
    <cellStyle name="Normal 3 4" xfId="27" xr:uid="{00000000-0005-0000-0000-000026020000}"/>
    <cellStyle name="Normal 3 4 10" xfId="459" xr:uid="{00000000-0005-0000-0000-000027020000}"/>
    <cellStyle name="Normal 3 4 2" xfId="38" xr:uid="{00000000-0005-0000-0000-000028020000}"/>
    <cellStyle name="Normal 3 4 2 2" xfId="62" xr:uid="{00000000-0005-0000-0000-000029020000}"/>
    <cellStyle name="Normal 3 4 2 2 2" xfId="317" xr:uid="{00000000-0005-0000-0000-00002A020000}"/>
    <cellStyle name="Normal 3 4 2 2 2 2" xfId="583" xr:uid="{00000000-0005-0000-0000-00002B020000}"/>
    <cellStyle name="Normal 3 4 2 2 3" xfId="226" xr:uid="{00000000-0005-0000-0000-00002C020000}"/>
    <cellStyle name="Normal 3 4 2 2 4" xfId="500" xr:uid="{00000000-0005-0000-0000-00002D020000}"/>
    <cellStyle name="Normal 3 4 2 3" xfId="90" xr:uid="{00000000-0005-0000-0000-00002E020000}"/>
    <cellStyle name="Normal 3 4 2 3 2" xfId="346" xr:uid="{00000000-0005-0000-0000-00002F020000}"/>
    <cellStyle name="Normal 3 4 2 3 2 2" xfId="612" xr:uid="{00000000-0005-0000-0000-000030020000}"/>
    <cellStyle name="Normal 3 4 2 3 3" xfId="255" xr:uid="{00000000-0005-0000-0000-000031020000}"/>
    <cellStyle name="Normal 3 4 2 3 4" xfId="529" xr:uid="{00000000-0005-0000-0000-000032020000}"/>
    <cellStyle name="Normal 3 4 2 4" xfId="114" xr:uid="{00000000-0005-0000-0000-000033020000}"/>
    <cellStyle name="Normal 3 4 2 4 2" xfId="286" xr:uid="{00000000-0005-0000-0000-000034020000}"/>
    <cellStyle name="Normal 3 4 2 4 3" xfId="552" xr:uid="{00000000-0005-0000-0000-000035020000}"/>
    <cellStyle name="Normal 3 4 2 5" xfId="423" xr:uid="{00000000-0005-0000-0000-000036020000}"/>
    <cellStyle name="Normal 3 4 2 5 2" xfId="643" xr:uid="{00000000-0005-0000-0000-000037020000}"/>
    <cellStyle name="Normal 3 4 2 6" xfId="445" xr:uid="{00000000-0005-0000-0000-000038020000}"/>
    <cellStyle name="Normal 3 4 2 6 2" xfId="665" xr:uid="{00000000-0005-0000-0000-000039020000}"/>
    <cellStyle name="Normal 3 4 2 7" xfId="194" xr:uid="{00000000-0005-0000-0000-00003A020000}"/>
    <cellStyle name="Normal 3 4 2 8" xfId="469" xr:uid="{00000000-0005-0000-0000-00003B020000}"/>
    <cellStyle name="Normal 3 4 3" xfId="52" xr:uid="{00000000-0005-0000-0000-00003C020000}"/>
    <cellStyle name="Normal 3 4 3 2" xfId="300" xr:uid="{00000000-0005-0000-0000-00003D020000}"/>
    <cellStyle name="Normal 3 4 3 2 2" xfId="566" xr:uid="{00000000-0005-0000-0000-00003E020000}"/>
    <cellStyle name="Normal 3 4 3 3" xfId="208" xr:uid="{00000000-0005-0000-0000-00003F020000}"/>
    <cellStyle name="Normal 3 4 3 4" xfId="483" xr:uid="{00000000-0005-0000-0000-000040020000}"/>
    <cellStyle name="Normal 3 4 4" xfId="79" xr:uid="{00000000-0005-0000-0000-000041020000}"/>
    <cellStyle name="Normal 3 4 4 2" xfId="329" xr:uid="{00000000-0005-0000-0000-000042020000}"/>
    <cellStyle name="Normal 3 4 4 2 2" xfId="595" xr:uid="{00000000-0005-0000-0000-000043020000}"/>
    <cellStyle name="Normal 3 4 4 3" xfId="238" xr:uid="{00000000-0005-0000-0000-000044020000}"/>
    <cellStyle name="Normal 3 4 4 4" xfId="512" xr:uid="{00000000-0005-0000-0000-000045020000}"/>
    <cellStyle name="Normal 3 4 5" xfId="104" xr:uid="{00000000-0005-0000-0000-000046020000}"/>
    <cellStyle name="Normal 3 4 5 2" xfId="276" xr:uid="{00000000-0005-0000-0000-000047020000}"/>
    <cellStyle name="Normal 3 4 5 3" xfId="542" xr:uid="{00000000-0005-0000-0000-000048020000}"/>
    <cellStyle name="Normal 3 4 6" xfId="131" xr:uid="{00000000-0005-0000-0000-000049020000}"/>
    <cellStyle name="Normal 3 4 6 2" xfId="406" xr:uid="{00000000-0005-0000-0000-00004A020000}"/>
    <cellStyle name="Normal 3 4 6 3" xfId="626" xr:uid="{00000000-0005-0000-0000-00004B020000}"/>
    <cellStyle name="Normal 3 4 7" xfId="150" xr:uid="{00000000-0005-0000-0000-00004C020000}"/>
    <cellStyle name="Normal 3 4 7 2" xfId="435" xr:uid="{00000000-0005-0000-0000-00004D020000}"/>
    <cellStyle name="Normal 3 4 7 3" xfId="655" xr:uid="{00000000-0005-0000-0000-00004E020000}"/>
    <cellStyle name="Normal 3 4 8" xfId="167" xr:uid="{00000000-0005-0000-0000-00004F020000}"/>
    <cellStyle name="Normal 3 4 9" xfId="184" xr:uid="{00000000-0005-0000-0000-000050020000}"/>
    <cellStyle name="Normal 3 5" xfId="30" xr:uid="{00000000-0005-0000-0000-000051020000}"/>
    <cellStyle name="Normal 3 5 2" xfId="54" xr:uid="{00000000-0005-0000-0000-000052020000}"/>
    <cellStyle name="Normal 3 5 2 2" xfId="210" xr:uid="{00000000-0005-0000-0000-000053020000}"/>
    <cellStyle name="Normal 3 5 3" xfId="82" xr:uid="{00000000-0005-0000-0000-000054020000}"/>
    <cellStyle name="Normal 3 5 3 2" xfId="278" xr:uid="{00000000-0005-0000-0000-000055020000}"/>
    <cellStyle name="Normal 3 5 3 3" xfId="544" xr:uid="{00000000-0005-0000-0000-000056020000}"/>
    <cellStyle name="Normal 3 5 4" xfId="65" xr:uid="{00000000-0005-0000-0000-000057020000}"/>
    <cellStyle name="Normal 3 5 4 2" xfId="437" xr:uid="{00000000-0005-0000-0000-000058020000}"/>
    <cellStyle name="Normal 3 5 4 3" xfId="657" xr:uid="{00000000-0005-0000-0000-000059020000}"/>
    <cellStyle name="Normal 3 5 5" xfId="106" xr:uid="{00000000-0005-0000-0000-00005A020000}"/>
    <cellStyle name="Normal 3 5 6" xfId="186" xr:uid="{00000000-0005-0000-0000-00005B020000}"/>
    <cellStyle name="Normal 3 5 7" xfId="461" xr:uid="{00000000-0005-0000-0000-00005C020000}"/>
    <cellStyle name="Normal 3 6" xfId="42" xr:uid="{00000000-0005-0000-0000-00005D020000}"/>
    <cellStyle name="Normal 3 6 2" xfId="85" xr:uid="{00000000-0005-0000-0000-00005E020000}"/>
    <cellStyle name="Normal 3 6 2 2" xfId="332" xr:uid="{00000000-0005-0000-0000-00005F020000}"/>
    <cellStyle name="Normal 3 6 2 2 2" xfId="598" xr:uid="{00000000-0005-0000-0000-000060020000}"/>
    <cellStyle name="Normal 3 6 2 3" xfId="241" xr:uid="{00000000-0005-0000-0000-000061020000}"/>
    <cellStyle name="Normal 3 6 2 4" xfId="515" xr:uid="{00000000-0005-0000-0000-000062020000}"/>
    <cellStyle name="Normal 3 6 3" xfId="134" xr:uid="{00000000-0005-0000-0000-000063020000}"/>
    <cellStyle name="Normal 3 6 3 2" xfId="303" xr:uid="{00000000-0005-0000-0000-000064020000}"/>
    <cellStyle name="Normal 3 6 3 3" xfId="569" xr:uid="{00000000-0005-0000-0000-000065020000}"/>
    <cellStyle name="Normal 3 6 4" xfId="153" xr:uid="{00000000-0005-0000-0000-000066020000}"/>
    <cellStyle name="Normal 3 6 4 2" xfId="409" xr:uid="{00000000-0005-0000-0000-000067020000}"/>
    <cellStyle name="Normal 3 6 4 3" xfId="629" xr:uid="{00000000-0005-0000-0000-000068020000}"/>
    <cellStyle name="Normal 3 6 5" xfId="170" xr:uid="{00000000-0005-0000-0000-000069020000}"/>
    <cellStyle name="Normal 3 6 6" xfId="212" xr:uid="{00000000-0005-0000-0000-00006A020000}"/>
    <cellStyle name="Normal 3 6 7" xfId="486" xr:uid="{00000000-0005-0000-0000-00006B020000}"/>
    <cellStyle name="Normal 3 7" xfId="68" xr:uid="{00000000-0005-0000-0000-00006C020000}"/>
    <cellStyle name="Normal 3 7 2" xfId="245" xr:uid="{00000000-0005-0000-0000-00006D020000}"/>
    <cellStyle name="Normal 3 7 2 2" xfId="336" xr:uid="{00000000-0005-0000-0000-00006E020000}"/>
    <cellStyle name="Normal 3 7 2 2 2" xfId="602" xr:uid="{00000000-0005-0000-0000-00006F020000}"/>
    <cellStyle name="Normal 3 7 2 3" xfId="519" xr:uid="{00000000-0005-0000-0000-000070020000}"/>
    <cellStyle name="Normal 3 7 3" xfId="307" xr:uid="{00000000-0005-0000-0000-000071020000}"/>
    <cellStyle name="Normal 3 7 3 2" xfId="573" xr:uid="{00000000-0005-0000-0000-000072020000}"/>
    <cellStyle name="Normal 3 7 4" xfId="413" xr:uid="{00000000-0005-0000-0000-000073020000}"/>
    <cellStyle name="Normal 3 7 4 2" xfId="633" xr:uid="{00000000-0005-0000-0000-000074020000}"/>
    <cellStyle name="Normal 3 7 5" xfId="216" xr:uid="{00000000-0005-0000-0000-000075020000}"/>
    <cellStyle name="Normal 3 7 6" xfId="490" xr:uid="{00000000-0005-0000-0000-000076020000}"/>
    <cellStyle name="Normal 3 8" xfId="94" xr:uid="{00000000-0005-0000-0000-000077020000}"/>
    <cellStyle name="Normal 3 8 2" xfId="290" xr:uid="{00000000-0005-0000-0000-000078020000}"/>
    <cellStyle name="Normal 3 8 2 2" xfId="556" xr:uid="{00000000-0005-0000-0000-000079020000}"/>
    <cellStyle name="Normal 3 8 3" xfId="198" xr:uid="{00000000-0005-0000-0000-00007A020000}"/>
    <cellStyle name="Normal 3 8 4" xfId="473" xr:uid="{00000000-0005-0000-0000-00007B020000}"/>
    <cellStyle name="Normal 3 9" xfId="121" xr:uid="{00000000-0005-0000-0000-00007C020000}"/>
    <cellStyle name="Normal 3 9 2" xfId="319" xr:uid="{00000000-0005-0000-0000-00007D020000}"/>
    <cellStyle name="Normal 3 9 2 2" xfId="585" xr:uid="{00000000-0005-0000-0000-00007E020000}"/>
    <cellStyle name="Normal 3 9 3" xfId="228" xr:uid="{00000000-0005-0000-0000-00007F020000}"/>
    <cellStyle name="Normal 3 9 4" xfId="502" xr:uid="{00000000-0005-0000-0000-000080020000}"/>
    <cellStyle name="Normal 4" xfId="15" xr:uid="{00000000-0005-0000-0000-000081020000}"/>
    <cellStyle name="Normal 4 2" xfId="28" xr:uid="{00000000-0005-0000-0000-000082020000}"/>
    <cellStyle name="Normal 5" xfId="18" xr:uid="{00000000-0005-0000-0000-000083020000}"/>
    <cellStyle name="Normal 6" xfId="83" xr:uid="{00000000-0005-0000-0000-000084020000}"/>
    <cellStyle name="Normal 7" xfId="117" xr:uid="{00000000-0005-0000-0000-000085020000}"/>
    <cellStyle name="Normal 7 2" xfId="256" xr:uid="{00000000-0005-0000-0000-000086020000}"/>
    <cellStyle name="Normal 8" xfId="119" xr:uid="{00000000-0005-0000-0000-000087020000}"/>
    <cellStyle name="Normal 8 2" xfId="347" xr:uid="{00000000-0005-0000-0000-000088020000}"/>
    <cellStyle name="Normal 8 3" xfId="257" xr:uid="{00000000-0005-0000-0000-000089020000}"/>
    <cellStyle name="Normal 9" xfId="137" xr:uid="{00000000-0005-0000-0000-00008A020000}"/>
    <cellStyle name="Normal 9 2" xfId="261" xr:uid="{00000000-0005-0000-0000-00008B020000}"/>
    <cellStyle name="Normal_3crit_2002-03.xls" xfId="11" xr:uid="{00000000-0005-0000-0000-00008C020000}"/>
    <cellStyle name="Pourcentage" xfId="12" builtinId="5"/>
    <cellStyle name="Pourcentage 2" xfId="13" xr:uid="{00000000-0005-0000-0000-000091020000}"/>
    <cellStyle name="Pourcentage 3" xfId="138" xr:uid="{00000000-0005-0000-0000-000092020000}"/>
    <cellStyle name="Pourcentage 3 2" xfId="265" xr:uid="{00000000-0005-0000-0000-000093020000}"/>
    <cellStyle name="Pourcentage 4" xfId="259" xr:uid="{00000000-0005-0000-0000-000094020000}"/>
    <cellStyle name="Satisfaisant 2" xfId="381" xr:uid="{00000000-0005-0000-0000-000095020000}"/>
    <cellStyle name="Sortie 2" xfId="382" xr:uid="{00000000-0005-0000-0000-000096020000}"/>
    <cellStyle name="Texte explicatif 2" xfId="383" xr:uid="{00000000-0005-0000-0000-000097020000}"/>
    <cellStyle name="Titre 2" xfId="384" xr:uid="{00000000-0005-0000-0000-000098020000}"/>
    <cellStyle name="Titre 1 2" xfId="385" xr:uid="{00000000-0005-0000-0000-000099020000}"/>
    <cellStyle name="Titre 2 2" xfId="386" xr:uid="{00000000-0005-0000-0000-00009A020000}"/>
    <cellStyle name="Titre 3 2" xfId="387" xr:uid="{00000000-0005-0000-0000-00009B020000}"/>
    <cellStyle name="Titre 4 2" xfId="388" xr:uid="{00000000-0005-0000-0000-00009C020000}"/>
    <cellStyle name="Total 2" xfId="389" xr:uid="{00000000-0005-0000-0000-00009D020000}"/>
    <cellStyle name="Vérification 2" xfId="390" xr:uid="{00000000-0005-0000-0000-00009E020000}"/>
  </cellStyles>
  <dxfs count="12">
    <dxf>
      <fill>
        <patternFill>
          <bgColor rgb="FF00B050"/>
        </patternFill>
      </fill>
    </dxf>
    <dxf>
      <fill>
        <patternFill>
          <bgColor rgb="FF00B050"/>
        </patternFill>
      </fill>
    </dxf>
    <dxf>
      <fill>
        <patternFill>
          <bgColor rgb="FF00B050"/>
        </patternFill>
      </fill>
    </dxf>
    <dxf>
      <font>
        <color rgb="FFFF0000"/>
      </font>
    </dxf>
    <dxf>
      <font>
        <color rgb="FF00B050"/>
      </font>
    </dxf>
    <dxf>
      <font>
        <color rgb="FFFF0000"/>
      </font>
    </dxf>
    <dxf>
      <font>
        <color rgb="FF00B050"/>
      </font>
    </dxf>
    <dxf>
      <font>
        <color rgb="FFFF0000"/>
      </font>
    </dxf>
    <dxf>
      <font>
        <color rgb="FF00B050"/>
      </font>
    </dxf>
    <dxf>
      <font>
        <color rgb="FFFF0000"/>
      </font>
    </dxf>
    <dxf>
      <font>
        <color rgb="FF00B050"/>
      </font>
    </dxf>
    <dxf>
      <fill>
        <patternFill>
          <bgColor rgb="FF00B050"/>
        </patternFill>
      </fill>
    </dxf>
  </dxfs>
  <tableStyles count="0" defaultTableStyle="TableStyleMedium9" defaultPivotStyle="PivotStyleLight16"/>
  <colors>
    <mruColors>
      <color rgb="FFBF5201"/>
      <color rgb="FF00DE64"/>
      <color rgb="FF05FF76"/>
      <color rgb="FF23CF33"/>
      <color rgb="FFD973F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D17AA1-60A5-488A-A872-466268BDE675}">
  <dimension ref="A1:C19"/>
  <sheetViews>
    <sheetView zoomScaleNormal="100" workbookViewId="0">
      <selection activeCell="A22" sqref="A22"/>
    </sheetView>
  </sheetViews>
  <sheetFormatPr baseColWidth="10" defaultColWidth="11" defaultRowHeight="12.75" x14ac:dyDescent="0.2"/>
  <cols>
    <col min="1" max="1" width="38" style="428" customWidth="1"/>
    <col min="2" max="2" width="43.625" style="276" customWidth="1"/>
    <col min="3" max="3" width="43.625" style="275" customWidth="1"/>
    <col min="4" max="16384" width="11" style="275"/>
  </cols>
  <sheetData>
    <row r="1" spans="1:3" ht="26.45" customHeight="1" x14ac:dyDescent="0.2">
      <c r="A1" s="459" t="s">
        <v>398</v>
      </c>
    </row>
    <row r="2" spans="1:3" ht="24" customHeight="1" x14ac:dyDescent="0.2">
      <c r="A2" s="429" t="s">
        <v>555</v>
      </c>
      <c r="B2" s="575" t="s">
        <v>413</v>
      </c>
      <c r="C2" s="576"/>
    </row>
    <row r="3" spans="1:3" ht="24" customHeight="1" x14ac:dyDescent="0.2">
      <c r="A3" s="430" t="s">
        <v>527</v>
      </c>
      <c r="B3" s="577" t="s">
        <v>445</v>
      </c>
      <c r="C3" s="577"/>
    </row>
    <row r="4" spans="1:3" ht="24" customHeight="1" x14ac:dyDescent="0.2">
      <c r="A4" s="430" t="s">
        <v>401</v>
      </c>
      <c r="B4" s="577" t="s">
        <v>492</v>
      </c>
      <c r="C4" s="577"/>
    </row>
    <row r="5" spans="1:3" ht="24" customHeight="1" x14ac:dyDescent="0.2">
      <c r="A5" s="431" t="s">
        <v>412</v>
      </c>
      <c r="B5" s="578" t="s">
        <v>446</v>
      </c>
      <c r="C5" s="579"/>
    </row>
    <row r="6" spans="1:3" ht="7.5" customHeight="1" x14ac:dyDescent="0.2"/>
    <row r="7" spans="1:3" ht="45" customHeight="1" x14ac:dyDescent="0.2">
      <c r="A7" s="506" t="s">
        <v>427</v>
      </c>
      <c r="B7" s="580" t="s">
        <v>546</v>
      </c>
      <c r="C7" s="581"/>
    </row>
    <row r="8" spans="1:3" ht="24" customHeight="1" x14ac:dyDescent="0.2">
      <c r="A8" s="432" t="s">
        <v>545</v>
      </c>
      <c r="B8" s="573" t="s">
        <v>547</v>
      </c>
      <c r="C8" s="574"/>
    </row>
    <row r="9" spans="1:3" ht="7.5" customHeight="1" x14ac:dyDescent="0.2"/>
    <row r="10" spans="1:3" ht="45" customHeight="1" x14ac:dyDescent="0.2">
      <c r="A10" s="516" t="s">
        <v>554</v>
      </c>
      <c r="B10" s="584" t="s">
        <v>548</v>
      </c>
      <c r="C10" s="585"/>
    </row>
    <row r="11" spans="1:3" ht="30" customHeight="1" x14ac:dyDescent="0.2">
      <c r="A11" s="495" t="s">
        <v>257</v>
      </c>
      <c r="B11" s="586" t="s">
        <v>399</v>
      </c>
      <c r="C11" s="587"/>
    </row>
    <row r="12" spans="1:3" ht="30" customHeight="1" x14ac:dyDescent="0.2">
      <c r="A12" s="496" t="s">
        <v>550</v>
      </c>
      <c r="B12" s="588" t="s">
        <v>444</v>
      </c>
      <c r="C12" s="588"/>
    </row>
    <row r="13" spans="1:3" ht="30" customHeight="1" x14ac:dyDescent="0.2">
      <c r="A13" s="496" t="s">
        <v>549</v>
      </c>
      <c r="B13" s="589" t="s">
        <v>400</v>
      </c>
      <c r="C13" s="588"/>
    </row>
    <row r="14" spans="1:3" ht="24" customHeight="1" x14ac:dyDescent="0.2">
      <c r="A14" s="525" t="s">
        <v>402</v>
      </c>
      <c r="B14" s="526" t="s">
        <v>403</v>
      </c>
      <c r="C14" s="527" t="s">
        <v>404</v>
      </c>
    </row>
    <row r="15" spans="1:3" ht="7.5" customHeight="1" x14ac:dyDescent="0.2"/>
    <row r="16" spans="1:3" ht="24" customHeight="1" x14ac:dyDescent="0.2">
      <c r="A16" s="433" t="s">
        <v>411</v>
      </c>
      <c r="B16" s="590" t="s">
        <v>551</v>
      </c>
      <c r="C16" s="591"/>
    </row>
    <row r="17" spans="1:3" ht="7.5" customHeight="1" x14ac:dyDescent="0.2">
      <c r="B17" s="277"/>
    </row>
    <row r="18" spans="1:3" ht="24" customHeight="1" x14ac:dyDescent="0.2">
      <c r="A18" s="429" t="s">
        <v>429</v>
      </c>
      <c r="B18" s="592" t="s">
        <v>552</v>
      </c>
      <c r="C18" s="593"/>
    </row>
    <row r="19" spans="1:3" ht="24" customHeight="1" x14ac:dyDescent="0.2">
      <c r="A19" s="431" t="s">
        <v>405</v>
      </c>
      <c r="B19" s="582" t="s">
        <v>556</v>
      </c>
      <c r="C19" s="583"/>
    </row>
  </sheetData>
  <mergeCells count="13">
    <mergeCell ref="B19:C19"/>
    <mergeCell ref="B10:C10"/>
    <mergeCell ref="B11:C11"/>
    <mergeCell ref="B12:C12"/>
    <mergeCell ref="B13:C13"/>
    <mergeCell ref="B16:C16"/>
    <mergeCell ref="B18:C18"/>
    <mergeCell ref="B8:C8"/>
    <mergeCell ref="B2:C2"/>
    <mergeCell ref="B3:C3"/>
    <mergeCell ref="B4:C4"/>
    <mergeCell ref="B5:C5"/>
    <mergeCell ref="B7:C7"/>
  </mergeCells>
  <hyperlinks>
    <hyperlink ref="A2" location="Paramètres!A1" display="Paramétrage du système" xr:uid="{BBC8A613-61B5-4A5C-8539-BACDC2EB90C1}"/>
    <hyperlink ref="A3" location="Recherche!A1" display="Résumé par commune" xr:uid="{914287E3-17F7-433D-B4A0-0185864640C0}"/>
    <hyperlink ref="A4" location="Données!A1" display="Données saisies" xr:uid="{13B56647-1FE3-41F8-B3FD-A2001CD5863F}"/>
    <hyperlink ref="A5" location="VPI!A1" display="Valeur du point d'impôt péréquatif (VPI)" xr:uid="{EF64F556-BDED-4A47-92A9-01649819B5F2}"/>
    <hyperlink ref="A8" location="Ecrêtage!A1" display="Détail écrêtage" xr:uid="{30313161-3EA3-413C-A1FF-1AA5DF37EBA6}"/>
    <hyperlink ref="A11" location="Population!A1" display="Population" xr:uid="{EB7AF72B-EF98-4405-8D9C-5649DEA917C0}"/>
    <hyperlink ref="A12" location="Solidarité!A1" display="Solidarité" xr:uid="{B4DEC7AC-11F5-433C-AAFF-E84C5E8125E3}"/>
    <hyperlink ref="A13" location="DT!A1" display="Dépenses thématiques (DT)" xr:uid="{BC6E28BE-1F7A-44E2-B13B-DF9AFD02365B}"/>
    <hyperlink ref="A14" location="Effort!A1" display="Plafond de l'effort" xr:uid="{E66483E2-EF22-4C79-995E-014AC22AF508}"/>
    <hyperlink ref="B14" location="Aide!A1" display="Plafond de l'aide" xr:uid="{7F6E5FE6-8556-4E3B-AA4A-1A5388348FAA}"/>
    <hyperlink ref="A16" location="'Facture policière'!A1" display="Facture policière" xr:uid="{27A18F56-0333-42B2-B4AC-6E784EE84614}"/>
    <hyperlink ref="A18" location="Synthèse!A1" display="Synthèse" xr:uid="{7FC7A801-78C4-4FE0-81C4-0E3F6B07D24F}"/>
    <hyperlink ref="A19" location="'Décompte vs acomptes'!A1" display="Acomptes vs Décompte" xr:uid="{FD8DF11C-672C-4310-A721-79361D41A756}"/>
    <hyperlink ref="C14" location="Taux!A1" display="Plafond du taux" xr:uid="{BC18F71E-E60D-4300-B8D3-91E894DB1FEB}"/>
    <hyperlink ref="A7" location="PCS!A1" display="Participation à la cohésion sociale (PCS)" xr:uid="{E3489D3D-B727-448F-9585-ADA813A95D36}"/>
    <hyperlink ref="A10" location="'Péréquation directe'!A1" display="Péréquation directe" xr:uid="{5FA54ED3-C648-4139-9448-FE897237670D}"/>
  </hyperlinks>
  <pageMargins left="0.25" right="0.25" top="0.75" bottom="0.75" header="0.3" footer="0.3"/>
  <pageSetup paperSize="9" orientation="landscape"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Feuil10">
    <tabColor theme="6" tint="0.39997558519241921"/>
  </sheetPr>
  <dimension ref="A1:L306"/>
  <sheetViews>
    <sheetView workbookViewId="0">
      <pane ySplit="5" topLeftCell="A6" activePane="bottomLeft" state="frozen"/>
      <selection pane="bottomLeft" activeCell="A6" sqref="A6"/>
    </sheetView>
  </sheetViews>
  <sheetFormatPr baseColWidth="10" defaultColWidth="11" defaultRowHeight="15" x14ac:dyDescent="0.25"/>
  <cols>
    <col min="1" max="1" width="7.25" style="11" customWidth="1"/>
    <col min="2" max="2" width="21.25" style="11" customWidth="1"/>
    <col min="3" max="3" width="10.125" style="11" customWidth="1"/>
    <col min="4" max="4" width="20.5" style="11" customWidth="1"/>
    <col min="5" max="5" width="12" style="11" bestFit="1" customWidth="1"/>
    <col min="6" max="6" width="10.625" style="12" customWidth="1"/>
    <col min="7" max="7" width="12.5" style="13" bestFit="1" customWidth="1"/>
    <col min="8" max="8" width="11.125" style="11" bestFit="1" customWidth="1"/>
    <col min="9" max="9" width="13.875" style="5" customWidth="1"/>
    <col min="10" max="16384" width="11" style="11"/>
  </cols>
  <sheetData>
    <row r="1" spans="1:12" s="288" customFormat="1" ht="26.25" x14ac:dyDescent="0.4">
      <c r="A1" s="281" t="s">
        <v>358</v>
      </c>
      <c r="B1" s="286"/>
      <c r="C1" s="287"/>
      <c r="D1" s="287"/>
      <c r="E1" s="411" t="s">
        <v>406</v>
      </c>
      <c r="F1" s="305" t="s">
        <v>398</v>
      </c>
      <c r="G1" s="503" t="s">
        <v>407</v>
      </c>
      <c r="I1" s="289"/>
      <c r="J1" s="386"/>
      <c r="K1" s="386"/>
      <c r="L1" s="386"/>
    </row>
    <row r="2" spans="1:12" s="219" customFormat="1" ht="15.75" customHeight="1" x14ac:dyDescent="0.25">
      <c r="A2" s="358" t="str">
        <f>Paramètres!B4</f>
        <v>Acomptes 2023</v>
      </c>
      <c r="B2" s="32"/>
      <c r="C2" s="60"/>
      <c r="D2" s="60"/>
      <c r="F2" s="238"/>
      <c r="G2" s="239"/>
      <c r="I2" s="5"/>
      <c r="J2" s="393"/>
      <c r="K2" s="393"/>
      <c r="L2" s="393"/>
    </row>
    <row r="3" spans="1:12" ht="26.45" customHeight="1" x14ac:dyDescent="0.25">
      <c r="J3" s="393"/>
      <c r="K3" s="393"/>
      <c r="L3" s="393"/>
    </row>
    <row r="4" spans="1:12" ht="36.75" customHeight="1" x14ac:dyDescent="0.25">
      <c r="A4" s="666" t="s">
        <v>44</v>
      </c>
      <c r="B4" s="666" t="s">
        <v>84</v>
      </c>
      <c r="C4" s="666" t="s">
        <v>257</v>
      </c>
      <c r="D4" s="666" t="s">
        <v>500</v>
      </c>
      <c r="E4" s="313" t="s">
        <v>299</v>
      </c>
      <c r="F4" s="672" t="s">
        <v>71</v>
      </c>
      <c r="G4" s="624" t="s">
        <v>489</v>
      </c>
      <c r="H4" s="666" t="s">
        <v>426</v>
      </c>
      <c r="I4" s="624" t="s">
        <v>505</v>
      </c>
      <c r="J4" s="393"/>
      <c r="K4" s="393"/>
      <c r="L4" s="393"/>
    </row>
    <row r="5" spans="1:12" x14ac:dyDescent="0.25">
      <c r="A5" s="668"/>
      <c r="B5" s="668"/>
      <c r="C5" s="668"/>
      <c r="D5" s="668"/>
      <c r="E5" s="248">
        <f>+Paramètres!B36</f>
        <v>0.27</v>
      </c>
      <c r="F5" s="673"/>
      <c r="G5" s="631"/>
      <c r="H5" s="668"/>
      <c r="I5" s="625"/>
    </row>
    <row r="6" spans="1:12" x14ac:dyDescent="0.25">
      <c r="A6" s="38">
        <f>Données!A6</f>
        <v>5401</v>
      </c>
      <c r="B6" s="27" t="str">
        <f>Données!B6</f>
        <v>Aigle</v>
      </c>
      <c r="C6" s="31">
        <f>Données!Z6</f>
        <v>10828</v>
      </c>
      <c r="D6" s="243">
        <f>Ecrêtage!E6</f>
        <v>25.943526941468619</v>
      </c>
      <c r="E6" s="243">
        <f>IF($D$306-D6&lt;0,0,$D$306-D6)</f>
        <v>21.989305392721562</v>
      </c>
      <c r="F6" s="243">
        <f>+Données!X6</f>
        <v>66</v>
      </c>
      <c r="G6" s="388">
        <f>-((C6*E6*F6)*$E$5)</f>
        <v>-4242945.5424803728</v>
      </c>
      <c r="H6" s="163">
        <f>F6/$F$306</f>
        <v>0.97653214503670782</v>
      </c>
      <c r="I6" s="42">
        <f t="shared" ref="I6" si="0">G6*H6</f>
        <v>-4143372.7118722964</v>
      </c>
    </row>
    <row r="7" spans="1:12" x14ac:dyDescent="0.25">
      <c r="A7" s="38">
        <f>Données!A7</f>
        <v>5402</v>
      </c>
      <c r="B7" s="27" t="str">
        <f>Données!B7</f>
        <v>Bex</v>
      </c>
      <c r="C7" s="31">
        <f>Données!Z7</f>
        <v>8063</v>
      </c>
      <c r="D7" s="243">
        <f>Ecrêtage!E7</f>
        <v>23.895156994303662</v>
      </c>
      <c r="E7" s="243">
        <f t="shared" ref="E7:E70" si="1">IF($D$306-D7&lt;0,0,$D$306-D7)</f>
        <v>24.037675339886519</v>
      </c>
      <c r="F7" s="243">
        <f>+Données!X7</f>
        <v>71</v>
      </c>
      <c r="G7" s="389">
        <f t="shared" ref="G7:G70" si="2">-((C7*E7*F7)*$E$5)</f>
        <v>-3715448.4310097308</v>
      </c>
      <c r="H7" s="163">
        <f t="shared" ref="H7:H70" si="3">F7/$F$306</f>
        <v>1.050511852994034</v>
      </c>
      <c r="I7" s="42">
        <f t="shared" ref="I7:I70" si="4">G7*H7</f>
        <v>-3903122.6159638087</v>
      </c>
    </row>
    <row r="8" spans="1:12" x14ac:dyDescent="0.25">
      <c r="A8" s="38">
        <f>Données!A8</f>
        <v>5403</v>
      </c>
      <c r="B8" s="27" t="str">
        <f>Données!B8</f>
        <v>Chessel</v>
      </c>
      <c r="C8" s="31">
        <f>Données!Z8</f>
        <v>497</v>
      </c>
      <c r="D8" s="243">
        <f>Ecrêtage!E8</f>
        <v>24.316630050573711</v>
      </c>
      <c r="E8" s="243">
        <f t="shared" si="1"/>
        <v>23.61620228361647</v>
      </c>
      <c r="F8" s="243">
        <f>+Données!X8</f>
        <v>74</v>
      </c>
      <c r="G8" s="389">
        <f t="shared" si="2"/>
        <v>-234510.30564844859</v>
      </c>
      <c r="H8" s="163">
        <f t="shared" si="3"/>
        <v>1.0948996777684299</v>
      </c>
      <c r="I8" s="42">
        <f t="shared" si="4"/>
        <v>-256765.25808786237</v>
      </c>
    </row>
    <row r="9" spans="1:12" x14ac:dyDescent="0.25">
      <c r="A9" s="38">
        <f>Données!A9</f>
        <v>5404</v>
      </c>
      <c r="B9" s="27" t="str">
        <f>Données!B9</f>
        <v>Corbeyrier</v>
      </c>
      <c r="C9" s="31">
        <f>Données!Z9</f>
        <v>439</v>
      </c>
      <c r="D9" s="243">
        <f>Ecrêtage!E9</f>
        <v>26.379952594963985</v>
      </c>
      <c r="E9" s="243">
        <f t="shared" si="1"/>
        <v>21.552879739226196</v>
      </c>
      <c r="F9" s="243">
        <f>+Données!X9</f>
        <v>74</v>
      </c>
      <c r="G9" s="389">
        <f t="shared" si="2"/>
        <v>-189045.04982629561</v>
      </c>
      <c r="H9" s="163">
        <f t="shared" si="3"/>
        <v>1.0948996777684299</v>
      </c>
      <c r="I9" s="42">
        <f t="shared" si="4"/>
        <v>-206985.36413852783</v>
      </c>
    </row>
    <row r="10" spans="1:12" x14ac:dyDescent="0.25">
      <c r="A10" s="38">
        <f>Données!A10</f>
        <v>5405</v>
      </c>
      <c r="B10" s="27" t="str">
        <f>Données!B10</f>
        <v>Gryon</v>
      </c>
      <c r="C10" s="31">
        <f>Données!Z10</f>
        <v>1382</v>
      </c>
      <c r="D10" s="243">
        <f>Ecrêtage!E10</f>
        <v>56.517140592850751</v>
      </c>
      <c r="E10" s="243">
        <f t="shared" si="1"/>
        <v>0</v>
      </c>
      <c r="F10" s="243">
        <f>+Données!X10</f>
        <v>73.5</v>
      </c>
      <c r="G10" s="389">
        <f t="shared" si="2"/>
        <v>0</v>
      </c>
      <c r="H10" s="163">
        <f t="shared" si="3"/>
        <v>1.0875017069726973</v>
      </c>
      <c r="I10" s="42">
        <f t="shared" si="4"/>
        <v>0</v>
      </c>
    </row>
    <row r="11" spans="1:12" x14ac:dyDescent="0.25">
      <c r="A11" s="38">
        <f>Données!A11</f>
        <v>5406</v>
      </c>
      <c r="B11" s="27" t="str">
        <f>Données!B11</f>
        <v>Lavey-Morcles</v>
      </c>
      <c r="C11" s="31">
        <f>Données!Z11</f>
        <v>966</v>
      </c>
      <c r="D11" s="243">
        <f>Ecrêtage!E11</f>
        <v>22.268972855461154</v>
      </c>
      <c r="E11" s="243">
        <f t="shared" si="1"/>
        <v>25.663859478729027</v>
      </c>
      <c r="F11" s="243">
        <f>+Données!X11</f>
        <v>71.5</v>
      </c>
      <c r="G11" s="389">
        <f t="shared" si="2"/>
        <v>-478595.81979081052</v>
      </c>
      <c r="H11" s="163">
        <f t="shared" si="3"/>
        <v>1.0579098237897668</v>
      </c>
      <c r="I11" s="42">
        <f t="shared" si="4"/>
        <v>-506311.21938141534</v>
      </c>
    </row>
    <row r="12" spans="1:12" x14ac:dyDescent="0.25">
      <c r="A12" s="38">
        <f>Données!A12</f>
        <v>5407</v>
      </c>
      <c r="B12" s="27" t="str">
        <f>Données!B12</f>
        <v>Leysin</v>
      </c>
      <c r="C12" s="31">
        <f>Données!Z12</f>
        <v>3637</v>
      </c>
      <c r="D12" s="243">
        <f>Ecrêtage!E12</f>
        <v>24.931979395058857</v>
      </c>
      <c r="E12" s="243">
        <f t="shared" si="1"/>
        <v>23.000852939131324</v>
      </c>
      <c r="F12" s="243">
        <f>+Données!X12</f>
        <v>78</v>
      </c>
      <c r="G12" s="389">
        <f t="shared" si="2"/>
        <v>-1761755.3910604105</v>
      </c>
      <c r="H12" s="163">
        <f t="shared" si="3"/>
        <v>1.1540834441342911</v>
      </c>
      <c r="I12" s="42">
        <f t="shared" si="4"/>
        <v>-2033212.7294371536</v>
      </c>
    </row>
    <row r="13" spans="1:12" x14ac:dyDescent="0.25">
      <c r="A13" s="38">
        <f>Données!A13</f>
        <v>5408</v>
      </c>
      <c r="B13" s="27" t="str">
        <f>Données!B13</f>
        <v>Noville</v>
      </c>
      <c r="C13" s="31">
        <f>Données!Z13</f>
        <v>1169</v>
      </c>
      <c r="D13" s="243">
        <f>Ecrêtage!E13</f>
        <v>35.39682505780069</v>
      </c>
      <c r="E13" s="243">
        <f t="shared" si="1"/>
        <v>12.536007276389491</v>
      </c>
      <c r="F13" s="243">
        <f>+Données!X13</f>
        <v>78.5</v>
      </c>
      <c r="G13" s="389">
        <f t="shared" si="2"/>
        <v>-310604.08816677501</v>
      </c>
      <c r="H13" s="163">
        <f t="shared" si="3"/>
        <v>1.1614814149300237</v>
      </c>
      <c r="I13" s="42">
        <f t="shared" si="4"/>
        <v>-360760.87580699567</v>
      </c>
    </row>
    <row r="14" spans="1:12" x14ac:dyDescent="0.25">
      <c r="A14" s="38">
        <f>Données!A14</f>
        <v>5409</v>
      </c>
      <c r="B14" s="27" t="str">
        <f>Données!B14</f>
        <v>Ollon</v>
      </c>
      <c r="C14" s="31">
        <f>Données!Z14</f>
        <v>7904</v>
      </c>
      <c r="D14" s="243">
        <f>Ecrêtage!E14</f>
        <v>54.178114507861309</v>
      </c>
      <c r="E14" s="243">
        <f t="shared" si="1"/>
        <v>0</v>
      </c>
      <c r="F14" s="243">
        <f>+Données!X14</f>
        <v>68</v>
      </c>
      <c r="G14" s="389">
        <f t="shared" si="2"/>
        <v>0</v>
      </c>
      <c r="H14" s="163">
        <f t="shared" si="3"/>
        <v>1.0061240282196384</v>
      </c>
      <c r="I14" s="42">
        <f t="shared" si="4"/>
        <v>0</v>
      </c>
    </row>
    <row r="15" spans="1:12" x14ac:dyDescent="0.25">
      <c r="A15" s="38">
        <f>Données!A15</f>
        <v>5410</v>
      </c>
      <c r="B15" s="27" t="str">
        <f>Données!B15</f>
        <v>Ormont-Dessous</v>
      </c>
      <c r="C15" s="31">
        <f>Données!Z15</f>
        <v>1162</v>
      </c>
      <c r="D15" s="243">
        <f>Ecrêtage!E15</f>
        <v>33.229688065806826</v>
      </c>
      <c r="E15" s="243">
        <f t="shared" si="1"/>
        <v>14.703144268383355</v>
      </c>
      <c r="F15" s="243">
        <f>+Données!X15</f>
        <v>77</v>
      </c>
      <c r="G15" s="389">
        <f t="shared" si="2"/>
        <v>-355198.26517271966</v>
      </c>
      <c r="H15" s="163">
        <f t="shared" si="3"/>
        <v>1.1392875025428257</v>
      </c>
      <c r="I15" s="42">
        <f t="shared" si="4"/>
        <v>-404672.94443617214</v>
      </c>
    </row>
    <row r="16" spans="1:12" x14ac:dyDescent="0.25">
      <c r="A16" s="38">
        <f>Données!A16</f>
        <v>5411</v>
      </c>
      <c r="B16" s="27" t="str">
        <f>Données!B16</f>
        <v>Ormont-Dessus</v>
      </c>
      <c r="C16" s="31">
        <f>Données!Z16</f>
        <v>1451</v>
      </c>
      <c r="D16" s="243">
        <f>Ecrêtage!E16</f>
        <v>53.347134674211375</v>
      </c>
      <c r="E16" s="243">
        <f t="shared" si="1"/>
        <v>0</v>
      </c>
      <c r="F16" s="243">
        <f>+Données!X16</f>
        <v>76</v>
      </c>
      <c r="G16" s="389">
        <f t="shared" si="2"/>
        <v>0</v>
      </c>
      <c r="H16" s="163">
        <f t="shared" si="3"/>
        <v>1.1244915609513604</v>
      </c>
      <c r="I16" s="42">
        <f t="shared" si="4"/>
        <v>0</v>
      </c>
    </row>
    <row r="17" spans="1:9" x14ac:dyDescent="0.25">
      <c r="A17" s="38">
        <f>Données!A17</f>
        <v>5412</v>
      </c>
      <c r="B17" s="27" t="str">
        <f>Données!B17</f>
        <v>Rennaz</v>
      </c>
      <c r="C17" s="31">
        <f>Données!Z17</f>
        <v>883</v>
      </c>
      <c r="D17" s="243">
        <f>Ecrêtage!E17</f>
        <v>32.691844338306495</v>
      </c>
      <c r="E17" s="243">
        <f t="shared" si="1"/>
        <v>15.240987995883685</v>
      </c>
      <c r="F17" s="243">
        <f>+Données!X17</f>
        <v>69</v>
      </c>
      <c r="G17" s="389">
        <f t="shared" si="2"/>
        <v>-250718.67241880545</v>
      </c>
      <c r="H17" s="163">
        <f t="shared" si="3"/>
        <v>1.0209199698111036</v>
      </c>
      <c r="I17" s="42">
        <f t="shared" si="4"/>
        <v>-255963.69947688683</v>
      </c>
    </row>
    <row r="18" spans="1:9" x14ac:dyDescent="0.25">
      <c r="A18" s="38">
        <f>Données!A18</f>
        <v>5413</v>
      </c>
      <c r="B18" s="27" t="str">
        <f>Données!B18</f>
        <v>Roche</v>
      </c>
      <c r="C18" s="31">
        <f>Données!Z18</f>
        <v>1874</v>
      </c>
      <c r="D18" s="243">
        <f>Ecrêtage!E18</f>
        <v>23.021178628601916</v>
      </c>
      <c r="E18" s="243">
        <f t="shared" si="1"/>
        <v>24.911653705588265</v>
      </c>
      <c r="F18" s="243">
        <f>+Données!X18</f>
        <v>68</v>
      </c>
      <c r="G18" s="389">
        <f t="shared" si="2"/>
        <v>-857126.30085284146</v>
      </c>
      <c r="H18" s="163">
        <f t="shared" si="3"/>
        <v>1.0061240282196384</v>
      </c>
      <c r="I18" s="42">
        <f t="shared" si="4"/>
        <v>-862375.36650705861</v>
      </c>
    </row>
    <row r="19" spans="1:9" x14ac:dyDescent="0.25">
      <c r="A19" s="38">
        <f>Données!A19</f>
        <v>5414</v>
      </c>
      <c r="B19" s="27" t="str">
        <f>Données!B19</f>
        <v>Villeneuve</v>
      </c>
      <c r="C19" s="31">
        <f>Données!Z19</f>
        <v>5921</v>
      </c>
      <c r="D19" s="243">
        <f>Ecrêtage!E19</f>
        <v>31.350101972264447</v>
      </c>
      <c r="E19" s="243">
        <f t="shared" si="1"/>
        <v>16.582730361925734</v>
      </c>
      <c r="F19" s="243">
        <f>+Données!X19</f>
        <v>67.5</v>
      </c>
      <c r="G19" s="389">
        <f t="shared" si="2"/>
        <v>-1789446.1644697376</v>
      </c>
      <c r="H19" s="163">
        <f t="shared" si="3"/>
        <v>0.99872605742390563</v>
      </c>
      <c r="I19" s="42">
        <f t="shared" si="4"/>
        <v>-1787166.5128131907</v>
      </c>
    </row>
    <row r="20" spans="1:9" x14ac:dyDescent="0.25">
      <c r="A20" s="38">
        <f>Données!A20</f>
        <v>5415</v>
      </c>
      <c r="B20" s="27" t="str">
        <f>Données!B20</f>
        <v>Yvorne</v>
      </c>
      <c r="C20" s="31">
        <f>Données!Z20</f>
        <v>1038</v>
      </c>
      <c r="D20" s="243">
        <f>Ecrêtage!E20</f>
        <v>34.590239927060722</v>
      </c>
      <c r="E20" s="243">
        <f t="shared" si="1"/>
        <v>13.342592407129459</v>
      </c>
      <c r="F20" s="243">
        <f>+Données!X20</f>
        <v>71.5</v>
      </c>
      <c r="G20" s="389">
        <f t="shared" si="2"/>
        <v>-267366.73878358031</v>
      </c>
      <c r="H20" s="163">
        <f t="shared" si="3"/>
        <v>1.0579098237897668</v>
      </c>
      <c r="I20" s="42">
        <f t="shared" si="4"/>
        <v>-282849.89951378206</v>
      </c>
    </row>
    <row r="21" spans="1:9" x14ac:dyDescent="0.25">
      <c r="A21" s="38">
        <f>Données!A21</f>
        <v>5422</v>
      </c>
      <c r="B21" s="27" t="str">
        <f>Données!B21</f>
        <v>Aubonne</v>
      </c>
      <c r="C21" s="31">
        <f>Données!Z21</f>
        <v>3781</v>
      </c>
      <c r="D21" s="243">
        <f>Ecrêtage!E21</f>
        <v>81.202755355725998</v>
      </c>
      <c r="E21" s="243">
        <f t="shared" si="1"/>
        <v>0</v>
      </c>
      <c r="F21" s="243">
        <f>+Données!X21</f>
        <v>70</v>
      </c>
      <c r="G21" s="389">
        <f t="shared" si="2"/>
        <v>0</v>
      </c>
      <c r="H21" s="163">
        <f t="shared" si="3"/>
        <v>1.0357159114025689</v>
      </c>
      <c r="I21" s="42">
        <f t="shared" si="4"/>
        <v>0</v>
      </c>
    </row>
    <row r="22" spans="1:9" x14ac:dyDescent="0.25">
      <c r="A22" s="38">
        <f>Données!A22</f>
        <v>5423</v>
      </c>
      <c r="B22" s="27" t="str">
        <f>Données!B22</f>
        <v>Ballens</v>
      </c>
      <c r="C22" s="31">
        <f>Données!Z22</f>
        <v>567</v>
      </c>
      <c r="D22" s="243">
        <f>Ecrêtage!E22</f>
        <v>28.560989828706717</v>
      </c>
      <c r="E22" s="243">
        <f t="shared" si="1"/>
        <v>19.371842505483464</v>
      </c>
      <c r="F22" s="243">
        <f>+Données!X22</f>
        <v>73</v>
      </c>
      <c r="G22" s="389">
        <f t="shared" si="2"/>
        <v>-216491.38194900588</v>
      </c>
      <c r="H22" s="163">
        <f t="shared" si="3"/>
        <v>1.0801037361769648</v>
      </c>
      <c r="I22" s="42">
        <f t="shared" si="4"/>
        <v>-233833.15049323556</v>
      </c>
    </row>
    <row r="23" spans="1:9" x14ac:dyDescent="0.25">
      <c r="A23" s="38">
        <f>Données!A23</f>
        <v>5424</v>
      </c>
      <c r="B23" s="27" t="str">
        <f>Données!B23</f>
        <v>Berolle</v>
      </c>
      <c r="C23" s="31">
        <f>Données!Z23</f>
        <v>308</v>
      </c>
      <c r="D23" s="243">
        <f>Ecrêtage!E23</f>
        <v>26.953671196353316</v>
      </c>
      <c r="E23" s="243">
        <f t="shared" si="1"/>
        <v>20.979161137836865</v>
      </c>
      <c r="F23" s="243">
        <f>+Données!X23</f>
        <v>75.5</v>
      </c>
      <c r="G23" s="389">
        <f t="shared" si="2"/>
        <v>-131719.34153679979</v>
      </c>
      <c r="H23" s="163">
        <f t="shared" si="3"/>
        <v>1.1170935901556278</v>
      </c>
      <c r="I23" s="42">
        <f t="shared" si="4"/>
        <v>-147142.83213027898</v>
      </c>
    </row>
    <row r="24" spans="1:9" x14ac:dyDescent="0.25">
      <c r="A24" s="38">
        <f>Données!A24</f>
        <v>5425</v>
      </c>
      <c r="B24" s="27" t="str">
        <f>Données!B24</f>
        <v>Bière</v>
      </c>
      <c r="C24" s="31">
        <f>Données!Z24</f>
        <v>1634</v>
      </c>
      <c r="D24" s="243">
        <f>Ecrêtage!E24</f>
        <v>27.059922933270208</v>
      </c>
      <c r="E24" s="243">
        <f t="shared" si="1"/>
        <v>20.872909400919973</v>
      </c>
      <c r="F24" s="243">
        <f>+Données!X24</f>
        <v>69</v>
      </c>
      <c r="G24" s="389">
        <f t="shared" si="2"/>
        <v>-635401.0016953533</v>
      </c>
      <c r="H24" s="163">
        <f t="shared" si="3"/>
        <v>1.0209199698111036</v>
      </c>
      <c r="I24" s="42">
        <f t="shared" si="4"/>
        <v>-648693.57146876503</v>
      </c>
    </row>
    <row r="25" spans="1:9" x14ac:dyDescent="0.25">
      <c r="A25" s="38">
        <f>Données!A25</f>
        <v>5426</v>
      </c>
      <c r="B25" s="27" t="str">
        <f>Données!B25</f>
        <v>Bougy-Villars</v>
      </c>
      <c r="C25" s="31">
        <f>Données!Z25</f>
        <v>497</v>
      </c>
      <c r="D25" s="243">
        <f>Ecrêtage!E25</f>
        <v>106.72704844051388</v>
      </c>
      <c r="E25" s="243">
        <f t="shared" si="1"/>
        <v>0</v>
      </c>
      <c r="F25" s="243">
        <f>+Données!X25</f>
        <v>64.5</v>
      </c>
      <c r="G25" s="389">
        <f t="shared" si="2"/>
        <v>0</v>
      </c>
      <c r="H25" s="163">
        <f t="shared" si="3"/>
        <v>0.9543382326495099</v>
      </c>
      <c r="I25" s="42">
        <f t="shared" si="4"/>
        <v>0</v>
      </c>
    </row>
    <row r="26" spans="1:9" x14ac:dyDescent="0.25">
      <c r="A26" s="38">
        <f>Données!A26</f>
        <v>5427</v>
      </c>
      <c r="B26" s="27" t="str">
        <f>Données!B26</f>
        <v>Féchy</v>
      </c>
      <c r="C26" s="31">
        <f>Données!Z26</f>
        <v>893</v>
      </c>
      <c r="D26" s="243">
        <f>Ecrêtage!E26</f>
        <v>98.781444192006219</v>
      </c>
      <c r="E26" s="243">
        <f t="shared" si="1"/>
        <v>0</v>
      </c>
      <c r="F26" s="243">
        <f>+Données!X26</f>
        <v>64</v>
      </c>
      <c r="G26" s="389">
        <f t="shared" si="2"/>
        <v>0</v>
      </c>
      <c r="H26" s="163">
        <f t="shared" si="3"/>
        <v>0.94694026185377722</v>
      </c>
      <c r="I26" s="42">
        <f t="shared" si="4"/>
        <v>0</v>
      </c>
    </row>
    <row r="27" spans="1:9" x14ac:dyDescent="0.25">
      <c r="A27" s="38">
        <f>Données!A27</f>
        <v>5428</v>
      </c>
      <c r="B27" s="27" t="str">
        <f>Données!B27</f>
        <v>Gimel</v>
      </c>
      <c r="C27" s="31">
        <f>Données!Z27</f>
        <v>2402</v>
      </c>
      <c r="D27" s="243">
        <f>Ecrêtage!E27</f>
        <v>29.374529819483016</v>
      </c>
      <c r="E27" s="243">
        <f t="shared" si="1"/>
        <v>18.558302514707165</v>
      </c>
      <c r="F27" s="243">
        <f>+Données!X27</f>
        <v>74.5</v>
      </c>
      <c r="G27" s="389">
        <f t="shared" si="2"/>
        <v>-896667.21271016973</v>
      </c>
      <c r="H27" s="163">
        <f t="shared" si="3"/>
        <v>1.1022976485641625</v>
      </c>
      <c r="I27" s="42">
        <f t="shared" si="4"/>
        <v>-988394.16011500172</v>
      </c>
    </row>
    <row r="28" spans="1:9" x14ac:dyDescent="0.25">
      <c r="A28" s="38">
        <f>Données!A28</f>
        <v>5429</v>
      </c>
      <c r="B28" s="27" t="str">
        <f>Données!B28</f>
        <v>Longirod</v>
      </c>
      <c r="C28" s="31">
        <f>Données!Z28</f>
        <v>520</v>
      </c>
      <c r="D28" s="243">
        <f>Ecrêtage!E28</f>
        <v>35.719090570719594</v>
      </c>
      <c r="E28" s="243">
        <f t="shared" si="1"/>
        <v>12.213741763470587</v>
      </c>
      <c r="F28" s="243">
        <f>+Données!X28</f>
        <v>77.5</v>
      </c>
      <c r="G28" s="389">
        <f t="shared" si="2"/>
        <v>-132897.72412832346</v>
      </c>
      <c r="H28" s="163">
        <f t="shared" si="3"/>
        <v>1.1466854733385583</v>
      </c>
      <c r="I28" s="42">
        <f t="shared" si="4"/>
        <v>-152391.88969770374</v>
      </c>
    </row>
    <row r="29" spans="1:9" x14ac:dyDescent="0.25">
      <c r="A29" s="38">
        <f>Données!A29</f>
        <v>5430</v>
      </c>
      <c r="B29" s="27" t="str">
        <f>Données!B29</f>
        <v>Marchissy</v>
      </c>
      <c r="C29" s="31">
        <f>Données!Z29</f>
        <v>485</v>
      </c>
      <c r="D29" s="243">
        <f>Ecrêtage!E29</f>
        <v>32.124959361489864</v>
      </c>
      <c r="E29" s="243">
        <f t="shared" si="1"/>
        <v>15.807872972700316</v>
      </c>
      <c r="F29" s="243">
        <f>+Données!X29</f>
        <v>77.5</v>
      </c>
      <c r="G29" s="389">
        <f t="shared" si="2"/>
        <v>-160428.17484757074</v>
      </c>
      <c r="H29" s="163">
        <f t="shared" si="3"/>
        <v>1.1466854733385583</v>
      </c>
      <c r="I29" s="42">
        <f t="shared" si="4"/>
        <v>-183960.65761192766</v>
      </c>
    </row>
    <row r="30" spans="1:9" x14ac:dyDescent="0.25">
      <c r="A30" s="38">
        <f>Données!A30</f>
        <v>5431</v>
      </c>
      <c r="B30" s="27" t="str">
        <f>Données!B30</f>
        <v>Mollens</v>
      </c>
      <c r="C30" s="31">
        <f>Données!Z30</f>
        <v>319</v>
      </c>
      <c r="D30" s="243">
        <f>Ecrêtage!E30</f>
        <v>32.805443107684482</v>
      </c>
      <c r="E30" s="243">
        <f t="shared" si="1"/>
        <v>15.127389226505699</v>
      </c>
      <c r="F30" s="243">
        <f>+Données!X30</f>
        <v>74</v>
      </c>
      <c r="G30" s="389">
        <f t="shared" si="2"/>
        <v>-96416.230521841266</v>
      </c>
      <c r="H30" s="163">
        <f t="shared" si="3"/>
        <v>1.0948996777684299</v>
      </c>
      <c r="I30" s="42">
        <f t="shared" si="4"/>
        <v>-105566.09973001065</v>
      </c>
    </row>
    <row r="31" spans="1:9" x14ac:dyDescent="0.25">
      <c r="A31" s="38">
        <f>Données!A31</f>
        <v>5434</v>
      </c>
      <c r="B31" s="27" t="str">
        <f>Données!B31</f>
        <v>Saint-George</v>
      </c>
      <c r="C31" s="31">
        <f>Données!Z31</f>
        <v>1072</v>
      </c>
      <c r="D31" s="243">
        <f>Ecrêtage!E31</f>
        <v>40.619345426643761</v>
      </c>
      <c r="E31" s="243">
        <f t="shared" si="1"/>
        <v>7.3134869075464195</v>
      </c>
      <c r="F31" s="243">
        <f>+Données!X31</f>
        <v>69.5</v>
      </c>
      <c r="G31" s="389">
        <f t="shared" si="2"/>
        <v>-147118.68771115638</v>
      </c>
      <c r="H31" s="163">
        <f t="shared" si="3"/>
        <v>1.0283179406068361</v>
      </c>
      <c r="I31" s="42">
        <f t="shared" si="4"/>
        <v>-151284.78597191657</v>
      </c>
    </row>
    <row r="32" spans="1:9" x14ac:dyDescent="0.25">
      <c r="A32" s="38">
        <f>Données!A32</f>
        <v>5435</v>
      </c>
      <c r="B32" s="27" t="str">
        <f>Données!B32</f>
        <v>Saint-Livres</v>
      </c>
      <c r="C32" s="31">
        <f>Données!Z32</f>
        <v>674</v>
      </c>
      <c r="D32" s="243">
        <f>Ecrêtage!E32</f>
        <v>38.358790263621906</v>
      </c>
      <c r="E32" s="243">
        <f t="shared" si="1"/>
        <v>9.5740420705682752</v>
      </c>
      <c r="F32" s="243">
        <f>+Données!X32</f>
        <v>69</v>
      </c>
      <c r="G32" s="389">
        <f t="shared" si="2"/>
        <v>-120217.60814413903</v>
      </c>
      <c r="H32" s="163">
        <f t="shared" si="3"/>
        <v>1.0209199698111036</v>
      </c>
      <c r="I32" s="42">
        <f t="shared" si="4"/>
        <v>-122732.55687727749</v>
      </c>
    </row>
    <row r="33" spans="1:9" x14ac:dyDescent="0.25">
      <c r="A33" s="38">
        <f>Données!A33</f>
        <v>5436</v>
      </c>
      <c r="B33" s="27" t="str">
        <f>Données!B33</f>
        <v>Saint-Oyens</v>
      </c>
      <c r="C33" s="31">
        <f>Données!Z33</f>
        <v>458</v>
      </c>
      <c r="D33" s="243">
        <f>Ecrêtage!E33</f>
        <v>36.830033155426172</v>
      </c>
      <c r="E33" s="243">
        <f t="shared" si="1"/>
        <v>11.102799178764009</v>
      </c>
      <c r="F33" s="243">
        <f>+Données!X33</f>
        <v>81</v>
      </c>
      <c r="G33" s="389">
        <f t="shared" si="2"/>
        <v>-111210.74386212254</v>
      </c>
      <c r="H33" s="163">
        <f t="shared" si="3"/>
        <v>1.1984712689086867</v>
      </c>
      <c r="I33" s="42">
        <f t="shared" si="4"/>
        <v>-133282.88131271696</v>
      </c>
    </row>
    <row r="34" spans="1:9" x14ac:dyDescent="0.25">
      <c r="A34" s="38">
        <f>Données!A34</f>
        <v>5437</v>
      </c>
      <c r="B34" s="27" t="str">
        <f>Données!B34</f>
        <v>Saubraz</v>
      </c>
      <c r="C34" s="31">
        <f>Données!Z34</f>
        <v>444</v>
      </c>
      <c r="D34" s="243">
        <f>Ecrêtage!E34</f>
        <v>30.52054814189189</v>
      </c>
      <c r="E34" s="243">
        <f t="shared" si="1"/>
        <v>17.412284192298291</v>
      </c>
      <c r="F34" s="243">
        <f>+Données!X34</f>
        <v>80</v>
      </c>
      <c r="G34" s="389">
        <f t="shared" si="2"/>
        <v>-166990.77031781754</v>
      </c>
      <c r="H34" s="163">
        <f t="shared" si="3"/>
        <v>1.1836753273172216</v>
      </c>
      <c r="I34" s="42">
        <f t="shared" si="4"/>
        <v>-197662.85471489766</v>
      </c>
    </row>
    <row r="35" spans="1:9" x14ac:dyDescent="0.25">
      <c r="A35" s="38">
        <f>Données!A35</f>
        <v>5451</v>
      </c>
      <c r="B35" s="27" t="str">
        <f>Données!B35</f>
        <v>Avenches</v>
      </c>
      <c r="C35" s="31">
        <f>Données!Z35</f>
        <v>4616</v>
      </c>
      <c r="D35" s="243">
        <f>Ecrêtage!E35</f>
        <v>29.850278545149706</v>
      </c>
      <c r="E35" s="243">
        <f t="shared" si="1"/>
        <v>18.082553789040475</v>
      </c>
      <c r="F35" s="243">
        <f>+Données!X35</f>
        <v>66.5</v>
      </c>
      <c r="G35" s="389">
        <f t="shared" si="2"/>
        <v>-1498687.1211507355</v>
      </c>
      <c r="H35" s="163">
        <f t="shared" si="3"/>
        <v>0.98393011583244039</v>
      </c>
      <c r="I35" s="42">
        <f t="shared" si="4"/>
        <v>-1474603.3927104298</v>
      </c>
    </row>
    <row r="36" spans="1:9" x14ac:dyDescent="0.25">
      <c r="A36" s="38">
        <f>Données!A36</f>
        <v>5456</v>
      </c>
      <c r="B36" s="27" t="str">
        <f>Données!B36</f>
        <v>Cudrefin</v>
      </c>
      <c r="C36" s="31">
        <f>Données!Z36</f>
        <v>1836</v>
      </c>
      <c r="D36" s="243">
        <f>Ecrêtage!E36</f>
        <v>34.936016856836893</v>
      </c>
      <c r="E36" s="243">
        <f t="shared" si="1"/>
        <v>12.996815477353287</v>
      </c>
      <c r="F36" s="243">
        <f>+Données!X36</f>
        <v>59</v>
      </c>
      <c r="G36" s="389">
        <f t="shared" si="2"/>
        <v>-380124.1007375808</v>
      </c>
      <c r="H36" s="163">
        <f t="shared" si="3"/>
        <v>0.87296055389645089</v>
      </c>
      <c r="I36" s="42">
        <f t="shared" si="4"/>
        <v>-331833.34552926884</v>
      </c>
    </row>
    <row r="37" spans="1:9" x14ac:dyDescent="0.25">
      <c r="A37" s="38">
        <f>Données!A37</f>
        <v>5458</v>
      </c>
      <c r="B37" s="27" t="str">
        <f>Données!B37</f>
        <v>Faoug</v>
      </c>
      <c r="C37" s="31">
        <f>Données!Z37</f>
        <v>866</v>
      </c>
      <c r="D37" s="243">
        <f>Ecrêtage!E37</f>
        <v>40.092356901758748</v>
      </c>
      <c r="E37" s="243">
        <f t="shared" si="1"/>
        <v>7.8404754324314325</v>
      </c>
      <c r="F37" s="243">
        <f>+Données!X37</f>
        <v>65</v>
      </c>
      <c r="G37" s="389">
        <f t="shared" si="2"/>
        <v>-119161.89776472264</v>
      </c>
      <c r="H37" s="163">
        <f t="shared" si="3"/>
        <v>0.96173620344524247</v>
      </c>
      <c r="I37" s="42">
        <f t="shared" si="4"/>
        <v>-114602.31115157448</v>
      </c>
    </row>
    <row r="38" spans="1:9" x14ac:dyDescent="0.25">
      <c r="A38" s="38">
        <f>Données!A38</f>
        <v>5464</v>
      </c>
      <c r="B38" s="27" t="str">
        <f>Données!B38</f>
        <v>Vully-les-Lacs</v>
      </c>
      <c r="C38" s="31">
        <f>Données!Z38</f>
        <v>3465</v>
      </c>
      <c r="D38" s="243">
        <f>Ecrêtage!E38</f>
        <v>34.391595485774594</v>
      </c>
      <c r="E38" s="243">
        <f t="shared" si="1"/>
        <v>13.541236848415586</v>
      </c>
      <c r="F38" s="243">
        <f>+Données!X38</f>
        <v>67</v>
      </c>
      <c r="G38" s="389">
        <f t="shared" si="2"/>
        <v>-848789.77694685862</v>
      </c>
      <c r="H38" s="163">
        <f t="shared" si="3"/>
        <v>0.99132808662817307</v>
      </c>
      <c r="I38" s="42">
        <f t="shared" si="4"/>
        <v>-841429.1455302831</v>
      </c>
    </row>
    <row r="39" spans="1:9" x14ac:dyDescent="0.25">
      <c r="A39" s="38">
        <f>Données!A39</f>
        <v>5471</v>
      </c>
      <c r="B39" s="27" t="str">
        <f>Données!B39</f>
        <v>Bettens</v>
      </c>
      <c r="C39" s="31">
        <f>Données!Z39</f>
        <v>626</v>
      </c>
      <c r="D39" s="243">
        <f>Ecrêtage!E39</f>
        <v>36.561057939043565</v>
      </c>
      <c r="E39" s="243">
        <f t="shared" si="1"/>
        <v>11.371774395146616</v>
      </c>
      <c r="F39" s="243">
        <f>+Données!X39</f>
        <v>70</v>
      </c>
      <c r="G39" s="389">
        <f t="shared" si="2"/>
        <v>-134544.0115787377</v>
      </c>
      <c r="H39" s="163">
        <f t="shared" si="3"/>
        <v>1.0357159114025689</v>
      </c>
      <c r="I39" s="42">
        <f t="shared" si="4"/>
        <v>-139349.37357603011</v>
      </c>
    </row>
    <row r="40" spans="1:9" x14ac:dyDescent="0.25">
      <c r="A40" s="38">
        <f>Données!A40</f>
        <v>5472</v>
      </c>
      <c r="B40" s="27" t="str">
        <f>Données!B40</f>
        <v>Bournens</v>
      </c>
      <c r="C40" s="31">
        <f>Données!Z40</f>
        <v>507</v>
      </c>
      <c r="D40" s="243">
        <f>Ecrêtage!E40</f>
        <v>43.738678227043607</v>
      </c>
      <c r="E40" s="243">
        <f t="shared" si="1"/>
        <v>4.1941541071465736</v>
      </c>
      <c r="F40" s="243">
        <f>+Données!X40</f>
        <v>72</v>
      </c>
      <c r="G40" s="389">
        <f t="shared" si="2"/>
        <v>-41337.918412365208</v>
      </c>
      <c r="H40" s="163">
        <f t="shared" si="3"/>
        <v>1.0653077945854994</v>
      </c>
      <c r="I40" s="42">
        <f t="shared" si="4"/>
        <v>-44037.606696632087</v>
      </c>
    </row>
    <row r="41" spans="1:9" x14ac:dyDescent="0.25">
      <c r="A41" s="38">
        <f>Données!A41</f>
        <v>5473</v>
      </c>
      <c r="B41" s="27" t="str">
        <f>Données!B41</f>
        <v>Boussens</v>
      </c>
      <c r="C41" s="31">
        <f>Données!Z41</f>
        <v>1001</v>
      </c>
      <c r="D41" s="243">
        <f>Ecrêtage!E41</f>
        <v>37.02107078107079</v>
      </c>
      <c r="E41" s="243">
        <f t="shared" si="1"/>
        <v>10.911761553119391</v>
      </c>
      <c r="F41" s="243">
        <f>+Données!X41</f>
        <v>67.5</v>
      </c>
      <c r="G41" s="389">
        <f t="shared" si="2"/>
        <v>-199065.72115990648</v>
      </c>
      <c r="H41" s="163">
        <f t="shared" si="3"/>
        <v>0.99872605742390563</v>
      </c>
      <c r="I41" s="42">
        <f t="shared" si="4"/>
        <v>-198812.12286227994</v>
      </c>
    </row>
    <row r="42" spans="1:9" x14ac:dyDescent="0.25">
      <c r="A42" s="38">
        <f>Données!A42</f>
        <v>5474</v>
      </c>
      <c r="B42" s="27" t="str">
        <f>Données!B42</f>
        <v>La Chaux (Cossonay)</v>
      </c>
      <c r="C42" s="31">
        <f>Données!Z42</f>
        <v>398</v>
      </c>
      <c r="D42" s="243">
        <f>Ecrêtage!E42</f>
        <v>32.4230334787975</v>
      </c>
      <c r="E42" s="243">
        <f t="shared" si="1"/>
        <v>15.509798855392681</v>
      </c>
      <c r="F42" s="243">
        <f>+Données!X42</f>
        <v>76</v>
      </c>
      <c r="G42" s="389">
        <f t="shared" si="2"/>
        <v>-126667.90686003782</v>
      </c>
      <c r="H42" s="163">
        <f t="shared" si="3"/>
        <v>1.1244915609513604</v>
      </c>
      <c r="I42" s="42">
        <f t="shared" si="4"/>
        <v>-142436.99230748546</v>
      </c>
    </row>
    <row r="43" spans="1:9" x14ac:dyDescent="0.25">
      <c r="A43" s="38">
        <f>Données!A43</f>
        <v>5475</v>
      </c>
      <c r="B43" s="27" t="str">
        <f>Données!B43</f>
        <v>Chavannes-le-Veyron</v>
      </c>
      <c r="C43" s="31">
        <f>Données!Z43</f>
        <v>155</v>
      </c>
      <c r="D43" s="243">
        <f>Ecrêtage!E43</f>
        <v>27.595203440860214</v>
      </c>
      <c r="E43" s="243">
        <f t="shared" si="1"/>
        <v>20.337628893329967</v>
      </c>
      <c r="F43" s="243">
        <f>+Données!X43</f>
        <v>75</v>
      </c>
      <c r="G43" s="389">
        <f t="shared" si="2"/>
        <v>-63834.732688939439</v>
      </c>
      <c r="H43" s="163">
        <f t="shared" si="3"/>
        <v>1.1096956193598952</v>
      </c>
      <c r="I43" s="42">
        <f t="shared" si="4"/>
        <v>-70837.123227926</v>
      </c>
    </row>
    <row r="44" spans="1:9" x14ac:dyDescent="0.25">
      <c r="A44" s="38">
        <f>Données!A44</f>
        <v>5476</v>
      </c>
      <c r="B44" s="27" t="str">
        <f>Données!B44</f>
        <v>Chevilly</v>
      </c>
      <c r="C44" s="31">
        <f>Données!Z44</f>
        <v>322</v>
      </c>
      <c r="D44" s="243">
        <f>Ecrêtage!E44</f>
        <v>37.5204776183337</v>
      </c>
      <c r="E44" s="243">
        <f t="shared" si="1"/>
        <v>10.41235471585648</v>
      </c>
      <c r="F44" s="243">
        <f>+Données!X44</f>
        <v>72.5</v>
      </c>
      <c r="G44" s="389">
        <f t="shared" si="2"/>
        <v>-65630.633627250776</v>
      </c>
      <c r="H44" s="163">
        <f t="shared" si="3"/>
        <v>1.072705765381232</v>
      </c>
      <c r="I44" s="42">
        <f t="shared" si="4"/>
        <v>-70402.359077575267</v>
      </c>
    </row>
    <row r="45" spans="1:9" x14ac:dyDescent="0.25">
      <c r="A45" s="38">
        <f>Données!A45</f>
        <v>5477</v>
      </c>
      <c r="B45" s="27" t="str">
        <f>Données!B45</f>
        <v>Cossonay</v>
      </c>
      <c r="C45" s="31">
        <f>Données!Z45</f>
        <v>4326</v>
      </c>
      <c r="D45" s="243">
        <f>Ecrêtage!E45</f>
        <v>32.95808226650302</v>
      </c>
      <c r="E45" s="243">
        <f t="shared" si="1"/>
        <v>14.974750067687161</v>
      </c>
      <c r="F45" s="243">
        <f>+Données!X45</f>
        <v>69.5</v>
      </c>
      <c r="G45" s="389">
        <f t="shared" si="2"/>
        <v>-1215611.1263971669</v>
      </c>
      <c r="H45" s="163">
        <f t="shared" si="3"/>
        <v>1.0283179406068361</v>
      </c>
      <c r="I45" s="42">
        <f t="shared" si="4"/>
        <v>-1250034.7300754909</v>
      </c>
    </row>
    <row r="46" spans="1:9" x14ac:dyDescent="0.25">
      <c r="A46" s="38">
        <f>Données!A46</f>
        <v>5479</v>
      </c>
      <c r="B46" s="27" t="str">
        <f>Données!B46</f>
        <v>Cuarnens</v>
      </c>
      <c r="C46" s="31">
        <f>Données!Z46</f>
        <v>531</v>
      </c>
      <c r="D46" s="243">
        <f>Ecrêtage!E46</f>
        <v>33.869056423802178</v>
      </c>
      <c r="E46" s="243">
        <f t="shared" si="1"/>
        <v>14.063775910388003</v>
      </c>
      <c r="F46" s="243">
        <f>+Données!X46</f>
        <v>77</v>
      </c>
      <c r="G46" s="389">
        <f t="shared" si="2"/>
        <v>-155256.91352496925</v>
      </c>
      <c r="H46" s="163">
        <f t="shared" si="3"/>
        <v>1.1392875025428257</v>
      </c>
      <c r="I46" s="42">
        <f t="shared" si="4"/>
        <v>-176882.26126236969</v>
      </c>
    </row>
    <row r="47" spans="1:9" x14ac:dyDescent="0.25">
      <c r="A47" s="38">
        <f>Données!A47</f>
        <v>5480</v>
      </c>
      <c r="B47" s="27" t="str">
        <f>Données!B47</f>
        <v>Daillens</v>
      </c>
      <c r="C47" s="31">
        <f>Données!Z47</f>
        <v>1051</v>
      </c>
      <c r="D47" s="243">
        <f>Ecrêtage!E47</f>
        <v>39.323500466126539</v>
      </c>
      <c r="E47" s="243">
        <f t="shared" si="1"/>
        <v>8.6093318680636415</v>
      </c>
      <c r="F47" s="243">
        <f>+Données!X47</f>
        <v>66</v>
      </c>
      <c r="G47" s="389">
        <f t="shared" si="2"/>
        <v>-161242.62687722768</v>
      </c>
      <c r="H47" s="163">
        <f t="shared" si="3"/>
        <v>0.97653214503670782</v>
      </c>
      <c r="I47" s="42">
        <f t="shared" si="4"/>
        <v>-157458.60829577266</v>
      </c>
    </row>
    <row r="48" spans="1:9" x14ac:dyDescent="0.25">
      <c r="A48" s="38">
        <f>Données!A48</f>
        <v>5481</v>
      </c>
      <c r="B48" s="27" t="str">
        <f>Données!B48</f>
        <v>Dizy</v>
      </c>
      <c r="C48" s="31">
        <f>Données!Z48</f>
        <v>225</v>
      </c>
      <c r="D48" s="243">
        <f>Ecrêtage!E48</f>
        <v>36.090079407407416</v>
      </c>
      <c r="E48" s="243">
        <f t="shared" si="1"/>
        <v>11.842752926782765</v>
      </c>
      <c r="F48" s="243">
        <f>+Données!X48</f>
        <v>75</v>
      </c>
      <c r="G48" s="389">
        <f t="shared" si="2"/>
        <v>-53958.543022653976</v>
      </c>
      <c r="H48" s="163">
        <f t="shared" si="3"/>
        <v>1.1096956193598952</v>
      </c>
      <c r="I48" s="42">
        <f t="shared" si="4"/>
        <v>-59877.558819281556</v>
      </c>
    </row>
    <row r="49" spans="1:9" x14ac:dyDescent="0.25">
      <c r="A49" s="38">
        <f>Données!A49</f>
        <v>5482</v>
      </c>
      <c r="B49" s="27" t="str">
        <f>Données!B49</f>
        <v>Eclépens</v>
      </c>
      <c r="C49" s="31">
        <f>Données!Z49</f>
        <v>1198</v>
      </c>
      <c r="D49" s="243">
        <f>Ecrêtage!E49</f>
        <v>45.21645550555273</v>
      </c>
      <c r="E49" s="243">
        <f t="shared" si="1"/>
        <v>2.7163768286374506</v>
      </c>
      <c r="F49" s="243">
        <f>+Données!X49</f>
        <v>46</v>
      </c>
      <c r="G49" s="389">
        <f t="shared" si="2"/>
        <v>-40417.405453589214</v>
      </c>
      <c r="H49" s="163">
        <f t="shared" si="3"/>
        <v>0.68061331320740237</v>
      </c>
      <c r="I49" s="42">
        <f t="shared" si="4"/>
        <v>-27508.62423701429</v>
      </c>
    </row>
    <row r="50" spans="1:9" x14ac:dyDescent="0.25">
      <c r="A50" s="38">
        <f>Données!A50</f>
        <v>5483</v>
      </c>
      <c r="B50" s="27" t="str">
        <f>Données!B50</f>
        <v>Ferreyres</v>
      </c>
      <c r="C50" s="31">
        <f>Données!Z50</f>
        <v>319</v>
      </c>
      <c r="D50" s="243">
        <f>Ecrêtage!E50</f>
        <v>33.031390859594133</v>
      </c>
      <c r="E50" s="243">
        <f t="shared" si="1"/>
        <v>14.901441474596048</v>
      </c>
      <c r="F50" s="243">
        <f>+Données!X50</f>
        <v>76</v>
      </c>
      <c r="G50" s="389">
        <f t="shared" si="2"/>
        <v>-97543.047719728798</v>
      </c>
      <c r="H50" s="163">
        <f t="shared" si="3"/>
        <v>1.1244915609513604</v>
      </c>
      <c r="I50" s="42">
        <f t="shared" si="4"/>
        <v>-109686.33399031087</v>
      </c>
    </row>
    <row r="51" spans="1:9" x14ac:dyDescent="0.25">
      <c r="A51" s="38">
        <f>Données!A51</f>
        <v>5484</v>
      </c>
      <c r="B51" s="27" t="str">
        <f>Données!B51</f>
        <v>Gollion</v>
      </c>
      <c r="C51" s="31">
        <f>Données!Z51</f>
        <v>1018</v>
      </c>
      <c r="D51" s="243">
        <f>Ecrêtage!E51</f>
        <v>35.313422715446301</v>
      </c>
      <c r="E51" s="243">
        <f t="shared" si="1"/>
        <v>12.61940961874388</v>
      </c>
      <c r="F51" s="243">
        <f>+Données!X51</f>
        <v>74</v>
      </c>
      <c r="G51" s="389">
        <f t="shared" si="2"/>
        <v>-256674.2486577878</v>
      </c>
      <c r="H51" s="163">
        <f t="shared" si="3"/>
        <v>1.0948996777684299</v>
      </c>
      <c r="I51" s="42">
        <f t="shared" si="4"/>
        <v>-281032.5521468657</v>
      </c>
    </row>
    <row r="52" spans="1:9" x14ac:dyDescent="0.25">
      <c r="A52" s="38">
        <f>Données!A52</f>
        <v>5485</v>
      </c>
      <c r="B52" s="27" t="str">
        <f>Données!B52</f>
        <v>Grancy</v>
      </c>
      <c r="C52" s="31">
        <f>Données!Z52</f>
        <v>445</v>
      </c>
      <c r="D52" s="243">
        <f>Ecrêtage!E52</f>
        <v>55.026408988764047</v>
      </c>
      <c r="E52" s="243">
        <f t="shared" si="1"/>
        <v>0</v>
      </c>
      <c r="F52" s="243">
        <f>+Données!X52</f>
        <v>70</v>
      </c>
      <c r="G52" s="389">
        <f t="shared" si="2"/>
        <v>0</v>
      </c>
      <c r="H52" s="163">
        <f t="shared" si="3"/>
        <v>1.0357159114025689</v>
      </c>
      <c r="I52" s="42">
        <f t="shared" si="4"/>
        <v>0</v>
      </c>
    </row>
    <row r="53" spans="1:9" x14ac:dyDescent="0.25">
      <c r="A53" s="38">
        <f>Données!A53</f>
        <v>5486</v>
      </c>
      <c r="B53" s="27" t="str">
        <f>Données!B53</f>
        <v>L'Isle</v>
      </c>
      <c r="C53" s="31">
        <f>Données!Z53</f>
        <v>1079</v>
      </c>
      <c r="D53" s="243">
        <f>Ecrêtage!E53</f>
        <v>27.088342045103492</v>
      </c>
      <c r="E53" s="243">
        <f t="shared" si="1"/>
        <v>20.844490289086689</v>
      </c>
      <c r="F53" s="243">
        <f>+Données!X53</f>
        <v>75</v>
      </c>
      <c r="G53" s="389">
        <f t="shared" si="2"/>
        <v>-455446.90169397194</v>
      </c>
      <c r="H53" s="163">
        <f t="shared" si="3"/>
        <v>1.1096956193598952</v>
      </c>
      <c r="I53" s="42">
        <f t="shared" si="4"/>
        <v>-505407.43166083749</v>
      </c>
    </row>
    <row r="54" spans="1:9" x14ac:dyDescent="0.25">
      <c r="A54" s="38">
        <f>Données!A54</f>
        <v>5487</v>
      </c>
      <c r="B54" s="27" t="str">
        <f>Données!B54</f>
        <v>Lussery-Villars</v>
      </c>
      <c r="C54" s="31">
        <f>Données!Z54</f>
        <v>475</v>
      </c>
      <c r="D54" s="243">
        <f>Ecrêtage!E54</f>
        <v>34.994076912280711</v>
      </c>
      <c r="E54" s="243">
        <f t="shared" si="1"/>
        <v>12.93875542190947</v>
      </c>
      <c r="F54" s="243">
        <f>+Données!X54</f>
        <v>75</v>
      </c>
      <c r="G54" s="389">
        <f t="shared" si="2"/>
        <v>-124454.65371449174</v>
      </c>
      <c r="H54" s="163">
        <f t="shared" si="3"/>
        <v>1.1096956193598952</v>
      </c>
      <c r="I54" s="42">
        <f t="shared" si="4"/>
        <v>-138106.78403592421</v>
      </c>
    </row>
    <row r="55" spans="1:9" x14ac:dyDescent="0.25">
      <c r="A55" s="38">
        <f>Données!A55</f>
        <v>5488</v>
      </c>
      <c r="B55" s="27" t="str">
        <f>Données!B55</f>
        <v>Mauraz</v>
      </c>
      <c r="C55" s="31">
        <f>Données!Z55</f>
        <v>60</v>
      </c>
      <c r="D55" s="243">
        <f>Ecrêtage!E55</f>
        <v>28.819300865800862</v>
      </c>
      <c r="E55" s="243">
        <f t="shared" si="1"/>
        <v>19.113531468389318</v>
      </c>
      <c r="F55" s="243">
        <f>+Données!X55</f>
        <v>77</v>
      </c>
      <c r="G55" s="389">
        <f t="shared" si="2"/>
        <v>-23842.219153668833</v>
      </c>
      <c r="H55" s="163">
        <f t="shared" si="3"/>
        <v>1.1392875025428257</v>
      </c>
      <c r="I55" s="42">
        <f t="shared" si="4"/>
        <v>-27163.142314662091</v>
      </c>
    </row>
    <row r="56" spans="1:9" x14ac:dyDescent="0.25">
      <c r="A56" s="38">
        <f>Données!A56</f>
        <v>5489</v>
      </c>
      <c r="B56" s="27" t="str">
        <f>Données!B56</f>
        <v>Mex</v>
      </c>
      <c r="C56" s="31">
        <f>Données!Z56</f>
        <v>795</v>
      </c>
      <c r="D56" s="243">
        <f>Ecrêtage!E56</f>
        <v>63.437888695100675</v>
      </c>
      <c r="E56" s="243">
        <f t="shared" si="1"/>
        <v>0</v>
      </c>
      <c r="F56" s="243">
        <f>+Données!X56</f>
        <v>59.5</v>
      </c>
      <c r="G56" s="389">
        <f t="shared" si="2"/>
        <v>0</v>
      </c>
      <c r="H56" s="163">
        <f t="shared" si="3"/>
        <v>0.88035852469218356</v>
      </c>
      <c r="I56" s="42">
        <f t="shared" si="4"/>
        <v>0</v>
      </c>
    </row>
    <row r="57" spans="1:9" x14ac:dyDescent="0.25">
      <c r="A57" s="38">
        <f>Données!A57</f>
        <v>5490</v>
      </c>
      <c r="B57" s="27" t="str">
        <f>Données!B57</f>
        <v>Moiry</v>
      </c>
      <c r="C57" s="31">
        <f>Données!Z57</f>
        <v>301</v>
      </c>
      <c r="D57" s="243">
        <f>Ecrêtage!E57</f>
        <v>30.088821776872788</v>
      </c>
      <c r="E57" s="243">
        <f t="shared" si="1"/>
        <v>17.844010557317393</v>
      </c>
      <c r="F57" s="243">
        <f>+Données!X57</f>
        <v>77.5</v>
      </c>
      <c r="G57" s="389">
        <f t="shared" si="2"/>
        <v>-112389.16219447181</v>
      </c>
      <c r="H57" s="163">
        <f t="shared" si="3"/>
        <v>1.1466854733385583</v>
      </c>
      <c r="I57" s="42">
        <f t="shared" si="4"/>
        <v>-128875.0196490919</v>
      </c>
    </row>
    <row r="58" spans="1:9" x14ac:dyDescent="0.25">
      <c r="A58" s="38">
        <f>Données!A58</f>
        <v>5491</v>
      </c>
      <c r="B58" s="27" t="str">
        <f>Données!B58</f>
        <v>Mont-la-Ville</v>
      </c>
      <c r="C58" s="31">
        <f>Données!Z58</f>
        <v>508</v>
      </c>
      <c r="D58" s="243">
        <f>Ecrêtage!E58</f>
        <v>26.867465033153749</v>
      </c>
      <c r="E58" s="243">
        <f t="shared" si="1"/>
        <v>21.065367301036432</v>
      </c>
      <c r="F58" s="243">
        <f>+Données!X58</f>
        <v>76</v>
      </c>
      <c r="G58" s="389">
        <f t="shared" si="2"/>
        <v>-219588.75920477195</v>
      </c>
      <c r="H58" s="163">
        <f t="shared" si="3"/>
        <v>1.1244915609513604</v>
      </c>
      <c r="I58" s="42">
        <f t="shared" si="4"/>
        <v>-246925.70660554641</v>
      </c>
    </row>
    <row r="59" spans="1:9" x14ac:dyDescent="0.25">
      <c r="A59" s="38">
        <f>Données!A59</f>
        <v>5492</v>
      </c>
      <c r="B59" s="27" t="str">
        <f>Données!B59</f>
        <v>Montricher</v>
      </c>
      <c r="C59" s="31">
        <f>Données!Z59</f>
        <v>981</v>
      </c>
      <c r="D59" s="243">
        <f>Ecrêtage!E59</f>
        <v>178.65968909276248</v>
      </c>
      <c r="E59" s="243">
        <f t="shared" si="1"/>
        <v>0</v>
      </c>
      <c r="F59" s="243">
        <f>+Données!X59</f>
        <v>64</v>
      </c>
      <c r="G59" s="389">
        <f t="shared" si="2"/>
        <v>0</v>
      </c>
      <c r="H59" s="163">
        <f t="shared" si="3"/>
        <v>0.94694026185377722</v>
      </c>
      <c r="I59" s="42">
        <f t="shared" si="4"/>
        <v>0</v>
      </c>
    </row>
    <row r="60" spans="1:9" x14ac:dyDescent="0.25">
      <c r="A60" s="38">
        <f>Données!A60</f>
        <v>5493</v>
      </c>
      <c r="B60" s="27" t="str">
        <f>Données!B60</f>
        <v>Orny</v>
      </c>
      <c r="C60" s="31">
        <f>Données!Z60</f>
        <v>480</v>
      </c>
      <c r="D60" s="243">
        <f>Ecrêtage!E60</f>
        <v>28.103428104144715</v>
      </c>
      <c r="E60" s="243">
        <f t="shared" si="1"/>
        <v>19.829404230045466</v>
      </c>
      <c r="F60" s="243">
        <f>+Données!X60</f>
        <v>73</v>
      </c>
      <c r="G60" s="389">
        <f t="shared" si="2"/>
        <v>-187602.02753961418</v>
      </c>
      <c r="H60" s="163">
        <f t="shared" si="3"/>
        <v>1.0801037361769648</v>
      </c>
      <c r="I60" s="42">
        <f t="shared" si="4"/>
        <v>-202629.65085991111</v>
      </c>
    </row>
    <row r="61" spans="1:9" x14ac:dyDescent="0.25">
      <c r="A61" s="38">
        <f>Données!A61</f>
        <v>5495</v>
      </c>
      <c r="B61" s="27" t="str">
        <f>Données!B61</f>
        <v>Penthalaz</v>
      </c>
      <c r="C61" s="31">
        <f>Données!Z61</f>
        <v>3210</v>
      </c>
      <c r="D61" s="243">
        <f>Ecrêtage!E61</f>
        <v>29.690939041845578</v>
      </c>
      <c r="E61" s="243">
        <f t="shared" si="1"/>
        <v>18.241893292344603</v>
      </c>
      <c r="F61" s="243">
        <f>+Données!X61</f>
        <v>74</v>
      </c>
      <c r="G61" s="389">
        <f t="shared" si="2"/>
        <v>-1169958.419819155</v>
      </c>
      <c r="H61" s="163">
        <f t="shared" si="3"/>
        <v>1.0948996777684299</v>
      </c>
      <c r="I61" s="42">
        <f t="shared" si="4"/>
        <v>-1280987.0968624542</v>
      </c>
    </row>
    <row r="62" spans="1:9" x14ac:dyDescent="0.25">
      <c r="A62" s="38">
        <f>Données!A62</f>
        <v>5496</v>
      </c>
      <c r="B62" s="27" t="str">
        <f>Données!B62</f>
        <v>Penthaz</v>
      </c>
      <c r="C62" s="31">
        <f>Données!Z62</f>
        <v>1890</v>
      </c>
      <c r="D62" s="243">
        <f>Ecrêtage!E62</f>
        <v>29.768464923299465</v>
      </c>
      <c r="E62" s="243">
        <f t="shared" si="1"/>
        <v>18.164367410890716</v>
      </c>
      <c r="F62" s="243">
        <f>+Données!X62</f>
        <v>69.5</v>
      </c>
      <c r="G62" s="389">
        <f t="shared" si="2"/>
        <v>-644214.72993953852</v>
      </c>
      <c r="H62" s="163">
        <f t="shared" si="3"/>
        <v>1.0283179406068361</v>
      </c>
      <c r="I62" s="42">
        <f t="shared" si="4"/>
        <v>-662457.5644000154</v>
      </c>
    </row>
    <row r="63" spans="1:9" x14ac:dyDescent="0.25">
      <c r="A63" s="38">
        <f>Données!A63</f>
        <v>5497</v>
      </c>
      <c r="B63" s="27" t="str">
        <f>Données!B63</f>
        <v>Pompaples</v>
      </c>
      <c r="C63" s="31">
        <f>Données!Z63</f>
        <v>849</v>
      </c>
      <c r="D63" s="243">
        <f>Ecrêtage!E63</f>
        <v>26.211093978655821</v>
      </c>
      <c r="E63" s="243">
        <f t="shared" si="1"/>
        <v>21.721738355534359</v>
      </c>
      <c r="F63" s="243">
        <f>+Données!X63</f>
        <v>66</v>
      </c>
      <c r="G63" s="389">
        <f t="shared" si="2"/>
        <v>-328632.08949378337</v>
      </c>
      <c r="H63" s="163">
        <f t="shared" si="3"/>
        <v>0.97653214503670782</v>
      </c>
      <c r="I63" s="42">
        <f t="shared" si="4"/>
        <v>-320919.79928125959</v>
      </c>
    </row>
    <row r="64" spans="1:9" x14ac:dyDescent="0.25">
      <c r="A64" s="38">
        <f>Données!A64</f>
        <v>5498</v>
      </c>
      <c r="B64" s="27" t="str">
        <f>Données!B64</f>
        <v>La Sarraz</v>
      </c>
      <c r="C64" s="31">
        <f>Données!Z64</f>
        <v>2620</v>
      </c>
      <c r="D64" s="243">
        <f>Ecrêtage!E64</f>
        <v>28.50256910710155</v>
      </c>
      <c r="E64" s="243">
        <f t="shared" si="1"/>
        <v>19.430263227088631</v>
      </c>
      <c r="F64" s="243">
        <f>+Données!X64</f>
        <v>66</v>
      </c>
      <c r="G64" s="389">
        <f t="shared" si="2"/>
        <v>-907167.90165160492</v>
      </c>
      <c r="H64" s="163">
        <f t="shared" si="3"/>
        <v>0.97653214503670782</v>
      </c>
      <c r="I64" s="42">
        <f t="shared" si="4"/>
        <v>-885878.61690829101</v>
      </c>
    </row>
    <row r="65" spans="1:9" x14ac:dyDescent="0.25">
      <c r="A65" s="38">
        <f>Données!A65</f>
        <v>5499</v>
      </c>
      <c r="B65" s="27" t="str">
        <f>Données!B65</f>
        <v>Senarclens</v>
      </c>
      <c r="C65" s="31">
        <f>Données!Z65</f>
        <v>491</v>
      </c>
      <c r="D65" s="243">
        <f>Ecrêtage!E65</f>
        <v>37.1435747097388</v>
      </c>
      <c r="E65" s="243">
        <f t="shared" si="1"/>
        <v>10.78925762445138</v>
      </c>
      <c r="F65" s="243">
        <f>+Données!X65</f>
        <v>68.5</v>
      </c>
      <c r="G65" s="389">
        <f t="shared" si="2"/>
        <v>-97977.734004236103</v>
      </c>
      <c r="H65" s="163">
        <f t="shared" si="3"/>
        <v>1.013521999015371</v>
      </c>
      <c r="I65" s="42">
        <f t="shared" si="4"/>
        <v>-99302.588826969659</v>
      </c>
    </row>
    <row r="66" spans="1:9" x14ac:dyDescent="0.25">
      <c r="A66" s="38">
        <f>Données!A66</f>
        <v>5501</v>
      </c>
      <c r="B66" s="27" t="str">
        <f>Données!B66</f>
        <v>Sullens</v>
      </c>
      <c r="C66" s="31">
        <f>Données!Z66</f>
        <v>1143</v>
      </c>
      <c r="D66" s="243">
        <f>Ecrêtage!E66</f>
        <v>37.786456437470868</v>
      </c>
      <c r="E66" s="243">
        <f t="shared" si="1"/>
        <v>10.146375896719313</v>
      </c>
      <c r="F66" s="243">
        <f>+Données!X66</f>
        <v>68.5</v>
      </c>
      <c r="G66" s="389">
        <f t="shared" si="2"/>
        <v>-214492.20498582852</v>
      </c>
      <c r="H66" s="163">
        <f t="shared" si="3"/>
        <v>1.013521999015371</v>
      </c>
      <c r="I66" s="42">
        <f t="shared" si="4"/>
        <v>-217392.56837045166</v>
      </c>
    </row>
    <row r="67" spans="1:9" x14ac:dyDescent="0.25">
      <c r="A67" s="38">
        <f>Données!A67</f>
        <v>5503</v>
      </c>
      <c r="B67" s="27" t="str">
        <f>Données!B67</f>
        <v>Vufflens-la-Ville</v>
      </c>
      <c r="C67" s="31">
        <f>Données!Z67</f>
        <v>1346</v>
      </c>
      <c r="D67" s="243">
        <f>Ecrêtage!E67</f>
        <v>59.171409889630603</v>
      </c>
      <c r="E67" s="243">
        <f t="shared" si="1"/>
        <v>0</v>
      </c>
      <c r="F67" s="243">
        <f>+Données!X67</f>
        <v>67</v>
      </c>
      <c r="G67" s="389">
        <f t="shared" si="2"/>
        <v>0</v>
      </c>
      <c r="H67" s="163">
        <f t="shared" si="3"/>
        <v>0.99132808662817307</v>
      </c>
      <c r="I67" s="42">
        <f t="shared" si="4"/>
        <v>0</v>
      </c>
    </row>
    <row r="68" spans="1:9" x14ac:dyDescent="0.25">
      <c r="A68" s="38">
        <f>Données!A68</f>
        <v>5511</v>
      </c>
      <c r="B68" s="27" t="str">
        <f>Données!B68</f>
        <v>Assens</v>
      </c>
      <c r="C68" s="31">
        <f>Données!Z68</f>
        <v>1669</v>
      </c>
      <c r="D68" s="243">
        <f>Ecrêtage!E68</f>
        <v>41.979081107178224</v>
      </c>
      <c r="E68" s="243">
        <f t="shared" si="1"/>
        <v>5.9537512270119564</v>
      </c>
      <c r="F68" s="243">
        <f>+Données!X68</f>
        <v>69.36</v>
      </c>
      <c r="G68" s="389">
        <f t="shared" si="2"/>
        <v>-186088.64317411368</v>
      </c>
      <c r="H68" s="163">
        <f t="shared" si="3"/>
        <v>1.0262465087840311</v>
      </c>
      <c r="I68" s="42">
        <f t="shared" si="4"/>
        <v>-190972.82038179148</v>
      </c>
    </row>
    <row r="69" spans="1:9" x14ac:dyDescent="0.25">
      <c r="A69" s="38">
        <f>Données!A69</f>
        <v>5512</v>
      </c>
      <c r="B69" s="27" t="str">
        <f>Données!B69</f>
        <v>Bercher</v>
      </c>
      <c r="C69" s="31">
        <f>Données!Z69</f>
        <v>1320</v>
      </c>
      <c r="D69" s="243">
        <f>Ecrêtage!E69</f>
        <v>30.879336401994628</v>
      </c>
      <c r="E69" s="243">
        <f t="shared" si="1"/>
        <v>17.053495932195553</v>
      </c>
      <c r="F69" s="243">
        <f>+Données!X69</f>
        <v>79</v>
      </c>
      <c r="G69" s="389">
        <f t="shared" si="2"/>
        <v>-480151.41006852518</v>
      </c>
      <c r="H69" s="163">
        <f t="shared" si="3"/>
        <v>1.1688793857257562</v>
      </c>
      <c r="I69" s="42">
        <f t="shared" si="4"/>
        <v>-561239.08525625337</v>
      </c>
    </row>
    <row r="70" spans="1:9" x14ac:dyDescent="0.25">
      <c r="A70" s="38">
        <f>Données!A70</f>
        <v>5514</v>
      </c>
      <c r="B70" s="27" t="str">
        <f>Données!B70</f>
        <v>Bottens</v>
      </c>
      <c r="C70" s="31">
        <f>Données!Z70</f>
        <v>1357</v>
      </c>
      <c r="D70" s="243">
        <f>Ecrêtage!E70</f>
        <v>32.588754199171603</v>
      </c>
      <c r="E70" s="243">
        <f t="shared" si="1"/>
        <v>15.344078135018577</v>
      </c>
      <c r="F70" s="243">
        <f>+Données!X70</f>
        <v>72.5</v>
      </c>
      <c r="G70" s="389">
        <f t="shared" si="2"/>
        <v>-407588.96712198562</v>
      </c>
      <c r="H70" s="163">
        <f t="shared" si="3"/>
        <v>1.072705765381232</v>
      </c>
      <c r="I70" s="42">
        <f t="shared" si="4"/>
        <v>-437223.03493753535</v>
      </c>
    </row>
    <row r="71" spans="1:9" x14ac:dyDescent="0.25">
      <c r="A71" s="38">
        <f>Données!A71</f>
        <v>5515</v>
      </c>
      <c r="B71" s="27" t="str">
        <f>Données!B71</f>
        <v>Bretigny-sur-Morrens</v>
      </c>
      <c r="C71" s="31">
        <f>Données!Z71</f>
        <v>882</v>
      </c>
      <c r="D71" s="243">
        <f>Ecrêtage!E71</f>
        <v>36.675450462236171</v>
      </c>
      <c r="E71" s="243">
        <f t="shared" ref="E71:E134" si="5">IF($D$306-D71&lt;0,0,$D$306-D71)</f>
        <v>11.25738187195401</v>
      </c>
      <c r="F71" s="243">
        <f>+Données!X71</f>
        <v>78</v>
      </c>
      <c r="G71" s="389">
        <f t="shared" ref="G71:G134" si="6">-((C71*E71*F71)*$E$5)</f>
        <v>-209104.96768099599</v>
      </c>
      <c r="H71" s="163">
        <f t="shared" ref="H71:H134" si="7">F71/$F$306</f>
        <v>1.1540834441342911</v>
      </c>
      <c r="I71" s="42">
        <f t="shared" ref="I71:I134" si="8">G71*H71</f>
        <v>-241324.58128687349</v>
      </c>
    </row>
    <row r="72" spans="1:9" x14ac:dyDescent="0.25">
      <c r="A72" s="38">
        <f>Données!A72</f>
        <v>5516</v>
      </c>
      <c r="B72" s="27" t="str">
        <f>Données!B72</f>
        <v>Cugy</v>
      </c>
      <c r="C72" s="31">
        <f>Données!Z72</f>
        <v>2733</v>
      </c>
      <c r="D72" s="243">
        <f>Ecrêtage!E72</f>
        <v>40.832821755936457</v>
      </c>
      <c r="E72" s="243">
        <f t="shared" si="5"/>
        <v>7.1000105782537233</v>
      </c>
      <c r="F72" s="243">
        <f>+Données!X72</f>
        <v>78</v>
      </c>
      <c r="G72" s="389">
        <f t="shared" si="6"/>
        <v>-408655.16685233801</v>
      </c>
      <c r="H72" s="163">
        <f t="shared" si="7"/>
        <v>1.1540834441342911</v>
      </c>
      <c r="I72" s="42">
        <f t="shared" si="8"/>
        <v>-471622.16242421966</v>
      </c>
    </row>
    <row r="73" spans="1:9" x14ac:dyDescent="0.25">
      <c r="A73" s="38">
        <f>Données!A73</f>
        <v>5518</v>
      </c>
      <c r="B73" s="27" t="str">
        <f>Données!B73</f>
        <v>Echallens</v>
      </c>
      <c r="C73" s="31">
        <f>Données!Z73</f>
        <v>5739</v>
      </c>
      <c r="D73" s="243">
        <f>Ecrêtage!E73</f>
        <v>31.888637693698882</v>
      </c>
      <c r="E73" s="243">
        <f t="shared" si="5"/>
        <v>16.044194640491298</v>
      </c>
      <c r="F73" s="243">
        <f>+Données!X73</f>
        <v>72.5</v>
      </c>
      <c r="G73" s="389">
        <f t="shared" si="6"/>
        <v>-1802419.6667928349</v>
      </c>
      <c r="H73" s="163">
        <f t="shared" si="7"/>
        <v>1.072705765381232</v>
      </c>
      <c r="I73" s="42">
        <f t="shared" si="8"/>
        <v>-1933465.9682051931</v>
      </c>
    </row>
    <row r="74" spans="1:9" x14ac:dyDescent="0.25">
      <c r="A74" s="38">
        <f>Données!A74</f>
        <v>5520</v>
      </c>
      <c r="B74" s="27" t="str">
        <f>Données!B74</f>
        <v>Essertines-sur-Yverdon</v>
      </c>
      <c r="C74" s="31">
        <f>Données!Z74</f>
        <v>1059</v>
      </c>
      <c r="D74" s="243">
        <f>Ecrêtage!E74</f>
        <v>29.929578563390116</v>
      </c>
      <c r="E74" s="243">
        <f t="shared" si="5"/>
        <v>18.003253770800065</v>
      </c>
      <c r="F74" s="243">
        <f>+Données!X74</f>
        <v>73</v>
      </c>
      <c r="G74" s="389">
        <f t="shared" si="6"/>
        <v>-375779.93559999502</v>
      </c>
      <c r="H74" s="163">
        <f t="shared" si="7"/>
        <v>1.0801037361769648</v>
      </c>
      <c r="I74" s="42">
        <f t="shared" si="8"/>
        <v>-405881.31242189382</v>
      </c>
    </row>
    <row r="75" spans="1:9" x14ac:dyDescent="0.25">
      <c r="A75" s="38">
        <f>Données!A75</f>
        <v>5521</v>
      </c>
      <c r="B75" s="27" t="str">
        <f>Données!B75</f>
        <v>Etagnières</v>
      </c>
      <c r="C75" s="31">
        <f>Données!Z75</f>
        <v>1148</v>
      </c>
      <c r="D75" s="243">
        <f>Ecrêtage!E75</f>
        <v>37.140548303183614</v>
      </c>
      <c r="E75" s="243">
        <f t="shared" si="5"/>
        <v>10.792284031006567</v>
      </c>
      <c r="F75" s="243">
        <f>+Données!X75</f>
        <v>73</v>
      </c>
      <c r="G75" s="389">
        <f t="shared" si="6"/>
        <v>-244197.8741523081</v>
      </c>
      <c r="H75" s="163">
        <f t="shared" si="7"/>
        <v>1.0801037361769648</v>
      </c>
      <c r="I75" s="42">
        <f t="shared" si="8"/>
        <v>-263759.03623838024</v>
      </c>
    </row>
    <row r="76" spans="1:9" x14ac:dyDescent="0.25">
      <c r="A76" s="38">
        <f>Données!A76</f>
        <v>5522</v>
      </c>
      <c r="B76" s="27" t="str">
        <f>Données!B76</f>
        <v>Fey</v>
      </c>
      <c r="C76" s="31">
        <f>Données!Z76</f>
        <v>754</v>
      </c>
      <c r="D76" s="243">
        <f>Ecrêtage!E76</f>
        <v>31.728709991158269</v>
      </c>
      <c r="E76" s="243">
        <f t="shared" si="5"/>
        <v>16.204122343031912</v>
      </c>
      <c r="F76" s="243">
        <f>+Données!X76</f>
        <v>75</v>
      </c>
      <c r="G76" s="389">
        <f t="shared" si="6"/>
        <v>-247412.64199458278</v>
      </c>
      <c r="H76" s="163">
        <f t="shared" si="7"/>
        <v>1.1096956193598952</v>
      </c>
      <c r="I76" s="42">
        <f t="shared" si="8"/>
        <v>-274552.72499564657</v>
      </c>
    </row>
    <row r="77" spans="1:9" x14ac:dyDescent="0.25">
      <c r="A77" s="38">
        <f>Données!A77</f>
        <v>5523</v>
      </c>
      <c r="B77" s="27" t="str">
        <f>Données!B77</f>
        <v>Froideville</v>
      </c>
      <c r="C77" s="31">
        <f>Données!Z77</f>
        <v>2673</v>
      </c>
      <c r="D77" s="243">
        <f>Ecrêtage!E77</f>
        <v>35.067642733923599</v>
      </c>
      <c r="E77" s="243">
        <f t="shared" si="5"/>
        <v>12.865189600266582</v>
      </c>
      <c r="F77" s="243">
        <f>+Données!X77</f>
        <v>72</v>
      </c>
      <c r="G77" s="389">
        <f t="shared" si="6"/>
        <v>-668515.39102140453</v>
      </c>
      <c r="H77" s="163">
        <f t="shared" si="7"/>
        <v>1.0653077945854994</v>
      </c>
      <c r="I77" s="42">
        <f t="shared" si="8"/>
        <v>-712174.65685547527</v>
      </c>
    </row>
    <row r="78" spans="1:9" x14ac:dyDescent="0.25">
      <c r="A78" s="38">
        <f>Données!A78</f>
        <v>5527</v>
      </c>
      <c r="B78" s="27" t="str">
        <f>Données!B78</f>
        <v>Morrens</v>
      </c>
      <c r="C78" s="31">
        <f>Données!Z78</f>
        <v>1156</v>
      </c>
      <c r="D78" s="243">
        <f>Ecrêtage!E78</f>
        <v>34.005219886841857</v>
      </c>
      <c r="E78" s="243">
        <f t="shared" si="5"/>
        <v>13.927612447348324</v>
      </c>
      <c r="F78" s="243">
        <f>+Données!X78</f>
        <v>74</v>
      </c>
      <c r="G78" s="389">
        <f t="shared" si="6"/>
        <v>-321684.39338291058</v>
      </c>
      <c r="H78" s="163">
        <f t="shared" si="7"/>
        <v>1.0948996777684299</v>
      </c>
      <c r="I78" s="42">
        <f t="shared" si="8"/>
        <v>-352212.13865808165</v>
      </c>
    </row>
    <row r="79" spans="1:9" x14ac:dyDescent="0.25">
      <c r="A79" s="38">
        <f>Données!A79</f>
        <v>5529</v>
      </c>
      <c r="B79" s="27" t="str">
        <f>Données!B79</f>
        <v>Oulens-sous-Echallens</v>
      </c>
      <c r="C79" s="31">
        <f>Données!Z79</f>
        <v>619</v>
      </c>
      <c r="D79" s="243">
        <f>Ecrêtage!E79</f>
        <v>34.187517885991234</v>
      </c>
      <c r="E79" s="243">
        <f t="shared" si="5"/>
        <v>13.745314448198947</v>
      </c>
      <c r="F79" s="243">
        <f>+Données!X79</f>
        <v>70</v>
      </c>
      <c r="G79" s="389">
        <f t="shared" si="6"/>
        <v>-160807.8082609243</v>
      </c>
      <c r="H79" s="163">
        <f t="shared" si="7"/>
        <v>1.0357159114025689</v>
      </c>
      <c r="I79" s="42">
        <f t="shared" si="8"/>
        <v>-166551.20569361275</v>
      </c>
    </row>
    <row r="80" spans="1:9" x14ac:dyDescent="0.25">
      <c r="A80" s="38">
        <f>Données!A80</f>
        <v>5530</v>
      </c>
      <c r="B80" s="27" t="str">
        <f>Données!B80</f>
        <v>Pailly</v>
      </c>
      <c r="C80" s="31">
        <f>Données!Z80</f>
        <v>575</v>
      </c>
      <c r="D80" s="243">
        <f>Ecrêtage!E80</f>
        <v>33.579765713196025</v>
      </c>
      <c r="E80" s="243">
        <f t="shared" si="5"/>
        <v>14.353066620994156</v>
      </c>
      <c r="F80" s="243">
        <f>+Données!X80</f>
        <v>76</v>
      </c>
      <c r="G80" s="389">
        <f t="shared" si="6"/>
        <v>-169351.83306111005</v>
      </c>
      <c r="H80" s="163">
        <f t="shared" si="7"/>
        <v>1.1244915609513604</v>
      </c>
      <c r="I80" s="42">
        <f t="shared" si="8"/>
        <v>-190434.70710886185</v>
      </c>
    </row>
    <row r="81" spans="1:9" x14ac:dyDescent="0.25">
      <c r="A81" s="38">
        <f>Données!A81</f>
        <v>5531</v>
      </c>
      <c r="B81" s="27" t="str">
        <f>Données!B81</f>
        <v>Penthéréaz</v>
      </c>
      <c r="C81" s="31">
        <f>Données!Z81</f>
        <v>417</v>
      </c>
      <c r="D81" s="243">
        <f>Ecrêtage!E81</f>
        <v>34.293815218095794</v>
      </c>
      <c r="E81" s="243">
        <f t="shared" si="5"/>
        <v>13.639017116094386</v>
      </c>
      <c r="F81" s="243">
        <f>+Données!X81</f>
        <v>74</v>
      </c>
      <c r="G81" s="389">
        <f t="shared" si="6"/>
        <v>-113635.65334547898</v>
      </c>
      <c r="H81" s="163">
        <f t="shared" si="7"/>
        <v>1.0948996777684299</v>
      </c>
      <c r="I81" s="42">
        <f t="shared" si="8"/>
        <v>-124419.64023096993</v>
      </c>
    </row>
    <row r="82" spans="1:9" x14ac:dyDescent="0.25">
      <c r="A82" s="38">
        <f>Données!A82</f>
        <v>5533</v>
      </c>
      <c r="B82" s="27" t="str">
        <f>Données!B82</f>
        <v>Poliez-Pittet</v>
      </c>
      <c r="C82" s="31">
        <f>Données!Z82</f>
        <v>833</v>
      </c>
      <c r="D82" s="243">
        <f>Ecrêtage!E82</f>
        <v>33.008088111957107</v>
      </c>
      <c r="E82" s="243">
        <f t="shared" si="5"/>
        <v>14.924744222233073</v>
      </c>
      <c r="F82" s="243">
        <f>+Données!X82</f>
        <v>73</v>
      </c>
      <c r="G82" s="389">
        <f t="shared" si="6"/>
        <v>-245040.86828063818</v>
      </c>
      <c r="H82" s="163">
        <f t="shared" si="7"/>
        <v>1.0801037361769648</v>
      </c>
      <c r="I82" s="42">
        <f t="shared" si="8"/>
        <v>-264669.55734596477</v>
      </c>
    </row>
    <row r="83" spans="1:9" x14ac:dyDescent="0.25">
      <c r="A83" s="38">
        <f>Données!A83</f>
        <v>5534</v>
      </c>
      <c r="B83" s="27" t="str">
        <f>Données!B83</f>
        <v>Rueyres</v>
      </c>
      <c r="C83" s="31">
        <f>Données!Z83</f>
        <v>304</v>
      </c>
      <c r="D83" s="243">
        <f>Ecrêtage!E83</f>
        <v>43.088777337178556</v>
      </c>
      <c r="E83" s="243">
        <f t="shared" si="5"/>
        <v>4.8440549970116251</v>
      </c>
      <c r="F83" s="243">
        <f>+Données!X83</f>
        <v>73</v>
      </c>
      <c r="G83" s="389">
        <f t="shared" si="6"/>
        <v>-29024.802493294137</v>
      </c>
      <c r="H83" s="163">
        <f t="shared" si="7"/>
        <v>1.0801037361769648</v>
      </c>
      <c r="I83" s="42">
        <f t="shared" si="8"/>
        <v>-31349.79761480548</v>
      </c>
    </row>
    <row r="84" spans="1:9" x14ac:dyDescent="0.25">
      <c r="A84" s="38">
        <f>Données!A84</f>
        <v>5535</v>
      </c>
      <c r="B84" s="27" t="str">
        <f>Données!B84</f>
        <v>Saint-Barthélemy</v>
      </c>
      <c r="C84" s="31">
        <f>Données!Z84</f>
        <v>809</v>
      </c>
      <c r="D84" s="243">
        <f>Ecrêtage!E84</f>
        <v>31.001282900700449</v>
      </c>
      <c r="E84" s="243">
        <f t="shared" si="5"/>
        <v>16.931549433489732</v>
      </c>
      <c r="F84" s="243">
        <f>+Données!X84</f>
        <v>75</v>
      </c>
      <c r="G84" s="389">
        <f t="shared" si="6"/>
        <v>-277376.87570678716</v>
      </c>
      <c r="H84" s="163">
        <f t="shared" si="7"/>
        <v>1.1096956193598952</v>
      </c>
      <c r="I84" s="42">
        <f t="shared" si="8"/>
        <v>-307803.90388355585</v>
      </c>
    </row>
    <row r="85" spans="1:9" x14ac:dyDescent="0.25">
      <c r="A85" s="38">
        <f>Données!A85</f>
        <v>5537</v>
      </c>
      <c r="B85" s="27" t="str">
        <f>Données!B85</f>
        <v>Villars-le-Terroir</v>
      </c>
      <c r="C85" s="31">
        <f>Données!Z85</f>
        <v>1316</v>
      </c>
      <c r="D85" s="243">
        <f>Ecrêtage!E85</f>
        <v>32.611786614141742</v>
      </c>
      <c r="E85" s="243">
        <f t="shared" si="5"/>
        <v>15.321045720048438</v>
      </c>
      <c r="F85" s="243">
        <f>+Données!X85</f>
        <v>76</v>
      </c>
      <c r="G85" s="389">
        <f t="shared" si="6"/>
        <v>-413734.42135881842</v>
      </c>
      <c r="H85" s="163">
        <f t="shared" si="7"/>
        <v>1.1244915609513604</v>
      </c>
      <c r="I85" s="42">
        <f t="shared" si="8"/>
        <v>-465240.86529308558</v>
      </c>
    </row>
    <row r="86" spans="1:9" x14ac:dyDescent="0.25">
      <c r="A86" s="38">
        <f>Données!A86</f>
        <v>5539</v>
      </c>
      <c r="B86" s="27" t="str">
        <f>Données!B86</f>
        <v>Vuarrens</v>
      </c>
      <c r="C86" s="31">
        <f>Données!Z86</f>
        <v>1097</v>
      </c>
      <c r="D86" s="243">
        <f>Ecrêtage!E86</f>
        <v>31.501218536639808</v>
      </c>
      <c r="E86" s="243">
        <f t="shared" si="5"/>
        <v>16.431613797550373</v>
      </c>
      <c r="F86" s="243">
        <f>+Données!X86</f>
        <v>73.5</v>
      </c>
      <c r="G86" s="389">
        <f t="shared" si="6"/>
        <v>-357715.6572661887</v>
      </c>
      <c r="H86" s="163">
        <f t="shared" si="7"/>
        <v>1.0875017069726973</v>
      </c>
      <c r="I86" s="42">
        <f t="shared" si="8"/>
        <v>-389016.38788784057</v>
      </c>
    </row>
    <row r="87" spans="1:9" x14ac:dyDescent="0.25">
      <c r="A87" s="38">
        <f>Données!A87</f>
        <v>5540</v>
      </c>
      <c r="B87" s="27" t="str">
        <f>Données!B87</f>
        <v>Montilliez</v>
      </c>
      <c r="C87" s="31">
        <f>Données!Z87</f>
        <v>1883</v>
      </c>
      <c r="D87" s="243">
        <f>Ecrêtage!E87</f>
        <v>33.621589558115261</v>
      </c>
      <c r="E87" s="243">
        <f t="shared" si="5"/>
        <v>14.31124277607492</v>
      </c>
      <c r="F87" s="243">
        <f>+Données!X87</f>
        <v>72.5</v>
      </c>
      <c r="G87" s="389">
        <f t="shared" si="6"/>
        <v>-527508.47313435806</v>
      </c>
      <c r="H87" s="163">
        <f t="shared" si="7"/>
        <v>1.072705765381232</v>
      </c>
      <c r="I87" s="42">
        <f t="shared" si="8"/>
        <v>-565861.38041867665</v>
      </c>
    </row>
    <row r="88" spans="1:9" x14ac:dyDescent="0.25">
      <c r="A88" s="38">
        <f>Données!A88</f>
        <v>5541</v>
      </c>
      <c r="B88" s="27" t="str">
        <f>Données!B88</f>
        <v>Goumoëns</v>
      </c>
      <c r="C88" s="31">
        <f>Données!Z88</f>
        <v>1166</v>
      </c>
      <c r="D88" s="243">
        <f>Ecrêtage!E88</f>
        <v>35.40000817875115</v>
      </c>
      <c r="E88" s="243">
        <f t="shared" si="5"/>
        <v>12.53282415543903</v>
      </c>
      <c r="F88" s="243">
        <f>+Données!X88</f>
        <v>75.5</v>
      </c>
      <c r="G88" s="389">
        <f t="shared" si="6"/>
        <v>-297891.5693964563</v>
      </c>
      <c r="H88" s="163">
        <f t="shared" si="7"/>
        <v>1.1170935901556278</v>
      </c>
      <c r="I88" s="42">
        <f t="shared" si="8"/>
        <v>-332772.76273418171</v>
      </c>
    </row>
    <row r="89" spans="1:9" x14ac:dyDescent="0.25">
      <c r="A89" s="38">
        <f>Données!A89</f>
        <v>5551</v>
      </c>
      <c r="B89" s="27" t="str">
        <f>Données!B89</f>
        <v>Bonvillars</v>
      </c>
      <c r="C89" s="31">
        <f>Données!Z89</f>
        <v>481</v>
      </c>
      <c r="D89" s="243">
        <f>Ecrêtage!E89</f>
        <v>38.886668304668298</v>
      </c>
      <c r="E89" s="243">
        <f t="shared" si="5"/>
        <v>9.0461640295218828</v>
      </c>
      <c r="F89" s="243">
        <f>+Données!X89</f>
        <v>55</v>
      </c>
      <c r="G89" s="389">
        <f t="shared" si="6"/>
        <v>-64615.392738270391</v>
      </c>
      <c r="H89" s="163">
        <f t="shared" si="7"/>
        <v>0.8137767875305898</v>
      </c>
      <c r="I89" s="42">
        <f t="shared" si="8"/>
        <v>-52582.506727577078</v>
      </c>
    </row>
    <row r="90" spans="1:9" x14ac:dyDescent="0.25">
      <c r="A90" s="38">
        <f>Données!A90</f>
        <v>5552</v>
      </c>
      <c r="B90" s="27" t="str">
        <f>Données!B90</f>
        <v>Bullet</v>
      </c>
      <c r="C90" s="31">
        <f>Données!Z90</f>
        <v>657</v>
      </c>
      <c r="D90" s="243">
        <f>Ecrêtage!E90</f>
        <v>29.830406275611757</v>
      </c>
      <c r="E90" s="243">
        <f t="shared" si="5"/>
        <v>18.102426058578423</v>
      </c>
      <c r="F90" s="243">
        <f>+Données!X90</f>
        <v>71.5</v>
      </c>
      <c r="G90" s="389">
        <f t="shared" si="6"/>
        <v>-229600.03913498274</v>
      </c>
      <c r="H90" s="163">
        <f t="shared" si="7"/>
        <v>1.0579098237897668</v>
      </c>
      <c r="I90" s="42">
        <f t="shared" si="8"/>
        <v>-242896.13694341315</v>
      </c>
    </row>
    <row r="91" spans="1:9" x14ac:dyDescent="0.25">
      <c r="A91" s="38">
        <f>Données!A91</f>
        <v>5553</v>
      </c>
      <c r="B91" s="27" t="str">
        <f>Données!B91</f>
        <v>Champagne</v>
      </c>
      <c r="C91" s="31">
        <f>Données!Z91</f>
        <v>1085</v>
      </c>
      <c r="D91" s="243">
        <f>Ecrêtage!E91</f>
        <v>36.937588089330035</v>
      </c>
      <c r="E91" s="243">
        <f t="shared" si="5"/>
        <v>10.995244244860146</v>
      </c>
      <c r="F91" s="243">
        <f>+Données!X91</f>
        <v>65</v>
      </c>
      <c r="G91" s="389">
        <f t="shared" si="6"/>
        <v>-209368.6920995657</v>
      </c>
      <c r="H91" s="163">
        <f t="shared" si="7"/>
        <v>0.96173620344524247</v>
      </c>
      <c r="I91" s="42">
        <f t="shared" si="8"/>
        <v>-201357.45106013224</v>
      </c>
    </row>
    <row r="92" spans="1:9" x14ac:dyDescent="0.25">
      <c r="A92" s="38">
        <f>Données!A92</f>
        <v>5554</v>
      </c>
      <c r="B92" s="27" t="str">
        <f>Données!B92</f>
        <v>Concise</v>
      </c>
      <c r="C92" s="31">
        <f>Données!Z92</f>
        <v>1004</v>
      </c>
      <c r="D92" s="243">
        <f>Ecrêtage!E92</f>
        <v>31.373756042496673</v>
      </c>
      <c r="E92" s="243">
        <f t="shared" si="5"/>
        <v>16.559076291693508</v>
      </c>
      <c r="F92" s="243">
        <f>+Données!X92</f>
        <v>75</v>
      </c>
      <c r="G92" s="389">
        <f t="shared" si="6"/>
        <v>-336662.58008642076</v>
      </c>
      <c r="H92" s="163">
        <f t="shared" si="7"/>
        <v>1.1096956193598952</v>
      </c>
      <c r="I92" s="42">
        <f t="shared" si="8"/>
        <v>-373592.990324301</v>
      </c>
    </row>
    <row r="93" spans="1:9" x14ac:dyDescent="0.25">
      <c r="A93" s="38">
        <f>Données!A93</f>
        <v>5555</v>
      </c>
      <c r="B93" s="27" t="str">
        <f>Données!B93</f>
        <v>Corcelles-près-Concise</v>
      </c>
      <c r="C93" s="31">
        <f>Données!Z93</f>
        <v>417</v>
      </c>
      <c r="D93" s="243">
        <f>Ecrêtage!E93</f>
        <v>33.279810933861604</v>
      </c>
      <c r="E93" s="243">
        <f t="shared" si="5"/>
        <v>14.653021400328576</v>
      </c>
      <c r="F93" s="243">
        <f>+Données!X93</f>
        <v>69</v>
      </c>
      <c r="G93" s="389">
        <f t="shared" si="6"/>
        <v>-113835.07388294663</v>
      </c>
      <c r="H93" s="163">
        <f t="shared" si="7"/>
        <v>1.0209199698111036</v>
      </c>
      <c r="I93" s="42">
        <f t="shared" si="8"/>
        <v>-116216.50019202262</v>
      </c>
    </row>
    <row r="94" spans="1:9" x14ac:dyDescent="0.25">
      <c r="A94" s="38">
        <f>Données!A94</f>
        <v>5556</v>
      </c>
      <c r="B94" s="27" t="str">
        <f>Données!B94</f>
        <v>Fiez</v>
      </c>
      <c r="C94" s="31">
        <f>Données!Z94</f>
        <v>442</v>
      </c>
      <c r="D94" s="243">
        <f>Ecrêtage!E94</f>
        <v>32.974187433055725</v>
      </c>
      <c r="E94" s="243">
        <f t="shared" si="5"/>
        <v>14.958644901134456</v>
      </c>
      <c r="F94" s="243">
        <f>+Données!X94</f>
        <v>69</v>
      </c>
      <c r="G94" s="389">
        <f t="shared" si="6"/>
        <v>-123176.36309259564</v>
      </c>
      <c r="H94" s="163">
        <f t="shared" si="7"/>
        <v>1.0209199698111036</v>
      </c>
      <c r="I94" s="42">
        <f t="shared" si="8"/>
        <v>-125753.20888993426</v>
      </c>
    </row>
    <row r="95" spans="1:9" x14ac:dyDescent="0.25">
      <c r="A95" s="38">
        <f>Données!A95</f>
        <v>5557</v>
      </c>
      <c r="B95" s="27" t="str">
        <f>Données!B95</f>
        <v>Fontaines-sur-Grandson</v>
      </c>
      <c r="C95" s="31">
        <f>Données!Z95</f>
        <v>220</v>
      </c>
      <c r="D95" s="243">
        <f>Ecrêtage!E95</f>
        <v>19.239581027667981</v>
      </c>
      <c r="E95" s="243">
        <f t="shared" si="5"/>
        <v>28.6932513065222</v>
      </c>
      <c r="F95" s="243">
        <f>+Données!X95</f>
        <v>69</v>
      </c>
      <c r="G95" s="389">
        <f t="shared" si="6"/>
        <v>-117602.15980491189</v>
      </c>
      <c r="H95" s="163">
        <f t="shared" si="7"/>
        <v>1.0209199698111036</v>
      </c>
      <c r="I95" s="42">
        <f t="shared" si="8"/>
        <v>-120062.39343775122</v>
      </c>
    </row>
    <row r="96" spans="1:9" x14ac:dyDescent="0.25">
      <c r="A96" s="38">
        <f>Données!A96</f>
        <v>5559</v>
      </c>
      <c r="B96" s="27" t="str">
        <f>Données!B96</f>
        <v>Giez</v>
      </c>
      <c r="C96" s="31">
        <f>Données!Z96</f>
        <v>443</v>
      </c>
      <c r="D96" s="243">
        <f>Ecrêtage!E96</f>
        <v>52.883793009097758</v>
      </c>
      <c r="E96" s="243">
        <f t="shared" si="5"/>
        <v>0</v>
      </c>
      <c r="F96" s="243">
        <f>+Données!X96</f>
        <v>66</v>
      </c>
      <c r="G96" s="389">
        <f t="shared" si="6"/>
        <v>0</v>
      </c>
      <c r="H96" s="163">
        <f t="shared" si="7"/>
        <v>0.97653214503670782</v>
      </c>
      <c r="I96" s="42">
        <f t="shared" si="8"/>
        <v>0</v>
      </c>
    </row>
    <row r="97" spans="1:9" x14ac:dyDescent="0.25">
      <c r="A97" s="38">
        <f>Données!A97</f>
        <v>5560</v>
      </c>
      <c r="B97" s="27" t="str">
        <f>Données!B97</f>
        <v>Grandevent</v>
      </c>
      <c r="C97" s="31">
        <f>Données!Z97</f>
        <v>238</v>
      </c>
      <c r="D97" s="243">
        <f>Ecrêtage!E97</f>
        <v>29.425638902619873</v>
      </c>
      <c r="E97" s="243">
        <f t="shared" si="5"/>
        <v>18.507193431570307</v>
      </c>
      <c r="F97" s="243">
        <f>+Données!X97</f>
        <v>68</v>
      </c>
      <c r="G97" s="389">
        <f t="shared" si="6"/>
        <v>-80870.512994064149</v>
      </c>
      <c r="H97" s="163">
        <f t="shared" si="7"/>
        <v>1.0061240282196384</v>
      </c>
      <c r="I97" s="42">
        <f t="shared" si="8"/>
        <v>-81365.766297776427</v>
      </c>
    </row>
    <row r="98" spans="1:9" x14ac:dyDescent="0.25">
      <c r="A98" s="38">
        <f>Données!A98</f>
        <v>5561</v>
      </c>
      <c r="B98" s="27" t="str">
        <f>Données!B98</f>
        <v>Grandson</v>
      </c>
      <c r="C98" s="31">
        <f>Données!Z98</f>
        <v>3366</v>
      </c>
      <c r="D98" s="243">
        <f>Ecrêtage!E98</f>
        <v>34.015626038733458</v>
      </c>
      <c r="E98" s="243">
        <f t="shared" si="5"/>
        <v>13.917206295456722</v>
      </c>
      <c r="F98" s="243">
        <f>+Données!X98</f>
        <v>69</v>
      </c>
      <c r="G98" s="389">
        <f t="shared" si="6"/>
        <v>-872728.24435515155</v>
      </c>
      <c r="H98" s="163">
        <f t="shared" si="7"/>
        <v>1.0209199698111036</v>
      </c>
      <c r="I98" s="42">
        <f t="shared" si="8"/>
        <v>-890985.69288035878</v>
      </c>
    </row>
    <row r="99" spans="1:9" x14ac:dyDescent="0.25">
      <c r="A99" s="38">
        <f>Données!A99</f>
        <v>5562</v>
      </c>
      <c r="B99" s="27" t="str">
        <f>Données!B99</f>
        <v>Mauborget</v>
      </c>
      <c r="C99" s="31">
        <f>Données!Z99</f>
        <v>137</v>
      </c>
      <c r="D99" s="243">
        <f>Ecrêtage!E99</f>
        <v>44.521362704205764</v>
      </c>
      <c r="E99" s="243">
        <f t="shared" si="5"/>
        <v>3.4114696299844169</v>
      </c>
      <c r="F99" s="243">
        <f>+Données!X99</f>
        <v>70</v>
      </c>
      <c r="G99" s="389">
        <f t="shared" si="6"/>
        <v>-8833.3183129186509</v>
      </c>
      <c r="H99" s="163">
        <f t="shared" si="7"/>
        <v>1.0357159114025689</v>
      </c>
      <c r="I99" s="42">
        <f t="shared" si="8"/>
        <v>-9148.8083271735431</v>
      </c>
    </row>
    <row r="100" spans="1:9" x14ac:dyDescent="0.25">
      <c r="A100" s="38">
        <f>Données!A100</f>
        <v>5563</v>
      </c>
      <c r="B100" s="27" t="str">
        <f>Données!B100</f>
        <v>Mutrux</v>
      </c>
      <c r="C100" s="31">
        <f>Données!Z100</f>
        <v>151</v>
      </c>
      <c r="D100" s="243">
        <f>Ecrêtage!E100</f>
        <v>28.35901076158941</v>
      </c>
      <c r="E100" s="243">
        <f t="shared" si="5"/>
        <v>19.573821572600771</v>
      </c>
      <c r="F100" s="243">
        <f>+Données!X100</f>
        <v>80</v>
      </c>
      <c r="G100" s="389">
        <f t="shared" si="6"/>
        <v>-63841.976441194682</v>
      </c>
      <c r="H100" s="163">
        <f t="shared" si="7"/>
        <v>1.1836753273172216</v>
      </c>
      <c r="I100" s="42">
        <f t="shared" si="8"/>
        <v>-75568.17236060946</v>
      </c>
    </row>
    <row r="101" spans="1:9" x14ac:dyDescent="0.25">
      <c r="A101" s="38">
        <f>Données!A101</f>
        <v>5564</v>
      </c>
      <c r="B101" s="27" t="str">
        <f>Données!B101</f>
        <v>Novalles</v>
      </c>
      <c r="C101" s="31">
        <f>Données!Z101</f>
        <v>103</v>
      </c>
      <c r="D101" s="243">
        <f>Ecrêtage!E101</f>
        <v>20.383925970873786</v>
      </c>
      <c r="E101" s="243">
        <f t="shared" si="5"/>
        <v>27.548906363316394</v>
      </c>
      <c r="F101" s="243">
        <f>+Données!X101</f>
        <v>76</v>
      </c>
      <c r="G101" s="389">
        <f t="shared" si="6"/>
        <v>-58226.266533251001</v>
      </c>
      <c r="H101" s="163">
        <f t="shared" si="7"/>
        <v>1.1244915609513604</v>
      </c>
      <c r="I101" s="42">
        <f t="shared" si="8"/>
        <v>-65474.945342345374</v>
      </c>
    </row>
    <row r="102" spans="1:9" x14ac:dyDescent="0.25">
      <c r="A102" s="38">
        <f>Données!A102</f>
        <v>5565</v>
      </c>
      <c r="B102" s="27" t="str">
        <f>Données!B102</f>
        <v>Onnens</v>
      </c>
      <c r="C102" s="31">
        <f>Données!Z102</f>
        <v>495</v>
      </c>
      <c r="D102" s="243">
        <f>Ecrêtage!E102</f>
        <v>45.826589994432503</v>
      </c>
      <c r="E102" s="243">
        <f t="shared" si="5"/>
        <v>2.1062423397576779</v>
      </c>
      <c r="F102" s="243">
        <f>+Données!X102</f>
        <v>63.5</v>
      </c>
      <c r="G102" s="389">
        <f t="shared" si="6"/>
        <v>-17875.204832996969</v>
      </c>
      <c r="H102" s="163">
        <f t="shared" si="7"/>
        <v>0.93954229105804465</v>
      </c>
      <c r="I102" s="42">
        <f t="shared" si="8"/>
        <v>-16794.510901925805</v>
      </c>
    </row>
    <row r="103" spans="1:9" x14ac:dyDescent="0.25">
      <c r="A103" s="38">
        <f>Données!A103</f>
        <v>5566</v>
      </c>
      <c r="B103" s="27" t="str">
        <f>Données!B103</f>
        <v>Provence</v>
      </c>
      <c r="C103" s="31">
        <f>Données!Z103</f>
        <v>403</v>
      </c>
      <c r="D103" s="243">
        <f>Ecrêtage!E103</f>
        <v>23.268508409153572</v>
      </c>
      <c r="E103" s="243">
        <f t="shared" si="5"/>
        <v>24.664323925036609</v>
      </c>
      <c r="F103" s="243">
        <f>+Données!X103</f>
        <v>81</v>
      </c>
      <c r="G103" s="389">
        <f t="shared" si="6"/>
        <v>-217381.7319889419</v>
      </c>
      <c r="H103" s="163">
        <f t="shared" si="7"/>
        <v>1.1984712689086867</v>
      </c>
      <c r="I103" s="42">
        <f t="shared" si="8"/>
        <v>-260525.76017435527</v>
      </c>
    </row>
    <row r="104" spans="1:9" x14ac:dyDescent="0.25">
      <c r="A104" s="38">
        <f>Données!A104</f>
        <v>5568</v>
      </c>
      <c r="B104" s="27" t="str">
        <f>Données!B104</f>
        <v>Sainte-Croix</v>
      </c>
      <c r="C104" s="31">
        <f>Données!Z104</f>
        <v>4948</v>
      </c>
      <c r="D104" s="243">
        <f>Ecrêtage!E104</f>
        <v>22.059841552142277</v>
      </c>
      <c r="E104" s="243">
        <f t="shared" si="5"/>
        <v>25.872990782047903</v>
      </c>
      <c r="F104" s="243">
        <f>+Données!X104</f>
        <v>70</v>
      </c>
      <c r="G104" s="389">
        <f t="shared" si="6"/>
        <v>-2419569.6535629299</v>
      </c>
      <c r="H104" s="163">
        <f t="shared" si="7"/>
        <v>1.0357159114025689</v>
      </c>
      <c r="I104" s="42">
        <f t="shared" si="8"/>
        <v>-2505986.7889419277</v>
      </c>
    </row>
    <row r="105" spans="1:9" x14ac:dyDescent="0.25">
      <c r="A105" s="38">
        <f>Données!A105</f>
        <v>5571</v>
      </c>
      <c r="B105" s="27" t="str">
        <f>Données!B105</f>
        <v>Tévenon</v>
      </c>
      <c r="C105" s="31">
        <f>Données!Z105</f>
        <v>883</v>
      </c>
      <c r="D105" s="243">
        <f>Ecrêtage!E105</f>
        <v>28.680425361727739</v>
      </c>
      <c r="E105" s="243">
        <f t="shared" si="5"/>
        <v>19.252406972462442</v>
      </c>
      <c r="F105" s="243">
        <f>+Données!X105</f>
        <v>71.5</v>
      </c>
      <c r="G105" s="389">
        <f t="shared" si="6"/>
        <v>-328182.59376079118</v>
      </c>
      <c r="H105" s="163">
        <f t="shared" si="7"/>
        <v>1.0579098237897668</v>
      </c>
      <c r="I105" s="42">
        <f t="shared" si="8"/>
        <v>-347187.58993634721</v>
      </c>
    </row>
    <row r="106" spans="1:9" x14ac:dyDescent="0.25">
      <c r="A106" s="38">
        <f>Données!A106</f>
        <v>5581</v>
      </c>
      <c r="B106" s="27" t="str">
        <f>Données!B106</f>
        <v>Belmont-sur-Lausanne</v>
      </c>
      <c r="C106" s="31">
        <f>Données!Z106</f>
        <v>3871</v>
      </c>
      <c r="D106" s="243">
        <f>Ecrêtage!E106</f>
        <v>55.651942590679035</v>
      </c>
      <c r="E106" s="243">
        <f t="shared" si="5"/>
        <v>0</v>
      </c>
      <c r="F106" s="243">
        <f>+Données!X106</f>
        <v>72</v>
      </c>
      <c r="G106" s="389">
        <f t="shared" si="6"/>
        <v>0</v>
      </c>
      <c r="H106" s="163">
        <f t="shared" si="7"/>
        <v>1.0653077945854994</v>
      </c>
      <c r="I106" s="42">
        <f t="shared" si="8"/>
        <v>0</v>
      </c>
    </row>
    <row r="107" spans="1:9" x14ac:dyDescent="0.25">
      <c r="A107" s="38">
        <f>Données!A107</f>
        <v>5582</v>
      </c>
      <c r="B107" s="27" t="str">
        <f>Données!B107</f>
        <v>Cheseaux-sur-Lausanne</v>
      </c>
      <c r="C107" s="31">
        <f>Données!Z107</f>
        <v>4449</v>
      </c>
      <c r="D107" s="243">
        <f>Ecrêtage!E107</f>
        <v>37.64584536466559</v>
      </c>
      <c r="E107" s="243">
        <f t="shared" si="5"/>
        <v>10.286986969524591</v>
      </c>
      <c r="F107" s="243">
        <f>+Données!X107</f>
        <v>73</v>
      </c>
      <c r="G107" s="389">
        <f t="shared" si="6"/>
        <v>-902063.72709034779</v>
      </c>
      <c r="H107" s="163">
        <f t="shared" si="7"/>
        <v>1.0801037361769648</v>
      </c>
      <c r="I107" s="42">
        <f t="shared" si="8"/>
        <v>-974322.4019000025</v>
      </c>
    </row>
    <row r="108" spans="1:9" x14ac:dyDescent="0.25">
      <c r="A108" s="38">
        <f>Données!A108</f>
        <v>5583</v>
      </c>
      <c r="B108" s="27" t="str">
        <f>Données!B108</f>
        <v>Crissier</v>
      </c>
      <c r="C108" s="31">
        <f>Données!Z108</f>
        <v>8974</v>
      </c>
      <c r="D108" s="243">
        <f>Ecrêtage!E108</f>
        <v>37.590786453955339</v>
      </c>
      <c r="E108" s="243">
        <f t="shared" si="5"/>
        <v>10.342045880234842</v>
      </c>
      <c r="F108" s="243">
        <f>+Données!X108</f>
        <v>63.5</v>
      </c>
      <c r="G108" s="389">
        <f t="shared" si="6"/>
        <v>-1591219.2157576052</v>
      </c>
      <c r="H108" s="163">
        <f t="shared" si="7"/>
        <v>0.93954229105804465</v>
      </c>
      <c r="I108" s="42">
        <f t="shared" si="8"/>
        <v>-1495017.7475484854</v>
      </c>
    </row>
    <row r="109" spans="1:9" x14ac:dyDescent="0.25">
      <c r="A109" s="38">
        <f>Données!A109</f>
        <v>5584</v>
      </c>
      <c r="B109" s="27" t="str">
        <f>Données!B109</f>
        <v>Epalinges</v>
      </c>
      <c r="C109" s="31">
        <f>Données!Z109</f>
        <v>9813</v>
      </c>
      <c r="D109" s="243">
        <f>Ecrêtage!E109</f>
        <v>52.652841832184322</v>
      </c>
      <c r="E109" s="243">
        <f t="shared" si="5"/>
        <v>0</v>
      </c>
      <c r="F109" s="243">
        <f>+Données!X109</f>
        <v>64.5</v>
      </c>
      <c r="G109" s="389">
        <f t="shared" si="6"/>
        <v>0</v>
      </c>
      <c r="H109" s="163">
        <f t="shared" si="7"/>
        <v>0.9543382326495099</v>
      </c>
      <c r="I109" s="42">
        <f t="shared" si="8"/>
        <v>0</v>
      </c>
    </row>
    <row r="110" spans="1:9" x14ac:dyDescent="0.25">
      <c r="A110" s="38">
        <f>Données!A110</f>
        <v>5585</v>
      </c>
      <c r="B110" s="27" t="str">
        <f>Données!B110</f>
        <v>Jouxtens-Mézery</v>
      </c>
      <c r="C110" s="31">
        <f>Données!Z110</f>
        <v>1460</v>
      </c>
      <c r="D110" s="243">
        <f>Ecrêtage!E110</f>
        <v>131.33040399349895</v>
      </c>
      <c r="E110" s="243">
        <f t="shared" si="5"/>
        <v>0</v>
      </c>
      <c r="F110" s="243">
        <f>+Données!X110</f>
        <v>59</v>
      </c>
      <c r="G110" s="389">
        <f t="shared" si="6"/>
        <v>0</v>
      </c>
      <c r="H110" s="163">
        <f t="shared" si="7"/>
        <v>0.87296055389645089</v>
      </c>
      <c r="I110" s="42">
        <f t="shared" si="8"/>
        <v>0</v>
      </c>
    </row>
    <row r="111" spans="1:9" x14ac:dyDescent="0.25">
      <c r="A111" s="38">
        <f>Données!A111</f>
        <v>5586</v>
      </c>
      <c r="B111" s="27" t="str">
        <f>Données!B111</f>
        <v>Lausanne</v>
      </c>
      <c r="C111" s="31">
        <f>Données!Z111</f>
        <v>140824</v>
      </c>
      <c r="D111" s="243">
        <f>Ecrêtage!E111</f>
        <v>45.857951857028816</v>
      </c>
      <c r="E111" s="243">
        <f t="shared" si="5"/>
        <v>2.0748804771613649</v>
      </c>
      <c r="F111" s="243">
        <f>+Données!X111</f>
        <v>78.5</v>
      </c>
      <c r="G111" s="389">
        <f t="shared" si="6"/>
        <v>-6193029.9634527899</v>
      </c>
      <c r="H111" s="163">
        <f t="shared" si="7"/>
        <v>1.1614814149300237</v>
      </c>
      <c r="I111" s="42">
        <f t="shared" si="8"/>
        <v>-7193089.2046551788</v>
      </c>
    </row>
    <row r="112" spans="1:9" x14ac:dyDescent="0.25">
      <c r="A112" s="38">
        <f>Données!A112</f>
        <v>5587</v>
      </c>
      <c r="B112" s="27" t="str">
        <f>Données!B112</f>
        <v>Le Mont-sur-Lausanne</v>
      </c>
      <c r="C112" s="31">
        <f>Données!Z112</f>
        <v>9217</v>
      </c>
      <c r="D112" s="243">
        <f>Ecrêtage!E112</f>
        <v>53.695598894579355</v>
      </c>
      <c r="E112" s="243">
        <f t="shared" si="5"/>
        <v>0</v>
      </c>
      <c r="F112" s="243">
        <f>+Données!X112</f>
        <v>73.5</v>
      </c>
      <c r="G112" s="389">
        <f t="shared" si="6"/>
        <v>0</v>
      </c>
      <c r="H112" s="163">
        <f t="shared" si="7"/>
        <v>1.0875017069726973</v>
      </c>
      <c r="I112" s="42">
        <f t="shared" si="8"/>
        <v>0</v>
      </c>
    </row>
    <row r="113" spans="1:9" x14ac:dyDescent="0.25">
      <c r="A113" s="38">
        <f>Données!A113</f>
        <v>5588</v>
      </c>
      <c r="B113" s="27" t="str">
        <f>Données!B113</f>
        <v>Paudex</v>
      </c>
      <c r="C113" s="31">
        <f>Données!Z113</f>
        <v>1545</v>
      </c>
      <c r="D113" s="243">
        <f>Ecrêtage!E113</f>
        <v>90.955199719131429</v>
      </c>
      <c r="E113" s="243">
        <f t="shared" si="5"/>
        <v>0</v>
      </c>
      <c r="F113" s="243">
        <f>+Données!X113</f>
        <v>66.5</v>
      </c>
      <c r="G113" s="389">
        <f t="shared" si="6"/>
        <v>0</v>
      </c>
      <c r="H113" s="163">
        <f t="shared" si="7"/>
        <v>0.98393011583244039</v>
      </c>
      <c r="I113" s="42">
        <f t="shared" si="8"/>
        <v>0</v>
      </c>
    </row>
    <row r="114" spans="1:9" x14ac:dyDescent="0.25">
      <c r="A114" s="38">
        <f>Données!A114</f>
        <v>5589</v>
      </c>
      <c r="B114" s="27" t="str">
        <f>Données!B114</f>
        <v>Prilly</v>
      </c>
      <c r="C114" s="31">
        <f>Données!Z114</f>
        <v>12341</v>
      </c>
      <c r="D114" s="243">
        <f>Ecrêtage!E114</f>
        <v>33.979224464310704</v>
      </c>
      <c r="E114" s="243">
        <f t="shared" si="5"/>
        <v>13.953607869879477</v>
      </c>
      <c r="F114" s="243">
        <f>+Données!X114</f>
        <v>72.5</v>
      </c>
      <c r="G114" s="389">
        <f t="shared" si="6"/>
        <v>-3370843.8676867252</v>
      </c>
      <c r="H114" s="163">
        <f t="shared" si="7"/>
        <v>1.072705765381232</v>
      </c>
      <c r="I114" s="42">
        <f t="shared" si="8"/>
        <v>-3615923.651067521</v>
      </c>
    </row>
    <row r="115" spans="1:9" x14ac:dyDescent="0.25">
      <c r="A115" s="38">
        <f>Données!A115</f>
        <v>5590</v>
      </c>
      <c r="B115" s="27" t="str">
        <f>Données!B115</f>
        <v>Pully</v>
      </c>
      <c r="C115" s="31">
        <f>Données!Z115</f>
        <v>18946</v>
      </c>
      <c r="D115" s="243">
        <f>Ecrêtage!E115</f>
        <v>84.567811221637911</v>
      </c>
      <c r="E115" s="243">
        <f t="shared" si="5"/>
        <v>0</v>
      </c>
      <c r="F115" s="243">
        <f>+Données!X115</f>
        <v>61</v>
      </c>
      <c r="G115" s="389">
        <f t="shared" si="6"/>
        <v>0</v>
      </c>
      <c r="H115" s="163">
        <f t="shared" si="7"/>
        <v>0.90255243707938138</v>
      </c>
      <c r="I115" s="42">
        <f t="shared" si="8"/>
        <v>0</v>
      </c>
    </row>
    <row r="116" spans="1:9" x14ac:dyDescent="0.25">
      <c r="A116" s="38">
        <f>Données!A116</f>
        <v>5591</v>
      </c>
      <c r="B116" s="27" t="str">
        <f>Données!B116</f>
        <v>Renens</v>
      </c>
      <c r="C116" s="31">
        <f>Données!Z116</f>
        <v>20917</v>
      </c>
      <c r="D116" s="243">
        <f>Ecrêtage!E116</f>
        <v>27.229044969059174</v>
      </c>
      <c r="E116" s="243">
        <f t="shared" si="5"/>
        <v>20.703787365131006</v>
      </c>
      <c r="F116" s="243">
        <f>+Données!X116</f>
        <v>77</v>
      </c>
      <c r="G116" s="389">
        <f t="shared" si="6"/>
        <v>-9003340.6913788971</v>
      </c>
      <c r="H116" s="163">
        <f t="shared" si="7"/>
        <v>1.1392875025428257</v>
      </c>
      <c r="I116" s="42">
        <f t="shared" si="8"/>
        <v>-10257393.530823262</v>
      </c>
    </row>
    <row r="117" spans="1:9" x14ac:dyDescent="0.25">
      <c r="A117" s="38">
        <f>Données!A117</f>
        <v>5592</v>
      </c>
      <c r="B117" s="27" t="str">
        <f>Données!B117</f>
        <v>Romanel-sur-Lausanne</v>
      </c>
      <c r="C117" s="31">
        <f>Données!Z117</f>
        <v>3482</v>
      </c>
      <c r="D117" s="243">
        <f>Ecrêtage!E117</f>
        <v>34.766989828133333</v>
      </c>
      <c r="E117" s="243">
        <f t="shared" si="5"/>
        <v>13.165842506056848</v>
      </c>
      <c r="F117" s="243">
        <f>+Données!X117</f>
        <v>70.5</v>
      </c>
      <c r="G117" s="389">
        <f t="shared" si="6"/>
        <v>-872630.32974192209</v>
      </c>
      <c r="H117" s="163">
        <f t="shared" si="7"/>
        <v>1.0431138821983015</v>
      </c>
      <c r="I117" s="42">
        <f t="shared" si="8"/>
        <v>-910252.81098108029</v>
      </c>
    </row>
    <row r="118" spans="1:9" x14ac:dyDescent="0.25">
      <c r="A118" s="38">
        <f>Données!A118</f>
        <v>5601</v>
      </c>
      <c r="B118" s="27" t="str">
        <f>Données!B118</f>
        <v>Chexbres</v>
      </c>
      <c r="C118" s="31">
        <f>Données!Z118</f>
        <v>2229</v>
      </c>
      <c r="D118" s="243">
        <f>Ecrêtage!E118</f>
        <v>47.538982902148447</v>
      </c>
      <c r="E118" s="243">
        <f t="shared" si="5"/>
        <v>0.39384943204173339</v>
      </c>
      <c r="F118" s="243">
        <f>+Données!X118</f>
        <v>67.5</v>
      </c>
      <c r="G118" s="389">
        <f t="shared" si="6"/>
        <v>-15999.552248783159</v>
      </c>
      <c r="H118" s="163">
        <f t="shared" si="7"/>
        <v>0.99872605742390563</v>
      </c>
      <c r="I118" s="42">
        <f t="shared" si="8"/>
        <v>-15979.169737974988</v>
      </c>
    </row>
    <row r="119" spans="1:9" x14ac:dyDescent="0.25">
      <c r="A119" s="38">
        <f>Données!A119</f>
        <v>5604</v>
      </c>
      <c r="B119" s="27" t="str">
        <f>Données!B119</f>
        <v>Forel (Lavaux)</v>
      </c>
      <c r="C119" s="31">
        <f>Données!Z119</f>
        <v>2110</v>
      </c>
      <c r="D119" s="243">
        <f>Ecrêtage!E119</f>
        <v>35.927318909265743</v>
      </c>
      <c r="E119" s="243">
        <f t="shared" si="5"/>
        <v>12.005513424924438</v>
      </c>
      <c r="F119" s="243">
        <f>+Données!X119</f>
        <v>69</v>
      </c>
      <c r="G119" s="389">
        <f t="shared" si="6"/>
        <v>-471928.32887438225</v>
      </c>
      <c r="H119" s="163">
        <f t="shared" si="7"/>
        <v>1.0209199698111036</v>
      </c>
      <c r="I119" s="42">
        <f t="shared" si="8"/>
        <v>-481801.05526743887</v>
      </c>
    </row>
    <row r="120" spans="1:9" x14ac:dyDescent="0.25">
      <c r="A120" s="38">
        <f>Données!A120</f>
        <v>5606</v>
      </c>
      <c r="B120" s="27" t="str">
        <f>Données!B120</f>
        <v>Lutry</v>
      </c>
      <c r="C120" s="31">
        <f>Données!Z120</f>
        <v>10704</v>
      </c>
      <c r="D120" s="243">
        <f>Ecrêtage!E120</f>
        <v>89.628787102284861</v>
      </c>
      <c r="E120" s="243">
        <f t="shared" si="5"/>
        <v>0</v>
      </c>
      <c r="F120" s="243">
        <f>+Données!X120</f>
        <v>54</v>
      </c>
      <c r="G120" s="389">
        <f t="shared" si="6"/>
        <v>0</v>
      </c>
      <c r="H120" s="163">
        <f t="shared" si="7"/>
        <v>0.79898084593912455</v>
      </c>
      <c r="I120" s="42">
        <f t="shared" si="8"/>
        <v>0</v>
      </c>
    </row>
    <row r="121" spans="1:9" x14ac:dyDescent="0.25">
      <c r="A121" s="38">
        <f>Données!A121</f>
        <v>5607</v>
      </c>
      <c r="B121" s="27" t="str">
        <f>Données!B121</f>
        <v>Puidoux</v>
      </c>
      <c r="C121" s="31">
        <f>Données!Z121</f>
        <v>2924</v>
      </c>
      <c r="D121" s="243">
        <f>Ecrêtage!E121</f>
        <v>38.145827950304358</v>
      </c>
      <c r="E121" s="243">
        <f t="shared" si="5"/>
        <v>9.7870043838858223</v>
      </c>
      <c r="F121" s="243">
        <f>+Données!X121</f>
        <v>68.5</v>
      </c>
      <c r="G121" s="389">
        <f t="shared" si="6"/>
        <v>-529275.12913782732</v>
      </c>
      <c r="H121" s="163">
        <f t="shared" si="7"/>
        <v>1.013521999015371</v>
      </c>
      <c r="I121" s="42">
        <f t="shared" si="8"/>
        <v>-536431.98691288941</v>
      </c>
    </row>
    <row r="122" spans="1:9" x14ac:dyDescent="0.25">
      <c r="A122" s="38">
        <f>Données!A122</f>
        <v>5609</v>
      </c>
      <c r="B122" s="27" t="str">
        <f>Données!B122</f>
        <v>Rivaz</v>
      </c>
      <c r="C122" s="31">
        <f>Données!Z122</f>
        <v>331</v>
      </c>
      <c r="D122" s="243">
        <f>Ecrêtage!E122</f>
        <v>45.002686872624508</v>
      </c>
      <c r="E122" s="243">
        <f t="shared" si="5"/>
        <v>2.9301454615656723</v>
      </c>
      <c r="F122" s="243">
        <f>+Données!X122</f>
        <v>62</v>
      </c>
      <c r="G122" s="389">
        <f t="shared" si="6"/>
        <v>-16235.760193807699</v>
      </c>
      <c r="H122" s="163">
        <f t="shared" si="7"/>
        <v>0.91734837867084673</v>
      </c>
      <c r="I122" s="42">
        <f t="shared" si="8"/>
        <v>-14893.848290278165</v>
      </c>
    </row>
    <row r="123" spans="1:9" x14ac:dyDescent="0.25">
      <c r="A123" s="38">
        <f>Données!A123</f>
        <v>5610</v>
      </c>
      <c r="B123" s="27" t="str">
        <f>Données!B123</f>
        <v>St-Saphorin (Lavaux)</v>
      </c>
      <c r="C123" s="31">
        <f>Données!Z123</f>
        <v>396</v>
      </c>
      <c r="D123" s="243">
        <f>Ecrêtage!E123</f>
        <v>59.211629313973056</v>
      </c>
      <c r="E123" s="243">
        <f t="shared" si="5"/>
        <v>0</v>
      </c>
      <c r="F123" s="243">
        <f>+Données!X123</f>
        <v>72</v>
      </c>
      <c r="G123" s="389">
        <f t="shared" si="6"/>
        <v>0</v>
      </c>
      <c r="H123" s="163">
        <f t="shared" si="7"/>
        <v>1.0653077945854994</v>
      </c>
      <c r="I123" s="42">
        <f t="shared" si="8"/>
        <v>0</v>
      </c>
    </row>
    <row r="124" spans="1:9" x14ac:dyDescent="0.25">
      <c r="A124" s="38">
        <f>Données!A124</f>
        <v>5611</v>
      </c>
      <c r="B124" s="27" t="str">
        <f>Données!B124</f>
        <v>Savigny</v>
      </c>
      <c r="C124" s="31">
        <f>Données!Z124</f>
        <v>3370</v>
      </c>
      <c r="D124" s="243">
        <f>Ecrêtage!E124</f>
        <v>41.828413358849744</v>
      </c>
      <c r="E124" s="243">
        <f t="shared" si="5"/>
        <v>6.1044189753404368</v>
      </c>
      <c r="F124" s="243">
        <f>+Données!X124</f>
        <v>69</v>
      </c>
      <c r="G124" s="389">
        <f t="shared" si="6"/>
        <v>-383254.34697069618</v>
      </c>
      <c r="H124" s="163">
        <f t="shared" si="7"/>
        <v>1.0209199698111036</v>
      </c>
      <c r="I124" s="42">
        <f t="shared" si="8"/>
        <v>-391272.01633929735</v>
      </c>
    </row>
    <row r="125" spans="1:9" x14ac:dyDescent="0.25">
      <c r="A125" s="38">
        <f>Données!A125</f>
        <v>5613</v>
      </c>
      <c r="B125" s="27" t="str">
        <f>Données!B125</f>
        <v>Bourg-en-Lavaux</v>
      </c>
      <c r="C125" s="31">
        <f>Données!Z125</f>
        <v>5367</v>
      </c>
      <c r="D125" s="243">
        <f>Ecrêtage!E125</f>
        <v>66.55497850816721</v>
      </c>
      <c r="E125" s="243">
        <f t="shared" si="5"/>
        <v>0</v>
      </c>
      <c r="F125" s="243">
        <f>+Données!X125</f>
        <v>62.5</v>
      </c>
      <c r="G125" s="389">
        <f t="shared" si="6"/>
        <v>0</v>
      </c>
      <c r="H125" s="163">
        <f t="shared" si="7"/>
        <v>0.9247463494665793</v>
      </c>
      <c r="I125" s="42">
        <f t="shared" si="8"/>
        <v>0</v>
      </c>
    </row>
    <row r="126" spans="1:9" x14ac:dyDescent="0.25">
      <c r="A126" s="38">
        <f>Données!A126</f>
        <v>5621</v>
      </c>
      <c r="B126" s="27" t="str">
        <f>Données!B126</f>
        <v>Aclens</v>
      </c>
      <c r="C126" s="31">
        <f>Données!Z126</f>
        <v>517</v>
      </c>
      <c r="D126" s="243">
        <f>Ecrêtage!E126</f>
        <v>62.369727476928141</v>
      </c>
      <c r="E126" s="243">
        <f t="shared" si="5"/>
        <v>0</v>
      </c>
      <c r="F126" s="243">
        <f>+Données!X126</f>
        <v>62</v>
      </c>
      <c r="G126" s="389">
        <f t="shared" si="6"/>
        <v>0</v>
      </c>
      <c r="H126" s="163">
        <f t="shared" si="7"/>
        <v>0.91734837867084673</v>
      </c>
      <c r="I126" s="42">
        <f t="shared" si="8"/>
        <v>0</v>
      </c>
    </row>
    <row r="127" spans="1:9" x14ac:dyDescent="0.25">
      <c r="A127" s="38">
        <f>Données!A127</f>
        <v>5622</v>
      </c>
      <c r="B127" s="27" t="str">
        <f>Données!B127</f>
        <v>Bremblens</v>
      </c>
      <c r="C127" s="31">
        <f>Données!Z127</f>
        <v>607</v>
      </c>
      <c r="D127" s="243">
        <f>Ecrêtage!E127</f>
        <v>47.187131747262342</v>
      </c>
      <c r="E127" s="243">
        <f t="shared" si="5"/>
        <v>0.74570058692783903</v>
      </c>
      <c r="F127" s="243">
        <f>+Données!X127</f>
        <v>68</v>
      </c>
      <c r="G127" s="389">
        <f t="shared" si="6"/>
        <v>-8310.4751050290415</v>
      </c>
      <c r="H127" s="163">
        <f t="shared" si="7"/>
        <v>1.0061240282196384</v>
      </c>
      <c r="I127" s="42">
        <f t="shared" si="8"/>
        <v>-8361.3686890908411</v>
      </c>
    </row>
    <row r="128" spans="1:9" x14ac:dyDescent="0.25">
      <c r="A128" s="38">
        <f>Données!A128</f>
        <v>5623</v>
      </c>
      <c r="B128" s="27" t="str">
        <f>Données!B128</f>
        <v>Buchillon</v>
      </c>
      <c r="C128" s="31">
        <f>Données!Z128</f>
        <v>669</v>
      </c>
      <c r="D128" s="243">
        <f>Ecrêtage!E128</f>
        <v>133.36916609175577</v>
      </c>
      <c r="E128" s="243">
        <f t="shared" si="5"/>
        <v>0</v>
      </c>
      <c r="F128" s="243">
        <f>+Données!X128</f>
        <v>52</v>
      </c>
      <c r="G128" s="389">
        <f t="shared" si="6"/>
        <v>0</v>
      </c>
      <c r="H128" s="163">
        <f t="shared" si="7"/>
        <v>0.76938896275619395</v>
      </c>
      <c r="I128" s="42">
        <f t="shared" si="8"/>
        <v>0</v>
      </c>
    </row>
    <row r="129" spans="1:9" x14ac:dyDescent="0.25">
      <c r="A129" s="38">
        <f>Données!A129</f>
        <v>5624</v>
      </c>
      <c r="B129" s="27" t="str">
        <f>Données!B129</f>
        <v>Bussigny</v>
      </c>
      <c r="C129" s="31">
        <f>Données!Z129</f>
        <v>10253</v>
      </c>
      <c r="D129" s="243">
        <f>Ecrêtage!E129</f>
        <v>43.075447342241297</v>
      </c>
      <c r="E129" s="243">
        <f t="shared" si="5"/>
        <v>4.8573849919488836</v>
      </c>
      <c r="F129" s="243">
        <f>+Données!X129</f>
        <v>62.5</v>
      </c>
      <c r="G129" s="389">
        <f t="shared" si="6"/>
        <v>-840421.71544137597</v>
      </c>
      <c r="H129" s="163">
        <f t="shared" si="7"/>
        <v>0.9247463494665793</v>
      </c>
      <c r="I129" s="42">
        <f t="shared" si="8"/>
        <v>-777176.91336685268</v>
      </c>
    </row>
    <row r="130" spans="1:9" x14ac:dyDescent="0.25">
      <c r="A130" s="38">
        <f>Données!A130</f>
        <v>5627</v>
      </c>
      <c r="B130" s="27" t="str">
        <f>Données!B130</f>
        <v>Chavannes-près-Renens</v>
      </c>
      <c r="C130" s="31">
        <f>Données!Z130</f>
        <v>8767</v>
      </c>
      <c r="D130" s="243">
        <f>Ecrêtage!E130</f>
        <v>22.12999746115381</v>
      </c>
      <c r="E130" s="243">
        <f t="shared" si="5"/>
        <v>25.802834873036371</v>
      </c>
      <c r="F130" s="243">
        <f>+Données!X130</f>
        <v>77.5</v>
      </c>
      <c r="G130" s="389">
        <f t="shared" si="6"/>
        <v>-4733516.5109702144</v>
      </c>
      <c r="H130" s="163">
        <f t="shared" si="7"/>
        <v>1.1466854733385583</v>
      </c>
      <c r="I130" s="42">
        <f t="shared" si="8"/>
        <v>-5427854.6209377609</v>
      </c>
    </row>
    <row r="131" spans="1:9" x14ac:dyDescent="0.25">
      <c r="A131" s="38">
        <f>Données!A131</f>
        <v>5628</v>
      </c>
      <c r="B131" s="27" t="str">
        <f>Données!B131</f>
        <v>Chigny</v>
      </c>
      <c r="C131" s="31">
        <f>Données!Z131</f>
        <v>405</v>
      </c>
      <c r="D131" s="243">
        <f>Ecrêtage!E131</f>
        <v>63.68063201911589</v>
      </c>
      <c r="E131" s="243">
        <f t="shared" si="5"/>
        <v>0</v>
      </c>
      <c r="F131" s="243">
        <f>+Données!X131</f>
        <v>62</v>
      </c>
      <c r="G131" s="389">
        <f t="shared" si="6"/>
        <v>0</v>
      </c>
      <c r="H131" s="163">
        <f t="shared" si="7"/>
        <v>0.91734837867084673</v>
      </c>
      <c r="I131" s="42">
        <f t="shared" si="8"/>
        <v>0</v>
      </c>
    </row>
    <row r="132" spans="1:9" x14ac:dyDescent="0.25">
      <c r="A132" s="38">
        <f>Données!A132</f>
        <v>5629</v>
      </c>
      <c r="B132" s="27" t="str">
        <f>Données!B132</f>
        <v>Clarmont</v>
      </c>
      <c r="C132" s="31">
        <f>Données!Z132</f>
        <v>211</v>
      </c>
      <c r="D132" s="243">
        <f>Ecrêtage!E132</f>
        <v>47.146627333397824</v>
      </c>
      <c r="E132" s="243">
        <f t="shared" si="5"/>
        <v>0.78620500079235711</v>
      </c>
      <c r="F132" s="243">
        <f>+Données!X132</f>
        <v>73.5</v>
      </c>
      <c r="G132" s="389">
        <f t="shared" si="6"/>
        <v>-3292.0722687928328</v>
      </c>
      <c r="H132" s="163">
        <f t="shared" si="7"/>
        <v>1.0875017069726973</v>
      </c>
      <c r="I132" s="42">
        <f t="shared" si="8"/>
        <v>-3580.1342117896861</v>
      </c>
    </row>
    <row r="133" spans="1:9" x14ac:dyDescent="0.25">
      <c r="A133" s="38">
        <f>Données!A133</f>
        <v>5631</v>
      </c>
      <c r="B133" s="27" t="str">
        <f>Données!B133</f>
        <v>Denens</v>
      </c>
      <c r="C133" s="31">
        <f>Données!Z133</f>
        <v>733</v>
      </c>
      <c r="D133" s="243">
        <f>Ecrêtage!E133</f>
        <v>59.058454177032331</v>
      </c>
      <c r="E133" s="243">
        <f t="shared" si="5"/>
        <v>0</v>
      </c>
      <c r="F133" s="243">
        <f>+Données!X133</f>
        <v>68</v>
      </c>
      <c r="G133" s="389">
        <f t="shared" si="6"/>
        <v>0</v>
      </c>
      <c r="H133" s="163">
        <f t="shared" si="7"/>
        <v>1.0061240282196384</v>
      </c>
      <c r="I133" s="42">
        <f t="shared" si="8"/>
        <v>0</v>
      </c>
    </row>
    <row r="134" spans="1:9" x14ac:dyDescent="0.25">
      <c r="A134" s="38">
        <f>Données!A134</f>
        <v>5632</v>
      </c>
      <c r="B134" s="27" t="str">
        <f>Données!B134</f>
        <v>Denges</v>
      </c>
      <c r="C134" s="31">
        <f>Données!Z134</f>
        <v>1744</v>
      </c>
      <c r="D134" s="243">
        <f>Ecrêtage!E134</f>
        <v>46.160936667653147</v>
      </c>
      <c r="E134" s="243">
        <f t="shared" si="5"/>
        <v>1.7718956665370342</v>
      </c>
      <c r="F134" s="243">
        <f>+Données!X134</f>
        <v>62</v>
      </c>
      <c r="G134" s="389">
        <f t="shared" si="6"/>
        <v>-51729.714350455441</v>
      </c>
      <c r="H134" s="163">
        <f t="shared" si="7"/>
        <v>0.91734837867084673</v>
      </c>
      <c r="I134" s="42">
        <f t="shared" si="8"/>
        <v>-47454.169588496334</v>
      </c>
    </row>
    <row r="135" spans="1:9" x14ac:dyDescent="0.25">
      <c r="A135" s="38">
        <f>Données!A135</f>
        <v>5633</v>
      </c>
      <c r="B135" s="27" t="str">
        <f>Données!B135</f>
        <v>Echandens</v>
      </c>
      <c r="C135" s="31">
        <f>Données!Z135</f>
        <v>2775</v>
      </c>
      <c r="D135" s="243">
        <f>Ecrêtage!E135</f>
        <v>60.835998808726089</v>
      </c>
      <c r="E135" s="243">
        <f t="shared" ref="E135:E198" si="9">IF($D$306-D135&lt;0,0,$D$306-D135)</f>
        <v>0</v>
      </c>
      <c r="F135" s="243">
        <f>+Données!X135</f>
        <v>60.5</v>
      </c>
      <c r="G135" s="389">
        <f t="shared" ref="G135:G198" si="10">-((C135*E135*F135)*$E$5)</f>
        <v>0</v>
      </c>
      <c r="H135" s="163">
        <f t="shared" ref="H135:H198" si="11">F135/$F$306</f>
        <v>0.89515446628364881</v>
      </c>
      <c r="I135" s="42">
        <f t="shared" ref="I135:I198" si="12">G135*H135</f>
        <v>0</v>
      </c>
    </row>
    <row r="136" spans="1:9" x14ac:dyDescent="0.25">
      <c r="A136" s="38">
        <f>Données!A136</f>
        <v>5634</v>
      </c>
      <c r="B136" s="27" t="str">
        <f>Données!B136</f>
        <v>Echichens</v>
      </c>
      <c r="C136" s="31">
        <f>Données!Z136</f>
        <v>3142</v>
      </c>
      <c r="D136" s="243">
        <f>Ecrêtage!E136</f>
        <v>48.555336496730519</v>
      </c>
      <c r="E136" s="243">
        <f t="shared" si="9"/>
        <v>0</v>
      </c>
      <c r="F136" s="243">
        <f>+Données!X136</f>
        <v>66</v>
      </c>
      <c r="G136" s="389">
        <f t="shared" si="10"/>
        <v>0</v>
      </c>
      <c r="H136" s="163">
        <f t="shared" si="11"/>
        <v>0.97653214503670782</v>
      </c>
      <c r="I136" s="42">
        <f t="shared" si="12"/>
        <v>0</v>
      </c>
    </row>
    <row r="137" spans="1:9" x14ac:dyDescent="0.25">
      <c r="A137" s="38">
        <f>Données!A137</f>
        <v>5635</v>
      </c>
      <c r="B137" s="27" t="str">
        <f>Données!B137</f>
        <v>Ecublens</v>
      </c>
      <c r="C137" s="31">
        <f>Données!Z137</f>
        <v>13214</v>
      </c>
      <c r="D137" s="243">
        <f>Ecrêtage!E137</f>
        <v>49.639489496998131</v>
      </c>
      <c r="E137" s="243">
        <f t="shared" si="9"/>
        <v>0</v>
      </c>
      <c r="F137" s="243">
        <f>+Données!X137</f>
        <v>62.5</v>
      </c>
      <c r="G137" s="389">
        <f t="shared" si="10"/>
        <v>0</v>
      </c>
      <c r="H137" s="163">
        <f t="shared" si="11"/>
        <v>0.9247463494665793</v>
      </c>
      <c r="I137" s="42">
        <f t="shared" si="12"/>
        <v>0</v>
      </c>
    </row>
    <row r="138" spans="1:9" x14ac:dyDescent="0.25">
      <c r="A138" s="38">
        <f>Données!A138</f>
        <v>5636</v>
      </c>
      <c r="B138" s="27" t="str">
        <f>Données!B138</f>
        <v>Etoy</v>
      </c>
      <c r="C138" s="31">
        <f>Données!Z138</f>
        <v>2918</v>
      </c>
      <c r="D138" s="243">
        <f>Ecrêtage!E138</f>
        <v>64.064852010509483</v>
      </c>
      <c r="E138" s="243">
        <f t="shared" si="9"/>
        <v>0</v>
      </c>
      <c r="F138" s="243">
        <f>+Données!X138</f>
        <v>60</v>
      </c>
      <c r="G138" s="389">
        <f t="shared" si="10"/>
        <v>0</v>
      </c>
      <c r="H138" s="163">
        <f t="shared" si="11"/>
        <v>0.88775649548791613</v>
      </c>
      <c r="I138" s="42">
        <f t="shared" si="12"/>
        <v>0</v>
      </c>
    </row>
    <row r="139" spans="1:9" x14ac:dyDescent="0.25">
      <c r="A139" s="38">
        <f>Données!A139</f>
        <v>5637</v>
      </c>
      <c r="B139" s="27" t="str">
        <f>Données!B139</f>
        <v>Lavigny</v>
      </c>
      <c r="C139" s="31">
        <f>Données!Z139</f>
        <v>1026</v>
      </c>
      <c r="D139" s="243">
        <f>Ecrêtage!E139</f>
        <v>36.938987155865313</v>
      </c>
      <c r="E139" s="243">
        <f t="shared" si="9"/>
        <v>10.993845178324868</v>
      </c>
      <c r="F139" s="243">
        <f>+Données!X139</f>
        <v>73</v>
      </c>
      <c r="G139" s="389">
        <f t="shared" si="10"/>
        <v>-222322.59436486752</v>
      </c>
      <c r="H139" s="163">
        <f t="shared" si="11"/>
        <v>1.0801037361769648</v>
      </c>
      <c r="I139" s="42">
        <f t="shared" si="12"/>
        <v>-240131.46481004922</v>
      </c>
    </row>
    <row r="140" spans="1:9" x14ac:dyDescent="0.25">
      <c r="A140" s="38">
        <f>Données!A140</f>
        <v>5638</v>
      </c>
      <c r="B140" s="27" t="str">
        <f>Données!B140</f>
        <v>Lonay</v>
      </c>
      <c r="C140" s="31">
        <f>Données!Z140</f>
        <v>2751</v>
      </c>
      <c r="D140" s="243">
        <f>Ecrêtage!E140</f>
        <v>63.291939129572718</v>
      </c>
      <c r="E140" s="243">
        <f t="shared" si="9"/>
        <v>0</v>
      </c>
      <c r="F140" s="243">
        <f>+Données!X140</f>
        <v>55</v>
      </c>
      <c r="G140" s="389">
        <f t="shared" si="10"/>
        <v>0</v>
      </c>
      <c r="H140" s="163">
        <f t="shared" si="11"/>
        <v>0.8137767875305898</v>
      </c>
      <c r="I140" s="42">
        <f t="shared" si="12"/>
        <v>0</v>
      </c>
    </row>
    <row r="141" spans="1:9" x14ac:dyDescent="0.25">
      <c r="A141" s="38">
        <f>Données!A141</f>
        <v>5639</v>
      </c>
      <c r="B141" s="27" t="str">
        <f>Données!B141</f>
        <v>Lully</v>
      </c>
      <c r="C141" s="31">
        <f>Données!Z141</f>
        <v>828</v>
      </c>
      <c r="D141" s="243">
        <f>Ecrêtage!E141</f>
        <v>64.862722736992168</v>
      </c>
      <c r="E141" s="243">
        <f t="shared" si="9"/>
        <v>0</v>
      </c>
      <c r="F141" s="243">
        <f>+Données!X141</f>
        <v>61</v>
      </c>
      <c r="G141" s="389">
        <f t="shared" si="10"/>
        <v>0</v>
      </c>
      <c r="H141" s="163">
        <f t="shared" si="11"/>
        <v>0.90255243707938138</v>
      </c>
      <c r="I141" s="42">
        <f t="shared" si="12"/>
        <v>0</v>
      </c>
    </row>
    <row r="142" spans="1:9" x14ac:dyDescent="0.25">
      <c r="A142" s="38">
        <f>Données!A142</f>
        <v>5640</v>
      </c>
      <c r="B142" s="27" t="str">
        <f>Données!B142</f>
        <v>Lussy-sur-Morges</v>
      </c>
      <c r="C142" s="31">
        <f>Données!Z142</f>
        <v>740</v>
      </c>
      <c r="D142" s="243">
        <f>Ecrêtage!E142</f>
        <v>95.304164047768722</v>
      </c>
      <c r="E142" s="243">
        <f t="shared" si="9"/>
        <v>0</v>
      </c>
      <c r="F142" s="243">
        <f>+Données!X142</f>
        <v>64.5</v>
      </c>
      <c r="G142" s="389">
        <f t="shared" si="10"/>
        <v>0</v>
      </c>
      <c r="H142" s="163">
        <f t="shared" si="11"/>
        <v>0.9543382326495099</v>
      </c>
      <c r="I142" s="42">
        <f t="shared" si="12"/>
        <v>0</v>
      </c>
    </row>
    <row r="143" spans="1:9" x14ac:dyDescent="0.25">
      <c r="A143" s="38">
        <f>Données!A143</f>
        <v>5642</v>
      </c>
      <c r="B143" s="27" t="str">
        <f>Données!B143</f>
        <v>Morges</v>
      </c>
      <c r="C143" s="31">
        <f>Données!Z143</f>
        <v>16885</v>
      </c>
      <c r="D143" s="243">
        <f>Ecrêtage!E143</f>
        <v>49.635422325741743</v>
      </c>
      <c r="E143" s="243">
        <f t="shared" si="9"/>
        <v>0</v>
      </c>
      <c r="F143" s="243">
        <f>+Données!X143</f>
        <v>67</v>
      </c>
      <c r="G143" s="389">
        <f t="shared" si="10"/>
        <v>0</v>
      </c>
      <c r="H143" s="163">
        <f t="shared" si="11"/>
        <v>0.99132808662817307</v>
      </c>
      <c r="I143" s="42">
        <f t="shared" si="12"/>
        <v>0</v>
      </c>
    </row>
    <row r="144" spans="1:9" x14ac:dyDescent="0.25">
      <c r="A144" s="38">
        <f>Données!A144</f>
        <v>5643</v>
      </c>
      <c r="B144" s="27" t="str">
        <f>Données!B144</f>
        <v>Préverenges</v>
      </c>
      <c r="C144" s="31">
        <f>Données!Z144</f>
        <v>5208</v>
      </c>
      <c r="D144" s="243">
        <f>Ecrêtage!E144</f>
        <v>49.485491827956992</v>
      </c>
      <c r="E144" s="243">
        <f t="shared" si="9"/>
        <v>0</v>
      </c>
      <c r="F144" s="243">
        <f>+Données!X144</f>
        <v>62.5</v>
      </c>
      <c r="G144" s="389">
        <f t="shared" si="10"/>
        <v>0</v>
      </c>
      <c r="H144" s="163">
        <f t="shared" si="11"/>
        <v>0.9247463494665793</v>
      </c>
      <c r="I144" s="42">
        <f t="shared" si="12"/>
        <v>0</v>
      </c>
    </row>
    <row r="145" spans="1:9" x14ac:dyDescent="0.25">
      <c r="A145" s="38">
        <f>Données!A145</f>
        <v>5645</v>
      </c>
      <c r="B145" s="27" t="str">
        <f>Données!B145</f>
        <v>Romanel-sur-Morges</v>
      </c>
      <c r="C145" s="31">
        <f>Données!Z145</f>
        <v>466</v>
      </c>
      <c r="D145" s="243">
        <f>Ecrêtage!E145</f>
        <v>57.03131782648682</v>
      </c>
      <c r="E145" s="243">
        <f t="shared" si="9"/>
        <v>0</v>
      </c>
      <c r="F145" s="243">
        <f>+Données!X145</f>
        <v>56</v>
      </c>
      <c r="G145" s="389">
        <f t="shared" si="10"/>
        <v>0</v>
      </c>
      <c r="H145" s="163">
        <f t="shared" si="11"/>
        <v>0.82857272912205504</v>
      </c>
      <c r="I145" s="42">
        <f t="shared" si="12"/>
        <v>0</v>
      </c>
    </row>
    <row r="146" spans="1:9" x14ac:dyDescent="0.25">
      <c r="A146" s="38">
        <f>Données!A146</f>
        <v>5646</v>
      </c>
      <c r="B146" s="27" t="str">
        <f>Données!B146</f>
        <v>Saint-Prex</v>
      </c>
      <c r="C146" s="31">
        <f>Données!Z146</f>
        <v>5866</v>
      </c>
      <c r="D146" s="243">
        <f>Ecrêtage!E146</f>
        <v>89.901572694123573</v>
      </c>
      <c r="E146" s="243">
        <f t="shared" si="9"/>
        <v>0</v>
      </c>
      <c r="F146" s="243">
        <f>+Données!X146</f>
        <v>59</v>
      </c>
      <c r="G146" s="389">
        <f t="shared" si="10"/>
        <v>0</v>
      </c>
      <c r="H146" s="163">
        <f t="shared" si="11"/>
        <v>0.87296055389645089</v>
      </c>
      <c r="I146" s="42">
        <f t="shared" si="12"/>
        <v>0</v>
      </c>
    </row>
    <row r="147" spans="1:9" x14ac:dyDescent="0.25">
      <c r="A147" s="38">
        <f>Données!A147</f>
        <v>5648</v>
      </c>
      <c r="B147" s="27" t="str">
        <f>Données!B147</f>
        <v>Saint-Sulpice</v>
      </c>
      <c r="C147" s="31">
        <f>Données!Z147</f>
        <v>4932</v>
      </c>
      <c r="D147" s="243">
        <f>Ecrêtage!E147</f>
        <v>79.958975475558489</v>
      </c>
      <c r="E147" s="243">
        <f t="shared" si="9"/>
        <v>0</v>
      </c>
      <c r="F147" s="243">
        <f>+Données!X147</f>
        <v>55</v>
      </c>
      <c r="G147" s="389">
        <f t="shared" si="10"/>
        <v>0</v>
      </c>
      <c r="H147" s="163">
        <f t="shared" si="11"/>
        <v>0.8137767875305898</v>
      </c>
      <c r="I147" s="42">
        <f t="shared" si="12"/>
        <v>0</v>
      </c>
    </row>
    <row r="148" spans="1:9" x14ac:dyDescent="0.25">
      <c r="A148" s="38">
        <f>Données!A148</f>
        <v>5649</v>
      </c>
      <c r="B148" s="27" t="str">
        <f>Données!B148</f>
        <v>Tolochenaz</v>
      </c>
      <c r="C148" s="31">
        <f>Données!Z148</f>
        <v>1886</v>
      </c>
      <c r="D148" s="243">
        <f>Ecrêtage!E148</f>
        <v>82.482660226670177</v>
      </c>
      <c r="E148" s="243">
        <f t="shared" si="9"/>
        <v>0</v>
      </c>
      <c r="F148" s="243">
        <f>+Données!X148</f>
        <v>64</v>
      </c>
      <c r="G148" s="389">
        <f t="shared" si="10"/>
        <v>0</v>
      </c>
      <c r="H148" s="163">
        <f t="shared" si="11"/>
        <v>0.94694026185377722</v>
      </c>
      <c r="I148" s="42">
        <f t="shared" si="12"/>
        <v>0</v>
      </c>
    </row>
    <row r="149" spans="1:9" x14ac:dyDescent="0.25">
      <c r="A149" s="38">
        <f>Données!A149</f>
        <v>5650</v>
      </c>
      <c r="B149" s="27" t="str">
        <f>Données!B149</f>
        <v>Vaux-sur-Morges</v>
      </c>
      <c r="C149" s="31">
        <f>Données!Z149</f>
        <v>196</v>
      </c>
      <c r="D149" s="243">
        <f>Ecrêtage!E149</f>
        <v>424.10821519679297</v>
      </c>
      <c r="E149" s="243">
        <f t="shared" si="9"/>
        <v>0</v>
      </c>
      <c r="F149" s="243">
        <f>+Données!X149</f>
        <v>56</v>
      </c>
      <c r="G149" s="389">
        <f t="shared" si="10"/>
        <v>0</v>
      </c>
      <c r="H149" s="163">
        <f t="shared" si="11"/>
        <v>0.82857272912205504</v>
      </c>
      <c r="I149" s="42">
        <f t="shared" si="12"/>
        <v>0</v>
      </c>
    </row>
    <row r="150" spans="1:9" x14ac:dyDescent="0.25">
      <c r="A150" s="38">
        <f>Données!A150</f>
        <v>5651</v>
      </c>
      <c r="B150" s="27" t="str">
        <f>Données!B150</f>
        <v>Villars-Sainte-Croix</v>
      </c>
      <c r="C150" s="31">
        <f>Données!Z150</f>
        <v>958</v>
      </c>
      <c r="D150" s="243">
        <f>Ecrêtage!E150</f>
        <v>59.966775306682308</v>
      </c>
      <c r="E150" s="243">
        <f t="shared" si="9"/>
        <v>0</v>
      </c>
      <c r="F150" s="243">
        <f>+Données!X150</f>
        <v>60.5</v>
      </c>
      <c r="G150" s="389">
        <f t="shared" si="10"/>
        <v>0</v>
      </c>
      <c r="H150" s="163">
        <f t="shared" si="11"/>
        <v>0.89515446628364881</v>
      </c>
      <c r="I150" s="42">
        <f t="shared" si="12"/>
        <v>0</v>
      </c>
    </row>
    <row r="151" spans="1:9" x14ac:dyDescent="0.25">
      <c r="A151" s="38">
        <f>Données!A151</f>
        <v>5652</v>
      </c>
      <c r="B151" s="27" t="str">
        <f>Données!B151</f>
        <v>Villars-sous-Yens</v>
      </c>
      <c r="C151" s="31">
        <f>Données!Z151</f>
        <v>626</v>
      </c>
      <c r="D151" s="243">
        <f>Ecrêtage!E151</f>
        <v>41.385944874166242</v>
      </c>
      <c r="E151" s="243">
        <f t="shared" si="9"/>
        <v>6.5468874600239388</v>
      </c>
      <c r="F151" s="243">
        <f>+Données!X151</f>
        <v>76</v>
      </c>
      <c r="G151" s="389">
        <f t="shared" si="10"/>
        <v>-84098.173805486716</v>
      </c>
      <c r="H151" s="163">
        <f t="shared" si="11"/>
        <v>1.1244915609513604</v>
      </c>
      <c r="I151" s="42">
        <f t="shared" si="12"/>
        <v>-94567.686735690571</v>
      </c>
    </row>
    <row r="152" spans="1:9" x14ac:dyDescent="0.25">
      <c r="A152" s="38">
        <f>Données!A152</f>
        <v>5653</v>
      </c>
      <c r="B152" s="27" t="str">
        <f>Données!B152</f>
        <v>Vufflens-le-Château</v>
      </c>
      <c r="C152" s="31">
        <f>Données!Z152</f>
        <v>894</v>
      </c>
      <c r="D152" s="243">
        <f>Ecrêtage!E152</f>
        <v>75.711703283045566</v>
      </c>
      <c r="E152" s="243">
        <f t="shared" si="9"/>
        <v>0</v>
      </c>
      <c r="F152" s="243">
        <f>+Données!X152</f>
        <v>58.5</v>
      </c>
      <c r="G152" s="389">
        <f t="shared" si="10"/>
        <v>0</v>
      </c>
      <c r="H152" s="163">
        <f t="shared" si="11"/>
        <v>0.86556258310071821</v>
      </c>
      <c r="I152" s="42">
        <f t="shared" si="12"/>
        <v>0</v>
      </c>
    </row>
    <row r="153" spans="1:9" x14ac:dyDescent="0.25">
      <c r="A153" s="38">
        <f>Données!A153</f>
        <v>5654</v>
      </c>
      <c r="B153" s="27" t="str">
        <f>Données!B153</f>
        <v>Vullierens</v>
      </c>
      <c r="C153" s="31">
        <f>Données!Z153</f>
        <v>560</v>
      </c>
      <c r="D153" s="243">
        <f>Ecrêtage!E153</f>
        <v>36.899855263157896</v>
      </c>
      <c r="E153" s="243">
        <f t="shared" si="9"/>
        <v>11.032977071032285</v>
      </c>
      <c r="F153" s="243">
        <f>+Données!X153</f>
        <v>76</v>
      </c>
      <c r="G153" s="389">
        <f t="shared" si="10"/>
        <v>-126782.1461186462</v>
      </c>
      <c r="H153" s="163">
        <f t="shared" si="11"/>
        <v>1.1244915609513604</v>
      </c>
      <c r="I153" s="42">
        <f t="shared" si="12"/>
        <v>-142565.45338971991</v>
      </c>
    </row>
    <row r="154" spans="1:9" x14ac:dyDescent="0.25">
      <c r="A154" s="38">
        <f>Données!A154</f>
        <v>5655</v>
      </c>
      <c r="B154" s="27" t="str">
        <f>Données!B154</f>
        <v>Yens</v>
      </c>
      <c r="C154" s="31">
        <f>Données!Z154</f>
        <v>1499</v>
      </c>
      <c r="D154" s="243">
        <f>Ecrêtage!E154</f>
        <v>49.188342717989144</v>
      </c>
      <c r="E154" s="243">
        <f t="shared" si="9"/>
        <v>0</v>
      </c>
      <c r="F154" s="243">
        <f>+Données!X154</f>
        <v>71.5</v>
      </c>
      <c r="G154" s="389">
        <f t="shared" si="10"/>
        <v>0</v>
      </c>
      <c r="H154" s="163">
        <f t="shared" si="11"/>
        <v>1.0579098237897668</v>
      </c>
      <c r="I154" s="42">
        <f t="shared" si="12"/>
        <v>0</v>
      </c>
    </row>
    <row r="155" spans="1:9" x14ac:dyDescent="0.25">
      <c r="A155" s="38">
        <f>Données!A155</f>
        <v>5656</v>
      </c>
      <c r="B155" s="27" t="str">
        <f>Données!B155</f>
        <v>Hautemorges</v>
      </c>
      <c r="C155" s="31">
        <f>Données!Z155</f>
        <v>4173</v>
      </c>
      <c r="D155" s="243">
        <f>Ecrêtage!E155</f>
        <v>41.25564526618696</v>
      </c>
      <c r="E155" s="243">
        <f t="shared" si="9"/>
        <v>6.6771870680032208</v>
      </c>
      <c r="F155" s="243">
        <f>+Données!X155</f>
        <v>73.459999999999994</v>
      </c>
      <c r="G155" s="389">
        <f t="shared" si="10"/>
        <v>-552658.19780450268</v>
      </c>
      <c r="H155" s="163">
        <f t="shared" si="11"/>
        <v>1.0869098693090387</v>
      </c>
      <c r="I155" s="42">
        <f t="shared" si="12"/>
        <v>-600689.64954826084</v>
      </c>
    </row>
    <row r="156" spans="1:9" x14ac:dyDescent="0.25">
      <c r="A156" s="38">
        <f>Données!A156</f>
        <v>5661</v>
      </c>
      <c r="B156" s="27" t="str">
        <f>Données!B156</f>
        <v>Boulens</v>
      </c>
      <c r="C156" s="31">
        <f>Données!Z156</f>
        <v>371</v>
      </c>
      <c r="D156" s="243">
        <f>Ecrêtage!E156</f>
        <v>30.259616986786799</v>
      </c>
      <c r="E156" s="243">
        <f t="shared" si="9"/>
        <v>17.673215347403382</v>
      </c>
      <c r="F156" s="243">
        <f>+Données!X156</f>
        <v>71.5</v>
      </c>
      <c r="G156" s="389">
        <f t="shared" si="10"/>
        <v>-126578.30766648188</v>
      </c>
      <c r="H156" s="163">
        <f t="shared" si="11"/>
        <v>1.0579098237897668</v>
      </c>
      <c r="I156" s="42">
        <f t="shared" si="12"/>
        <v>-133908.43515905473</v>
      </c>
    </row>
    <row r="157" spans="1:9" x14ac:dyDescent="0.25">
      <c r="A157" s="38">
        <f>Données!A157</f>
        <v>5663</v>
      </c>
      <c r="B157" s="27" t="str">
        <f>Données!B157</f>
        <v>Bussy-sur-Moudon</v>
      </c>
      <c r="C157" s="31">
        <f>Données!Z157</f>
        <v>236</v>
      </c>
      <c r="D157" s="243">
        <f>Ecrêtage!E157</f>
        <v>22.30344758717478</v>
      </c>
      <c r="E157" s="243">
        <f t="shared" si="9"/>
        <v>25.629384747015401</v>
      </c>
      <c r="F157" s="243">
        <f>+Données!X157</f>
        <v>78.5</v>
      </c>
      <c r="G157" s="389">
        <f t="shared" si="10"/>
        <v>-128198.69509226597</v>
      </c>
      <c r="H157" s="163">
        <f t="shared" si="11"/>
        <v>1.1614814149300237</v>
      </c>
      <c r="I157" s="42">
        <f t="shared" si="12"/>
        <v>-148900.40176794777</v>
      </c>
    </row>
    <row r="158" spans="1:9" x14ac:dyDescent="0.25">
      <c r="A158" s="38">
        <f>Données!A158</f>
        <v>5665</v>
      </c>
      <c r="B158" s="27" t="str">
        <f>Données!B158</f>
        <v>Chavannes-sur-Moudon</v>
      </c>
      <c r="C158" s="31">
        <f>Données!Z158</f>
        <v>222</v>
      </c>
      <c r="D158" s="243">
        <f>Ecrêtage!E158</f>
        <v>22.165567567567575</v>
      </c>
      <c r="E158" s="243">
        <f t="shared" si="9"/>
        <v>25.767264766622606</v>
      </c>
      <c r="F158" s="243">
        <f>+Données!X158</f>
        <v>70</v>
      </c>
      <c r="G158" s="389">
        <f t="shared" si="10"/>
        <v>-108114.28950779515</v>
      </c>
      <c r="H158" s="163">
        <f t="shared" si="11"/>
        <v>1.0357159114025689</v>
      </c>
      <c r="I158" s="42">
        <f t="shared" si="12"/>
        <v>-111975.68989320725</v>
      </c>
    </row>
    <row r="159" spans="1:9" x14ac:dyDescent="0.25">
      <c r="A159" s="38">
        <f>Données!A159</f>
        <v>5669</v>
      </c>
      <c r="B159" s="27" t="str">
        <f>Données!B159</f>
        <v>Curtilles</v>
      </c>
      <c r="C159" s="31">
        <f>Données!Z159</f>
        <v>296</v>
      </c>
      <c r="D159" s="243">
        <f>Ecrêtage!E159</f>
        <v>31.545985283228436</v>
      </c>
      <c r="E159" s="243">
        <f t="shared" si="9"/>
        <v>16.386847050961745</v>
      </c>
      <c r="F159" s="243">
        <f>+Données!X159</f>
        <v>73</v>
      </c>
      <c r="G159" s="389">
        <f t="shared" si="10"/>
        <v>-95603.487590838995</v>
      </c>
      <c r="H159" s="163">
        <f t="shared" si="11"/>
        <v>1.0801037361769648</v>
      </c>
      <c r="I159" s="42">
        <f t="shared" si="12"/>
        <v>-103261.68413841329</v>
      </c>
    </row>
    <row r="160" spans="1:9" x14ac:dyDescent="0.25">
      <c r="A160" s="38">
        <f>Données!A160</f>
        <v>5671</v>
      </c>
      <c r="B160" s="27" t="str">
        <f>Données!B160</f>
        <v>Dompierre</v>
      </c>
      <c r="C160" s="31">
        <f>Données!Z160</f>
        <v>246</v>
      </c>
      <c r="D160" s="243">
        <f>Ecrêtage!E160</f>
        <v>26.27438920158432</v>
      </c>
      <c r="E160" s="243">
        <f t="shared" si="9"/>
        <v>21.658443132605861</v>
      </c>
      <c r="F160" s="243">
        <f>+Données!X160</f>
        <v>78</v>
      </c>
      <c r="G160" s="389">
        <f t="shared" si="10"/>
        <v>-112207.19584367915</v>
      </c>
      <c r="H160" s="163">
        <f t="shared" si="11"/>
        <v>1.1540834441342911</v>
      </c>
      <c r="I160" s="42">
        <f t="shared" si="12"/>
        <v>-129496.46703592414</v>
      </c>
    </row>
    <row r="161" spans="1:9" x14ac:dyDescent="0.25">
      <c r="A161" s="38">
        <f>Données!A161</f>
        <v>5673</v>
      </c>
      <c r="B161" s="27" t="str">
        <f>Données!B161</f>
        <v>Hermenches</v>
      </c>
      <c r="C161" s="31">
        <f>Données!Z161</f>
        <v>371</v>
      </c>
      <c r="D161" s="243">
        <f>Ecrêtage!E161</f>
        <v>27.566624493463152</v>
      </c>
      <c r="E161" s="243">
        <f t="shared" si="9"/>
        <v>20.366207840727029</v>
      </c>
      <c r="F161" s="243">
        <f>+Données!X161</f>
        <v>73.5</v>
      </c>
      <c r="G161" s="389">
        <f t="shared" si="10"/>
        <v>-149946.10339631359</v>
      </c>
      <c r="H161" s="163">
        <f t="shared" si="11"/>
        <v>1.0875017069726973</v>
      </c>
      <c r="I161" s="42">
        <f t="shared" si="12"/>
        <v>-163066.64339739559</v>
      </c>
    </row>
    <row r="162" spans="1:9" x14ac:dyDescent="0.25">
      <c r="A162" s="38">
        <f>Données!A162</f>
        <v>5674</v>
      </c>
      <c r="B162" s="27" t="str">
        <f>Données!B162</f>
        <v>Lovatens</v>
      </c>
      <c r="C162" s="31">
        <f>Données!Z162</f>
        <v>146</v>
      </c>
      <c r="D162" s="243">
        <f>Ecrêtage!E162</f>
        <v>28.922648401826486</v>
      </c>
      <c r="E162" s="243">
        <f t="shared" si="9"/>
        <v>19.010183932363695</v>
      </c>
      <c r="F162" s="243">
        <f>+Données!X162</f>
        <v>75</v>
      </c>
      <c r="G162" s="389">
        <f t="shared" si="10"/>
        <v>-56203.608796033266</v>
      </c>
      <c r="H162" s="163">
        <f t="shared" si="11"/>
        <v>1.1096956193598952</v>
      </c>
      <c r="I162" s="42">
        <f t="shared" si="12"/>
        <v>-62368.898473175388</v>
      </c>
    </row>
    <row r="163" spans="1:9" x14ac:dyDescent="0.25">
      <c r="A163" s="38">
        <f>Données!A163</f>
        <v>5675</v>
      </c>
      <c r="B163" s="27" t="str">
        <f>Données!B163</f>
        <v>Lucens</v>
      </c>
      <c r="C163" s="31">
        <f>Données!Z163</f>
        <v>4373</v>
      </c>
      <c r="D163" s="243">
        <f>Ecrêtage!E163</f>
        <v>24.045238293445934</v>
      </c>
      <c r="E163" s="243">
        <f t="shared" si="9"/>
        <v>23.887594040744247</v>
      </c>
      <c r="F163" s="243">
        <f>+Données!X163</f>
        <v>67.5</v>
      </c>
      <c r="G163" s="389">
        <f t="shared" si="10"/>
        <v>-1903791.6782896819</v>
      </c>
      <c r="H163" s="163">
        <f t="shared" si="11"/>
        <v>0.99872605742390563</v>
      </c>
      <c r="I163" s="42">
        <f t="shared" si="12"/>
        <v>-1901366.3570146945</v>
      </c>
    </row>
    <row r="164" spans="1:9" x14ac:dyDescent="0.25">
      <c r="A164" s="38">
        <f>Données!A164</f>
        <v>5678</v>
      </c>
      <c r="B164" s="27" t="str">
        <f>Données!B164</f>
        <v>Moudon</v>
      </c>
      <c r="C164" s="31">
        <f>Données!Z164</f>
        <v>6120</v>
      </c>
      <c r="D164" s="243">
        <f>Ecrêtage!E164</f>
        <v>20.394537638043726</v>
      </c>
      <c r="E164" s="243">
        <f t="shared" si="9"/>
        <v>27.538294696146455</v>
      </c>
      <c r="F164" s="243">
        <f>+Données!X164</f>
        <v>72.5</v>
      </c>
      <c r="G164" s="389">
        <f t="shared" si="10"/>
        <v>-3299060.1663036491</v>
      </c>
      <c r="H164" s="163">
        <f t="shared" si="11"/>
        <v>1.072705765381232</v>
      </c>
      <c r="I164" s="42">
        <f t="shared" si="12"/>
        <v>-3538920.8607334904</v>
      </c>
    </row>
    <row r="165" spans="1:9" x14ac:dyDescent="0.25">
      <c r="A165" s="38">
        <f>Données!A165</f>
        <v>5680</v>
      </c>
      <c r="B165" s="27" t="str">
        <f>Données!B165</f>
        <v>Ogens</v>
      </c>
      <c r="C165" s="31">
        <f>Données!Z165</f>
        <v>321</v>
      </c>
      <c r="D165" s="243">
        <f>Ecrêtage!E165</f>
        <v>26.485086535133266</v>
      </c>
      <c r="E165" s="243">
        <f t="shared" si="9"/>
        <v>21.447745799056914</v>
      </c>
      <c r="F165" s="243">
        <f>+Données!X165</f>
        <v>78</v>
      </c>
      <c r="G165" s="389">
        <f t="shared" si="10"/>
        <v>-144992.3380155325</v>
      </c>
      <c r="H165" s="163">
        <f t="shared" si="11"/>
        <v>1.1540834441342911</v>
      </c>
      <c r="I165" s="42">
        <f t="shared" si="12"/>
        <v>-167333.25683004904</v>
      </c>
    </row>
    <row r="166" spans="1:9" x14ac:dyDescent="0.25">
      <c r="A166" s="38">
        <f>Données!A166</f>
        <v>5683</v>
      </c>
      <c r="B166" s="27" t="str">
        <f>Données!B166</f>
        <v>Prévonloup</v>
      </c>
      <c r="C166" s="31">
        <f>Données!Z166</f>
        <v>215</v>
      </c>
      <c r="D166" s="243">
        <f>Ecrêtage!E166</f>
        <v>25.052836567762629</v>
      </c>
      <c r="E166" s="243">
        <f t="shared" si="9"/>
        <v>22.879995766427552</v>
      </c>
      <c r="F166" s="243">
        <f>+Données!X166</f>
        <v>72.5</v>
      </c>
      <c r="G166" s="389">
        <f t="shared" si="10"/>
        <v>-96293.322182481148</v>
      </c>
      <c r="H166" s="163">
        <f t="shared" si="11"/>
        <v>1.072705765381232</v>
      </c>
      <c r="I166" s="42">
        <f t="shared" si="12"/>
        <v>-103294.40187286001</v>
      </c>
    </row>
    <row r="167" spans="1:9" x14ac:dyDescent="0.25">
      <c r="A167" s="38">
        <f>Données!A167</f>
        <v>5684</v>
      </c>
      <c r="B167" s="27" t="str">
        <f>Données!B167</f>
        <v>Rossenges</v>
      </c>
      <c r="C167" s="31">
        <f>Données!Z167</f>
        <v>93</v>
      </c>
      <c r="D167" s="243">
        <f>Ecrêtage!E167</f>
        <v>34.983131899641577</v>
      </c>
      <c r="E167" s="243">
        <f t="shared" si="9"/>
        <v>12.949700434548603</v>
      </c>
      <c r="F167" s="243">
        <f>+Données!X167</f>
        <v>75</v>
      </c>
      <c r="G167" s="389">
        <f t="shared" si="10"/>
        <v>-24387.52334336366</v>
      </c>
      <c r="H167" s="163">
        <f t="shared" si="11"/>
        <v>1.1096956193598952</v>
      </c>
      <c r="I167" s="42">
        <f t="shared" si="12"/>
        <v>-27062.727821167842</v>
      </c>
    </row>
    <row r="168" spans="1:9" x14ac:dyDescent="0.25">
      <c r="A168" s="38">
        <f>Données!A168</f>
        <v>5688</v>
      </c>
      <c r="B168" s="27" t="str">
        <f>Données!B168</f>
        <v>Syens</v>
      </c>
      <c r="C168" s="31">
        <f>Données!Z168</f>
        <v>161</v>
      </c>
      <c r="D168" s="243">
        <f>Ecrêtage!E168</f>
        <v>38.462121356903964</v>
      </c>
      <c r="E168" s="243">
        <f t="shared" si="9"/>
        <v>9.4707109772862168</v>
      </c>
      <c r="F168" s="243">
        <f>+Données!X168</f>
        <v>65</v>
      </c>
      <c r="G168" s="389">
        <f t="shared" si="10"/>
        <v>-26759.967401871072</v>
      </c>
      <c r="H168" s="163">
        <f t="shared" si="11"/>
        <v>0.96173620344524247</v>
      </c>
      <c r="I168" s="42">
        <f t="shared" si="12"/>
        <v>-25736.029453393934</v>
      </c>
    </row>
    <row r="169" spans="1:9" x14ac:dyDescent="0.25">
      <c r="A169" s="38">
        <f>Données!A169</f>
        <v>5690</v>
      </c>
      <c r="B169" s="27" t="str">
        <f>Données!B169</f>
        <v>Villars-le-Comte</v>
      </c>
      <c r="C169" s="31">
        <f>Données!Z169</f>
        <v>133</v>
      </c>
      <c r="D169" s="243">
        <f>Ecrêtage!E169</f>
        <v>26.390732187611885</v>
      </c>
      <c r="E169" s="243">
        <f t="shared" si="9"/>
        <v>21.542100146578296</v>
      </c>
      <c r="F169" s="243">
        <f>+Données!X169</f>
        <v>70</v>
      </c>
      <c r="G169" s="389">
        <f t="shared" si="10"/>
        <v>-54150.377138453863</v>
      </c>
      <c r="H169" s="163">
        <f t="shared" si="11"/>
        <v>1.0357159114025689</v>
      </c>
      <c r="I169" s="42">
        <f t="shared" si="12"/>
        <v>-56084.407210746576</v>
      </c>
    </row>
    <row r="170" spans="1:9" x14ac:dyDescent="0.25">
      <c r="A170" s="38">
        <f>Données!A170</f>
        <v>5692</v>
      </c>
      <c r="B170" s="27" t="str">
        <f>Données!B170</f>
        <v>Vucherens</v>
      </c>
      <c r="C170" s="31">
        <f>Données!Z170</f>
        <v>623</v>
      </c>
      <c r="D170" s="243">
        <f>Ecrêtage!E170</f>
        <v>30.164655104125409</v>
      </c>
      <c r="E170" s="243">
        <f t="shared" si="9"/>
        <v>17.768177230064772</v>
      </c>
      <c r="F170" s="243">
        <f>+Données!X170</f>
        <v>77</v>
      </c>
      <c r="G170" s="389">
        <f t="shared" si="10"/>
        <v>-230136.45207392806</v>
      </c>
      <c r="H170" s="163">
        <f t="shared" si="11"/>
        <v>1.1392875025428257</v>
      </c>
      <c r="I170" s="42">
        <f t="shared" si="12"/>
        <v>-262191.58372737223</v>
      </c>
    </row>
    <row r="171" spans="1:9" x14ac:dyDescent="0.25">
      <c r="A171" s="38">
        <f>Données!A171</f>
        <v>5693</v>
      </c>
      <c r="B171" s="27" t="str">
        <f>Données!B171</f>
        <v>Montanaire</v>
      </c>
      <c r="C171" s="31">
        <f>Données!Z171</f>
        <v>2768</v>
      </c>
      <c r="D171" s="243">
        <f>Ecrêtage!E171</f>
        <v>27.343596614368295</v>
      </c>
      <c r="E171" s="243">
        <f t="shared" si="9"/>
        <v>20.589235719821886</v>
      </c>
      <c r="F171" s="243">
        <f>+Données!X171</f>
        <v>70</v>
      </c>
      <c r="G171" s="389">
        <f t="shared" si="10"/>
        <v>-1077129.9845296259</v>
      </c>
      <c r="H171" s="163">
        <f t="shared" si="11"/>
        <v>1.0357159114025689</v>
      </c>
      <c r="I171" s="42">
        <f t="shared" si="12"/>
        <v>-1115600.6636261365</v>
      </c>
    </row>
    <row r="172" spans="1:9" x14ac:dyDescent="0.25">
      <c r="A172" s="38">
        <f>Données!A172</f>
        <v>5701</v>
      </c>
      <c r="B172" s="27" t="str">
        <f>Données!B172</f>
        <v>Arnex-sur-Nyon</v>
      </c>
      <c r="C172" s="31">
        <f>Données!Z172</f>
        <v>226</v>
      </c>
      <c r="D172" s="243">
        <f>Ecrêtage!E172</f>
        <v>64.108992414664982</v>
      </c>
      <c r="E172" s="243">
        <f t="shared" si="9"/>
        <v>0</v>
      </c>
      <c r="F172" s="243">
        <f>+Données!X172</f>
        <v>70</v>
      </c>
      <c r="G172" s="389">
        <f t="shared" si="10"/>
        <v>0</v>
      </c>
      <c r="H172" s="163">
        <f t="shared" si="11"/>
        <v>1.0357159114025689</v>
      </c>
      <c r="I172" s="42">
        <f t="shared" si="12"/>
        <v>0</v>
      </c>
    </row>
    <row r="173" spans="1:9" x14ac:dyDescent="0.25">
      <c r="A173" s="38">
        <f>Données!A173</f>
        <v>5702</v>
      </c>
      <c r="B173" s="27" t="str">
        <f>Données!B173</f>
        <v>Arzier-Le Muids</v>
      </c>
      <c r="C173" s="31">
        <f>Données!Z173</f>
        <v>2947</v>
      </c>
      <c r="D173" s="243">
        <f>Ecrêtage!E173</f>
        <v>59.333353958121272</v>
      </c>
      <c r="E173" s="243">
        <f t="shared" si="9"/>
        <v>0</v>
      </c>
      <c r="F173" s="243">
        <f>+Données!X173</f>
        <v>64</v>
      </c>
      <c r="G173" s="389">
        <f t="shared" si="10"/>
        <v>0</v>
      </c>
      <c r="H173" s="163">
        <f t="shared" si="11"/>
        <v>0.94694026185377722</v>
      </c>
      <c r="I173" s="42">
        <f t="shared" si="12"/>
        <v>0</v>
      </c>
    </row>
    <row r="174" spans="1:9" x14ac:dyDescent="0.25">
      <c r="A174" s="38">
        <f>Données!A174</f>
        <v>5703</v>
      </c>
      <c r="B174" s="27" t="str">
        <f>Données!B174</f>
        <v>Bassins</v>
      </c>
      <c r="C174" s="31">
        <f>Données!Z174</f>
        <v>1487</v>
      </c>
      <c r="D174" s="243">
        <f>Ecrêtage!E174</f>
        <v>44.921841403824935</v>
      </c>
      <c r="E174" s="243">
        <f t="shared" si="9"/>
        <v>3.0109909303652458</v>
      </c>
      <c r="F174" s="243">
        <f>+Données!X174</f>
        <v>72.5</v>
      </c>
      <c r="G174" s="389">
        <f t="shared" si="10"/>
        <v>-87643.999275844835</v>
      </c>
      <c r="H174" s="163">
        <f t="shared" si="11"/>
        <v>1.072705765381232</v>
      </c>
      <c r="I174" s="42">
        <f t="shared" si="12"/>
        <v>-94016.223324267281</v>
      </c>
    </row>
    <row r="175" spans="1:9" x14ac:dyDescent="0.25">
      <c r="A175" s="38">
        <f>Données!A175</f>
        <v>5704</v>
      </c>
      <c r="B175" s="27" t="str">
        <f>Données!B175</f>
        <v>Begnins</v>
      </c>
      <c r="C175" s="31">
        <f>Données!Z175</f>
        <v>1941</v>
      </c>
      <c r="D175" s="243">
        <f>Ecrêtage!E175</f>
        <v>75.393960721277708</v>
      </c>
      <c r="E175" s="243">
        <f t="shared" si="9"/>
        <v>0</v>
      </c>
      <c r="F175" s="243">
        <f>+Données!X175</f>
        <v>62.5</v>
      </c>
      <c r="G175" s="389">
        <f t="shared" si="10"/>
        <v>0</v>
      </c>
      <c r="H175" s="163">
        <f t="shared" si="11"/>
        <v>0.9247463494665793</v>
      </c>
      <c r="I175" s="42">
        <f t="shared" si="12"/>
        <v>0</v>
      </c>
    </row>
    <row r="176" spans="1:9" x14ac:dyDescent="0.25">
      <c r="A176" s="38">
        <f>Données!A176</f>
        <v>5705</v>
      </c>
      <c r="B176" s="27" t="str">
        <f>Données!B176</f>
        <v>Bogis-Bossey</v>
      </c>
      <c r="C176" s="31">
        <f>Données!Z176</f>
        <v>888</v>
      </c>
      <c r="D176" s="243">
        <f>Ecrêtage!E176</f>
        <v>58.502857941834456</v>
      </c>
      <c r="E176" s="243">
        <f t="shared" si="9"/>
        <v>0</v>
      </c>
      <c r="F176" s="243">
        <f>+Données!X176</f>
        <v>74.5</v>
      </c>
      <c r="G176" s="389">
        <f t="shared" si="10"/>
        <v>0</v>
      </c>
      <c r="H176" s="163">
        <f t="shared" si="11"/>
        <v>1.1022976485641625</v>
      </c>
      <c r="I176" s="42">
        <f t="shared" si="12"/>
        <v>0</v>
      </c>
    </row>
    <row r="177" spans="1:9" x14ac:dyDescent="0.25">
      <c r="A177" s="38">
        <f>Données!A177</f>
        <v>5706</v>
      </c>
      <c r="B177" s="27" t="str">
        <f>Données!B177</f>
        <v>Borex</v>
      </c>
      <c r="C177" s="31">
        <f>Données!Z177</f>
        <v>1165</v>
      </c>
      <c r="D177" s="243">
        <f>Ecrêtage!E177</f>
        <v>61.122514720277096</v>
      </c>
      <c r="E177" s="243">
        <f t="shared" si="9"/>
        <v>0</v>
      </c>
      <c r="F177" s="243">
        <f>+Données!X177</f>
        <v>57</v>
      </c>
      <c r="G177" s="389">
        <f t="shared" si="10"/>
        <v>0</v>
      </c>
      <c r="H177" s="163">
        <f t="shared" si="11"/>
        <v>0.8433686707135204</v>
      </c>
      <c r="I177" s="42">
        <f t="shared" si="12"/>
        <v>0</v>
      </c>
    </row>
    <row r="178" spans="1:9" x14ac:dyDescent="0.25">
      <c r="A178" s="38">
        <f>Données!A178</f>
        <v>5707</v>
      </c>
      <c r="B178" s="27" t="str">
        <f>Données!B178</f>
        <v>Chavannes-de-Bogis</v>
      </c>
      <c r="C178" s="31">
        <f>Données!Z178</f>
        <v>1330</v>
      </c>
      <c r="D178" s="243">
        <f>Ecrêtage!E178</f>
        <v>66.168864445596753</v>
      </c>
      <c r="E178" s="243">
        <f t="shared" si="9"/>
        <v>0</v>
      </c>
      <c r="F178" s="243">
        <f>+Données!X178</f>
        <v>58</v>
      </c>
      <c r="G178" s="389">
        <f t="shared" si="10"/>
        <v>0</v>
      </c>
      <c r="H178" s="163">
        <f t="shared" si="11"/>
        <v>0.85816461230498564</v>
      </c>
      <c r="I178" s="42">
        <f t="shared" si="12"/>
        <v>0</v>
      </c>
    </row>
    <row r="179" spans="1:9" x14ac:dyDescent="0.25">
      <c r="A179" s="38">
        <f>Données!A179</f>
        <v>5708</v>
      </c>
      <c r="B179" s="27" t="str">
        <f>Données!B179</f>
        <v>Chavannes-des-Bois</v>
      </c>
      <c r="C179" s="31">
        <f>Données!Z179</f>
        <v>1005</v>
      </c>
      <c r="D179" s="243">
        <f>Ecrêtage!E179</f>
        <v>66.660589405911608</v>
      </c>
      <c r="E179" s="243">
        <f t="shared" si="9"/>
        <v>0</v>
      </c>
      <c r="F179" s="243">
        <f>+Données!X179</f>
        <v>68</v>
      </c>
      <c r="G179" s="389">
        <f t="shared" si="10"/>
        <v>0</v>
      </c>
      <c r="H179" s="163">
        <f t="shared" si="11"/>
        <v>1.0061240282196384</v>
      </c>
      <c r="I179" s="42">
        <f t="shared" si="12"/>
        <v>0</v>
      </c>
    </row>
    <row r="180" spans="1:9" x14ac:dyDescent="0.25">
      <c r="A180" s="38">
        <f>Données!A180</f>
        <v>5709</v>
      </c>
      <c r="B180" s="27" t="str">
        <f>Données!B180</f>
        <v>Chéserex</v>
      </c>
      <c r="C180" s="31">
        <f>Données!Z180</f>
        <v>1263</v>
      </c>
      <c r="D180" s="243">
        <f>Ecrêtage!E180</f>
        <v>69.945372199302682</v>
      </c>
      <c r="E180" s="243">
        <f t="shared" si="9"/>
        <v>0</v>
      </c>
      <c r="F180" s="243">
        <f>+Données!X180</f>
        <v>57</v>
      </c>
      <c r="G180" s="389">
        <f t="shared" si="10"/>
        <v>0</v>
      </c>
      <c r="H180" s="163">
        <f t="shared" si="11"/>
        <v>0.8433686707135204</v>
      </c>
      <c r="I180" s="42">
        <f t="shared" si="12"/>
        <v>0</v>
      </c>
    </row>
    <row r="181" spans="1:9" x14ac:dyDescent="0.25">
      <c r="A181" s="38">
        <f>Données!A181</f>
        <v>5710</v>
      </c>
      <c r="B181" s="27" t="str">
        <f>Données!B181</f>
        <v>Coinsins</v>
      </c>
      <c r="C181" s="31">
        <f>Données!Z181</f>
        <v>508</v>
      </c>
      <c r="D181" s="243">
        <f>Ecrêtage!E181</f>
        <v>85.410984637949682</v>
      </c>
      <c r="E181" s="243">
        <f t="shared" si="9"/>
        <v>0</v>
      </c>
      <c r="F181" s="243">
        <f>+Données!X181</f>
        <v>51</v>
      </c>
      <c r="G181" s="389">
        <f t="shared" si="10"/>
        <v>0</v>
      </c>
      <c r="H181" s="163">
        <f t="shared" si="11"/>
        <v>0.75459302116472871</v>
      </c>
      <c r="I181" s="42">
        <f t="shared" si="12"/>
        <v>0</v>
      </c>
    </row>
    <row r="182" spans="1:9" x14ac:dyDescent="0.25">
      <c r="A182" s="38">
        <f>Données!A182</f>
        <v>5711</v>
      </c>
      <c r="B182" s="27" t="str">
        <f>Données!B182</f>
        <v>Commugny</v>
      </c>
      <c r="C182" s="31">
        <f>Données!Z182</f>
        <v>3001</v>
      </c>
      <c r="D182" s="243">
        <f>Ecrêtage!E182</f>
        <v>95.390690647585004</v>
      </c>
      <c r="E182" s="243">
        <f t="shared" si="9"/>
        <v>0</v>
      </c>
      <c r="F182" s="243">
        <f>+Données!X182</f>
        <v>55.5</v>
      </c>
      <c r="G182" s="389">
        <f t="shared" si="10"/>
        <v>0</v>
      </c>
      <c r="H182" s="163">
        <f t="shared" si="11"/>
        <v>0.82117475832632247</v>
      </c>
      <c r="I182" s="42">
        <f t="shared" si="12"/>
        <v>0</v>
      </c>
    </row>
    <row r="183" spans="1:9" x14ac:dyDescent="0.25">
      <c r="A183" s="38">
        <f>Données!A183</f>
        <v>5712</v>
      </c>
      <c r="B183" s="27" t="str">
        <f>Données!B183</f>
        <v>Coppet</v>
      </c>
      <c r="C183" s="31">
        <f>Données!Z183</f>
        <v>3211</v>
      </c>
      <c r="D183" s="243">
        <f>Ecrêtage!E183</f>
        <v>103.93750356968674</v>
      </c>
      <c r="E183" s="243">
        <f t="shared" si="9"/>
        <v>0</v>
      </c>
      <c r="F183" s="243">
        <f>+Données!X183</f>
        <v>53</v>
      </c>
      <c r="G183" s="389">
        <f t="shared" si="10"/>
        <v>0</v>
      </c>
      <c r="H183" s="163">
        <f t="shared" si="11"/>
        <v>0.78418490434765931</v>
      </c>
      <c r="I183" s="42">
        <f t="shared" si="12"/>
        <v>0</v>
      </c>
    </row>
    <row r="184" spans="1:9" x14ac:dyDescent="0.25">
      <c r="A184" s="38">
        <f>Données!A184</f>
        <v>5713</v>
      </c>
      <c r="B184" s="27" t="str">
        <f>Données!B184</f>
        <v>Crans</v>
      </c>
      <c r="C184" s="31">
        <f>Données!Z184</f>
        <v>2373</v>
      </c>
      <c r="D184" s="243">
        <f>Ecrêtage!E184</f>
        <v>127.47651390644754</v>
      </c>
      <c r="E184" s="243">
        <f t="shared" si="9"/>
        <v>0</v>
      </c>
      <c r="F184" s="243">
        <f>+Données!X184</f>
        <v>56</v>
      </c>
      <c r="G184" s="389">
        <f t="shared" si="10"/>
        <v>0</v>
      </c>
      <c r="H184" s="163">
        <f t="shared" si="11"/>
        <v>0.82857272912205504</v>
      </c>
      <c r="I184" s="42">
        <f t="shared" si="12"/>
        <v>0</v>
      </c>
    </row>
    <row r="185" spans="1:9" x14ac:dyDescent="0.25">
      <c r="A185" s="38">
        <f>Données!A185</f>
        <v>5714</v>
      </c>
      <c r="B185" s="27" t="str">
        <f>Données!B185</f>
        <v>Crassier</v>
      </c>
      <c r="C185" s="31">
        <f>Données!Z185</f>
        <v>1228</v>
      </c>
      <c r="D185" s="243">
        <f>Ecrêtage!E185</f>
        <v>50.597437488024525</v>
      </c>
      <c r="E185" s="243">
        <f t="shared" si="9"/>
        <v>0</v>
      </c>
      <c r="F185" s="243">
        <f>+Données!X185</f>
        <v>68</v>
      </c>
      <c r="G185" s="389">
        <f t="shared" si="10"/>
        <v>0</v>
      </c>
      <c r="H185" s="163">
        <f t="shared" si="11"/>
        <v>1.0061240282196384</v>
      </c>
      <c r="I185" s="42">
        <f t="shared" si="12"/>
        <v>0</v>
      </c>
    </row>
    <row r="186" spans="1:9" x14ac:dyDescent="0.25">
      <c r="A186" s="38">
        <f>Données!A186</f>
        <v>5715</v>
      </c>
      <c r="B186" s="27" t="str">
        <f>Données!B186</f>
        <v>Duillier</v>
      </c>
      <c r="C186" s="31">
        <f>Données!Z186</f>
        <v>1146</v>
      </c>
      <c r="D186" s="243">
        <f>Ecrêtage!E186</f>
        <v>61.424789253794494</v>
      </c>
      <c r="E186" s="243">
        <f t="shared" si="9"/>
        <v>0</v>
      </c>
      <c r="F186" s="243">
        <f>+Données!X186</f>
        <v>66</v>
      </c>
      <c r="G186" s="389">
        <f t="shared" si="10"/>
        <v>0</v>
      </c>
      <c r="H186" s="163">
        <f t="shared" si="11"/>
        <v>0.97653214503670782</v>
      </c>
      <c r="I186" s="42">
        <f t="shared" si="12"/>
        <v>0</v>
      </c>
    </row>
    <row r="187" spans="1:9" x14ac:dyDescent="0.25">
      <c r="A187" s="38">
        <f>Données!A187</f>
        <v>5716</v>
      </c>
      <c r="B187" s="27" t="str">
        <f>Données!B187</f>
        <v>Eysins</v>
      </c>
      <c r="C187" s="31">
        <f>Données!Z187</f>
        <v>1736</v>
      </c>
      <c r="D187" s="243">
        <f>Ecrêtage!E187</f>
        <v>117.20606523254463</v>
      </c>
      <c r="E187" s="243">
        <f t="shared" si="9"/>
        <v>0</v>
      </c>
      <c r="F187" s="243">
        <f>+Données!X187</f>
        <v>59.5</v>
      </c>
      <c r="G187" s="389">
        <f t="shared" si="10"/>
        <v>0</v>
      </c>
      <c r="H187" s="163">
        <f t="shared" si="11"/>
        <v>0.88035852469218356</v>
      </c>
      <c r="I187" s="42">
        <f t="shared" si="12"/>
        <v>0</v>
      </c>
    </row>
    <row r="188" spans="1:9" x14ac:dyDescent="0.25">
      <c r="A188" s="38">
        <f>Données!A188</f>
        <v>5717</v>
      </c>
      <c r="B188" s="27" t="str">
        <f>Données!B188</f>
        <v>Founex</v>
      </c>
      <c r="C188" s="31">
        <f>Données!Z188</f>
        <v>3822</v>
      </c>
      <c r="D188" s="243">
        <f>Ecrêtage!E188</f>
        <v>102.2286390426616</v>
      </c>
      <c r="E188" s="243">
        <f t="shared" si="9"/>
        <v>0</v>
      </c>
      <c r="F188" s="243">
        <f>+Données!X188</f>
        <v>57</v>
      </c>
      <c r="G188" s="389">
        <f t="shared" si="10"/>
        <v>0</v>
      </c>
      <c r="H188" s="163">
        <f t="shared" si="11"/>
        <v>0.8433686707135204</v>
      </c>
      <c r="I188" s="42">
        <f t="shared" si="12"/>
        <v>0</v>
      </c>
    </row>
    <row r="189" spans="1:9" x14ac:dyDescent="0.25">
      <c r="A189" s="38">
        <f>Données!A189</f>
        <v>5718</v>
      </c>
      <c r="B189" s="27" t="str">
        <f>Données!B189</f>
        <v>Genolier</v>
      </c>
      <c r="C189" s="31">
        <f>Données!Z189</f>
        <v>2022</v>
      </c>
      <c r="D189" s="243">
        <f>Ecrêtage!E189</f>
        <v>95.083211491772317</v>
      </c>
      <c r="E189" s="243">
        <f t="shared" si="9"/>
        <v>0</v>
      </c>
      <c r="F189" s="243">
        <f>+Données!X189</f>
        <v>55</v>
      </c>
      <c r="G189" s="389">
        <f t="shared" si="10"/>
        <v>0</v>
      </c>
      <c r="H189" s="163">
        <f t="shared" si="11"/>
        <v>0.8137767875305898</v>
      </c>
      <c r="I189" s="42">
        <f t="shared" si="12"/>
        <v>0</v>
      </c>
    </row>
    <row r="190" spans="1:9" x14ac:dyDescent="0.25">
      <c r="A190" s="38">
        <f>Données!A190</f>
        <v>5719</v>
      </c>
      <c r="B190" s="27" t="str">
        <f>Données!B190</f>
        <v>Gingins</v>
      </c>
      <c r="C190" s="31">
        <f>Données!Z190</f>
        <v>1265</v>
      </c>
      <c r="D190" s="243">
        <f>Ecrêtage!E190</f>
        <v>119.59718076416338</v>
      </c>
      <c r="E190" s="243">
        <f t="shared" si="9"/>
        <v>0</v>
      </c>
      <c r="F190" s="243">
        <f>+Données!X190</f>
        <v>60</v>
      </c>
      <c r="G190" s="389">
        <f t="shared" si="10"/>
        <v>0</v>
      </c>
      <c r="H190" s="163">
        <f t="shared" si="11"/>
        <v>0.88775649548791613</v>
      </c>
      <c r="I190" s="42">
        <f t="shared" si="12"/>
        <v>0</v>
      </c>
    </row>
    <row r="191" spans="1:9" x14ac:dyDescent="0.25">
      <c r="A191" s="38">
        <f>Données!A191</f>
        <v>5720</v>
      </c>
      <c r="B191" s="27" t="str">
        <f>Données!B191</f>
        <v>Givrins</v>
      </c>
      <c r="C191" s="31">
        <f>Données!Z191</f>
        <v>1010</v>
      </c>
      <c r="D191" s="243">
        <f>Ecrêtage!E191</f>
        <v>74.049093870581103</v>
      </c>
      <c r="E191" s="243">
        <f t="shared" si="9"/>
        <v>0</v>
      </c>
      <c r="F191" s="243">
        <f>+Données!X191</f>
        <v>67</v>
      </c>
      <c r="G191" s="389">
        <f t="shared" si="10"/>
        <v>0</v>
      </c>
      <c r="H191" s="163">
        <f t="shared" si="11"/>
        <v>0.99132808662817307</v>
      </c>
      <c r="I191" s="42">
        <f t="shared" si="12"/>
        <v>0</v>
      </c>
    </row>
    <row r="192" spans="1:9" x14ac:dyDescent="0.25">
      <c r="A192" s="38">
        <f>Données!A192</f>
        <v>5721</v>
      </c>
      <c r="B192" s="27" t="str">
        <f>Données!B192</f>
        <v>Gland</v>
      </c>
      <c r="C192" s="31">
        <f>Données!Z192</f>
        <v>13306</v>
      </c>
      <c r="D192" s="243">
        <f>Ecrêtage!E192</f>
        <v>54.309476558091632</v>
      </c>
      <c r="E192" s="243">
        <f t="shared" si="9"/>
        <v>0</v>
      </c>
      <c r="F192" s="243">
        <f>+Données!X192</f>
        <v>61</v>
      </c>
      <c r="G192" s="389">
        <f t="shared" si="10"/>
        <v>0</v>
      </c>
      <c r="H192" s="163">
        <f t="shared" si="11"/>
        <v>0.90255243707938138</v>
      </c>
      <c r="I192" s="42">
        <f t="shared" si="12"/>
        <v>0</v>
      </c>
    </row>
    <row r="193" spans="1:9" x14ac:dyDescent="0.25">
      <c r="A193" s="38">
        <f>Données!A193</f>
        <v>5722</v>
      </c>
      <c r="B193" s="27" t="str">
        <f>Données!B193</f>
        <v>Grens</v>
      </c>
      <c r="C193" s="31">
        <f>Données!Z193</f>
        <v>401</v>
      </c>
      <c r="D193" s="243">
        <f>Ecrêtage!E193</f>
        <v>55.651460863969128</v>
      </c>
      <c r="E193" s="243">
        <f t="shared" si="9"/>
        <v>0</v>
      </c>
      <c r="F193" s="243">
        <f>+Données!X193</f>
        <v>62</v>
      </c>
      <c r="G193" s="389">
        <f t="shared" si="10"/>
        <v>0</v>
      </c>
      <c r="H193" s="163">
        <f t="shared" si="11"/>
        <v>0.91734837867084673</v>
      </c>
      <c r="I193" s="42">
        <f t="shared" si="12"/>
        <v>0</v>
      </c>
    </row>
    <row r="194" spans="1:9" x14ac:dyDescent="0.25">
      <c r="A194" s="38">
        <f>Données!A194</f>
        <v>5723</v>
      </c>
      <c r="B194" s="27" t="str">
        <f>Données!B194</f>
        <v>Mies</v>
      </c>
      <c r="C194" s="31">
        <f>Données!Z194</f>
        <v>2195</v>
      </c>
      <c r="D194" s="243">
        <f>Ecrêtage!E194</f>
        <v>112.05621867881547</v>
      </c>
      <c r="E194" s="243">
        <f t="shared" si="9"/>
        <v>0</v>
      </c>
      <c r="F194" s="243">
        <f>+Données!X194</f>
        <v>52</v>
      </c>
      <c r="G194" s="389">
        <f t="shared" si="10"/>
        <v>0</v>
      </c>
      <c r="H194" s="163">
        <f t="shared" si="11"/>
        <v>0.76938896275619395</v>
      </c>
      <c r="I194" s="42">
        <f t="shared" si="12"/>
        <v>0</v>
      </c>
    </row>
    <row r="195" spans="1:9" x14ac:dyDescent="0.25">
      <c r="A195" s="38">
        <f>Données!A195</f>
        <v>5724</v>
      </c>
      <c r="B195" s="27" t="str">
        <f>Données!B195</f>
        <v>Nyon</v>
      </c>
      <c r="C195" s="31">
        <f>Données!Z195</f>
        <v>22124</v>
      </c>
      <c r="D195" s="243">
        <f>Ecrêtage!E195</f>
        <v>66.054885679127963</v>
      </c>
      <c r="E195" s="243">
        <f t="shared" si="9"/>
        <v>0</v>
      </c>
      <c r="F195" s="243">
        <f>+Données!X195</f>
        <v>61</v>
      </c>
      <c r="G195" s="389">
        <f t="shared" si="10"/>
        <v>0</v>
      </c>
      <c r="H195" s="163">
        <f t="shared" si="11"/>
        <v>0.90255243707938138</v>
      </c>
      <c r="I195" s="42">
        <f t="shared" si="12"/>
        <v>0</v>
      </c>
    </row>
    <row r="196" spans="1:9" x14ac:dyDescent="0.25">
      <c r="A196" s="38">
        <f>Données!A196</f>
        <v>5725</v>
      </c>
      <c r="B196" s="27" t="str">
        <f>Données!B196</f>
        <v>Prangins</v>
      </c>
      <c r="C196" s="31">
        <f>Données!Z196</f>
        <v>4060</v>
      </c>
      <c r="D196" s="243">
        <f>Ecrêtage!E196</f>
        <v>87.4299453713774</v>
      </c>
      <c r="E196" s="243">
        <f t="shared" si="9"/>
        <v>0</v>
      </c>
      <c r="F196" s="243">
        <f>+Données!X196</f>
        <v>55</v>
      </c>
      <c r="G196" s="389">
        <f t="shared" si="10"/>
        <v>0</v>
      </c>
      <c r="H196" s="163">
        <f t="shared" si="11"/>
        <v>0.8137767875305898</v>
      </c>
      <c r="I196" s="42">
        <f t="shared" si="12"/>
        <v>0</v>
      </c>
    </row>
    <row r="197" spans="1:9" x14ac:dyDescent="0.25">
      <c r="A197" s="38">
        <f>Données!A197</f>
        <v>5726</v>
      </c>
      <c r="B197" s="27" t="str">
        <f>Données!B197</f>
        <v>La Rippe</v>
      </c>
      <c r="C197" s="31">
        <f>Données!Z197</f>
        <v>1165</v>
      </c>
      <c r="D197" s="243">
        <f>Ecrêtage!E197</f>
        <v>60.398450107296142</v>
      </c>
      <c r="E197" s="243">
        <f t="shared" si="9"/>
        <v>0</v>
      </c>
      <c r="F197" s="243">
        <f>+Données!X197</f>
        <v>64</v>
      </c>
      <c r="G197" s="389">
        <f t="shared" si="10"/>
        <v>0</v>
      </c>
      <c r="H197" s="163">
        <f t="shared" si="11"/>
        <v>0.94694026185377722</v>
      </c>
      <c r="I197" s="42">
        <f t="shared" si="12"/>
        <v>0</v>
      </c>
    </row>
    <row r="198" spans="1:9" x14ac:dyDescent="0.25">
      <c r="A198" s="38">
        <f>Données!A198</f>
        <v>5727</v>
      </c>
      <c r="B198" s="27" t="str">
        <f>Données!B198</f>
        <v>Saint-Cergue</v>
      </c>
      <c r="C198" s="31">
        <f>Données!Z198</f>
        <v>2755</v>
      </c>
      <c r="D198" s="243">
        <f>Ecrêtage!E198</f>
        <v>38.537696401400581</v>
      </c>
      <c r="E198" s="243">
        <f t="shared" si="9"/>
        <v>9.3951359327896</v>
      </c>
      <c r="F198" s="243">
        <f>+Données!X198</f>
        <v>66</v>
      </c>
      <c r="G198" s="389">
        <f t="shared" si="10"/>
        <v>-461245.74299796595</v>
      </c>
      <c r="H198" s="163">
        <f t="shared" si="11"/>
        <v>0.97653214503670782</v>
      </c>
      <c r="I198" s="42">
        <f t="shared" si="12"/>
        <v>-450421.29479885375</v>
      </c>
    </row>
    <row r="199" spans="1:9" x14ac:dyDescent="0.25">
      <c r="A199" s="38">
        <f>Données!A199</f>
        <v>5728</v>
      </c>
      <c r="B199" s="27" t="str">
        <f>Données!B199</f>
        <v>Signy-Avenex</v>
      </c>
      <c r="C199" s="31">
        <f>Données!Z199</f>
        <v>584</v>
      </c>
      <c r="D199" s="243">
        <f>Ecrêtage!E199</f>
        <v>96.623756790269255</v>
      </c>
      <c r="E199" s="243">
        <f t="shared" ref="E199:E262" si="13">IF($D$306-D199&lt;0,0,$D$306-D199)</f>
        <v>0</v>
      </c>
      <c r="F199" s="243">
        <f>+Données!X199</f>
        <v>58</v>
      </c>
      <c r="G199" s="389">
        <f t="shared" ref="G199:G262" si="14">-((C199*E199*F199)*$E$5)</f>
        <v>0</v>
      </c>
      <c r="H199" s="163">
        <f t="shared" ref="H199:H262" si="15">F199/$F$306</f>
        <v>0.85816461230498564</v>
      </c>
      <c r="I199" s="42">
        <f t="shared" ref="I199:I262" si="16">G199*H199</f>
        <v>0</v>
      </c>
    </row>
    <row r="200" spans="1:9" x14ac:dyDescent="0.25">
      <c r="A200" s="38">
        <f>Données!A200</f>
        <v>5729</v>
      </c>
      <c r="B200" s="27" t="str">
        <f>Données!B200</f>
        <v>Tannay</v>
      </c>
      <c r="C200" s="31">
        <f>Données!Z200</f>
        <v>1644</v>
      </c>
      <c r="D200" s="243">
        <f>Ecrêtage!E200</f>
        <v>98.338762307883059</v>
      </c>
      <c r="E200" s="243">
        <f t="shared" si="13"/>
        <v>0</v>
      </c>
      <c r="F200" s="243">
        <f>+Données!X200</f>
        <v>60.5</v>
      </c>
      <c r="G200" s="389">
        <f t="shared" si="14"/>
        <v>0</v>
      </c>
      <c r="H200" s="163">
        <f t="shared" si="15"/>
        <v>0.89515446628364881</v>
      </c>
      <c r="I200" s="42">
        <f t="shared" si="16"/>
        <v>0</v>
      </c>
    </row>
    <row r="201" spans="1:9" x14ac:dyDescent="0.25">
      <c r="A201" s="38">
        <f>Données!A201</f>
        <v>5730</v>
      </c>
      <c r="B201" s="27" t="str">
        <f>Données!B201</f>
        <v>Trélex</v>
      </c>
      <c r="C201" s="31">
        <f>Données!Z201</f>
        <v>1439</v>
      </c>
      <c r="D201" s="243">
        <f>Ecrêtage!E201</f>
        <v>86.924460777664407</v>
      </c>
      <c r="E201" s="243">
        <f t="shared" si="13"/>
        <v>0</v>
      </c>
      <c r="F201" s="243">
        <f>+Données!X201</f>
        <v>55.5</v>
      </c>
      <c r="G201" s="389">
        <f t="shared" si="14"/>
        <v>0</v>
      </c>
      <c r="H201" s="163">
        <f t="shared" si="15"/>
        <v>0.82117475832632247</v>
      </c>
      <c r="I201" s="42">
        <f t="shared" si="16"/>
        <v>0</v>
      </c>
    </row>
    <row r="202" spans="1:9" x14ac:dyDescent="0.25">
      <c r="A202" s="38">
        <f>Données!A202</f>
        <v>5731</v>
      </c>
      <c r="B202" s="27" t="str">
        <f>Données!B202</f>
        <v>Le Vaud</v>
      </c>
      <c r="C202" s="31">
        <f>Données!Z202</f>
        <v>1387</v>
      </c>
      <c r="D202" s="243">
        <f>Ecrêtage!E202</f>
        <v>50.176479796306758</v>
      </c>
      <c r="E202" s="243">
        <f t="shared" si="13"/>
        <v>0</v>
      </c>
      <c r="F202" s="243">
        <f>+Données!X202</f>
        <v>74</v>
      </c>
      <c r="G202" s="389">
        <f t="shared" si="14"/>
        <v>0</v>
      </c>
      <c r="H202" s="163">
        <f t="shared" si="15"/>
        <v>1.0948996777684299</v>
      </c>
      <c r="I202" s="42">
        <f t="shared" si="16"/>
        <v>0</v>
      </c>
    </row>
    <row r="203" spans="1:9" x14ac:dyDescent="0.25">
      <c r="A203" s="38">
        <f>Données!A203</f>
        <v>5732</v>
      </c>
      <c r="B203" s="27" t="str">
        <f>Données!B203</f>
        <v>Vich</v>
      </c>
      <c r="C203" s="31">
        <f>Données!Z203</f>
        <v>1157</v>
      </c>
      <c r="D203" s="243">
        <f>Ecrêtage!E203</f>
        <v>74.789799700923282</v>
      </c>
      <c r="E203" s="243">
        <f t="shared" si="13"/>
        <v>0</v>
      </c>
      <c r="F203" s="243">
        <f>+Données!X203</f>
        <v>63</v>
      </c>
      <c r="G203" s="389">
        <f t="shared" si="14"/>
        <v>0</v>
      </c>
      <c r="H203" s="163">
        <f t="shared" si="15"/>
        <v>0.93214432026231198</v>
      </c>
      <c r="I203" s="42">
        <f t="shared" si="16"/>
        <v>0</v>
      </c>
    </row>
    <row r="204" spans="1:9" x14ac:dyDescent="0.25">
      <c r="A204" s="38">
        <f>Données!A204</f>
        <v>5741</v>
      </c>
      <c r="B204" s="27" t="str">
        <f>Données!B204</f>
        <v>L'Abergement</v>
      </c>
      <c r="C204" s="31">
        <f>Données!Z204</f>
        <v>254</v>
      </c>
      <c r="D204" s="243">
        <f>Ecrêtage!E204</f>
        <v>35.382459495803772</v>
      </c>
      <c r="E204" s="243">
        <f t="shared" si="13"/>
        <v>12.550372838386409</v>
      </c>
      <c r="F204" s="243">
        <f>+Données!X204</f>
        <v>81</v>
      </c>
      <c r="G204" s="389">
        <f t="shared" si="14"/>
        <v>-69717.070109779728</v>
      </c>
      <c r="H204" s="163">
        <f t="shared" si="15"/>
        <v>1.1984712689086867</v>
      </c>
      <c r="I204" s="42">
        <f t="shared" si="16"/>
        <v>-83553.905479063586</v>
      </c>
    </row>
    <row r="205" spans="1:9" x14ac:dyDescent="0.25">
      <c r="A205" s="38">
        <f>Données!A205</f>
        <v>5742</v>
      </c>
      <c r="B205" s="27" t="str">
        <f>Données!B205</f>
        <v>Agiez</v>
      </c>
      <c r="C205" s="31">
        <f>Données!Z205</f>
        <v>375</v>
      </c>
      <c r="D205" s="243">
        <f>Ecrêtage!E205</f>
        <v>27.092676140350875</v>
      </c>
      <c r="E205" s="243">
        <f t="shared" si="13"/>
        <v>20.840156193839306</v>
      </c>
      <c r="F205" s="243">
        <f>+Données!X205</f>
        <v>76</v>
      </c>
      <c r="G205" s="389">
        <f t="shared" si="14"/>
        <v>-160365.00191159346</v>
      </c>
      <c r="H205" s="163">
        <f t="shared" si="15"/>
        <v>1.1244915609513604</v>
      </c>
      <c r="I205" s="42">
        <f t="shared" si="16"/>
        <v>-180329.09132153561</v>
      </c>
    </row>
    <row r="206" spans="1:9" x14ac:dyDescent="0.25">
      <c r="A206" s="38">
        <f>Données!A206</f>
        <v>5743</v>
      </c>
      <c r="B206" s="27" t="str">
        <f>Données!B206</f>
        <v>Arnex-sur-Orbe</v>
      </c>
      <c r="C206" s="31">
        <f>Données!Z206</f>
        <v>665</v>
      </c>
      <c r="D206" s="243">
        <f>Ecrêtage!E206</f>
        <v>27.86917981573653</v>
      </c>
      <c r="E206" s="243">
        <f t="shared" si="13"/>
        <v>20.063652518453651</v>
      </c>
      <c r="F206" s="243">
        <f>+Données!X206</f>
        <v>71</v>
      </c>
      <c r="G206" s="389">
        <f t="shared" si="14"/>
        <v>-255772.4454878731</v>
      </c>
      <c r="H206" s="163">
        <f t="shared" si="15"/>
        <v>1.050511852994034</v>
      </c>
      <c r="I206" s="42">
        <f t="shared" si="16"/>
        <v>-268691.98565428116</v>
      </c>
    </row>
    <row r="207" spans="1:9" x14ac:dyDescent="0.25">
      <c r="A207" s="38">
        <f>Données!A207</f>
        <v>5744</v>
      </c>
      <c r="B207" s="27" t="str">
        <f>Données!B207</f>
        <v>Ballaigues</v>
      </c>
      <c r="C207" s="31">
        <f>Données!Z207</f>
        <v>1173</v>
      </c>
      <c r="D207" s="243">
        <f>Ecrêtage!E207</f>
        <v>41.927361269591451</v>
      </c>
      <c r="E207" s="243">
        <f t="shared" si="13"/>
        <v>6.0054710645987299</v>
      </c>
      <c r="F207" s="243">
        <f>+Données!X207</f>
        <v>65</v>
      </c>
      <c r="G207" s="389">
        <f t="shared" si="14"/>
        <v>-123629.52815648915</v>
      </c>
      <c r="H207" s="163">
        <f t="shared" si="15"/>
        <v>0.96173620344524247</v>
      </c>
      <c r="I207" s="42">
        <f t="shared" si="16"/>
        <v>-118898.99304294858</v>
      </c>
    </row>
    <row r="208" spans="1:9" x14ac:dyDescent="0.25">
      <c r="A208" s="38">
        <f>Données!A208</f>
        <v>5745</v>
      </c>
      <c r="B208" s="27" t="str">
        <f>Données!B208</f>
        <v>Baulmes</v>
      </c>
      <c r="C208" s="31">
        <f>Données!Z208</f>
        <v>1126</v>
      </c>
      <c r="D208" s="243">
        <f>Ecrêtage!E208</f>
        <v>25.283487038391435</v>
      </c>
      <c r="E208" s="243">
        <f t="shared" si="13"/>
        <v>22.649345295798746</v>
      </c>
      <c r="F208" s="243">
        <f>+Données!X208</f>
        <v>76.5</v>
      </c>
      <c r="G208" s="389">
        <f t="shared" si="14"/>
        <v>-526767.82769739826</v>
      </c>
      <c r="H208" s="163">
        <f t="shared" si="15"/>
        <v>1.1318895317470932</v>
      </c>
      <c r="I208" s="42">
        <f t="shared" si="16"/>
        <v>-596242.98983184155</v>
      </c>
    </row>
    <row r="209" spans="1:9" x14ac:dyDescent="0.25">
      <c r="A209" s="38">
        <f>Données!A209</f>
        <v>5746</v>
      </c>
      <c r="B209" s="27" t="str">
        <f>Données!B209</f>
        <v>Bavois</v>
      </c>
      <c r="C209" s="31">
        <f>Données!Z209</f>
        <v>978</v>
      </c>
      <c r="D209" s="243">
        <f>Ecrêtage!E209</f>
        <v>28.084601203649232</v>
      </c>
      <c r="E209" s="243">
        <f t="shared" si="13"/>
        <v>19.848231130540949</v>
      </c>
      <c r="F209" s="243">
        <f>+Données!X209</f>
        <v>73</v>
      </c>
      <c r="G209" s="389">
        <f t="shared" si="14"/>
        <v>-382602.04560013692</v>
      </c>
      <c r="H209" s="163">
        <f t="shared" si="15"/>
        <v>1.0801037361769648</v>
      </c>
      <c r="I209" s="42">
        <f t="shared" si="16"/>
        <v>-413249.8989216573</v>
      </c>
    </row>
    <row r="210" spans="1:9" x14ac:dyDescent="0.25">
      <c r="A210" s="38">
        <f>Données!A210</f>
        <v>5747</v>
      </c>
      <c r="B210" s="27" t="str">
        <f>Données!B210</f>
        <v>Bofflens</v>
      </c>
      <c r="C210" s="31">
        <f>Données!Z210</f>
        <v>206</v>
      </c>
      <c r="D210" s="243">
        <f>Ecrêtage!E210</f>
        <v>28.193510623329107</v>
      </c>
      <c r="E210" s="243">
        <f t="shared" si="13"/>
        <v>19.739321710861073</v>
      </c>
      <c r="F210" s="243">
        <f>+Données!X210</f>
        <v>69</v>
      </c>
      <c r="G210" s="389">
        <f t="shared" si="14"/>
        <v>-75755.174075508417</v>
      </c>
      <c r="H210" s="163">
        <f t="shared" si="15"/>
        <v>1.0209199698111036</v>
      </c>
      <c r="I210" s="42">
        <f t="shared" si="16"/>
        <v>-77339.970030202952</v>
      </c>
    </row>
    <row r="211" spans="1:9" x14ac:dyDescent="0.25">
      <c r="A211" s="38">
        <f>Données!A211</f>
        <v>5748</v>
      </c>
      <c r="B211" s="27" t="str">
        <f>Données!B211</f>
        <v>Bretonnières</v>
      </c>
      <c r="C211" s="31">
        <f>Données!Z211</f>
        <v>266</v>
      </c>
      <c r="D211" s="243">
        <f>Ecrêtage!E211</f>
        <v>24.974139782079313</v>
      </c>
      <c r="E211" s="243">
        <f t="shared" si="13"/>
        <v>22.958692552110868</v>
      </c>
      <c r="F211" s="243">
        <f>+Données!X211</f>
        <v>70.5</v>
      </c>
      <c r="G211" s="389">
        <f t="shared" si="14"/>
        <v>-116246.97758602849</v>
      </c>
      <c r="H211" s="163">
        <f t="shared" si="15"/>
        <v>1.0431138821983015</v>
      </c>
      <c r="I211" s="42">
        <f t="shared" si="16"/>
        <v>-121258.8360835811</v>
      </c>
    </row>
    <row r="212" spans="1:9" x14ac:dyDescent="0.25">
      <c r="A212" s="38">
        <f>Données!A212</f>
        <v>5749</v>
      </c>
      <c r="B212" s="27" t="str">
        <f>Données!B212</f>
        <v>Chavornay</v>
      </c>
      <c r="C212" s="31">
        <f>Données!Z212</f>
        <v>5366</v>
      </c>
      <c r="D212" s="243">
        <f>Ecrêtage!E212</f>
        <v>28.572388773020563</v>
      </c>
      <c r="E212" s="243">
        <f t="shared" si="13"/>
        <v>19.360443561169618</v>
      </c>
      <c r="F212" s="243">
        <f>+Données!X212</f>
        <v>70.5</v>
      </c>
      <c r="G212" s="389">
        <f t="shared" si="14"/>
        <v>-1977510.7477407104</v>
      </c>
      <c r="H212" s="163">
        <f t="shared" si="15"/>
        <v>1.0431138821983015</v>
      </c>
      <c r="I212" s="42">
        <f t="shared" si="16"/>
        <v>-2062768.9131646785</v>
      </c>
    </row>
    <row r="213" spans="1:9" x14ac:dyDescent="0.25">
      <c r="A213" s="38">
        <f>Données!A213</f>
        <v>5750</v>
      </c>
      <c r="B213" s="27" t="str">
        <f>Données!B213</f>
        <v>Les Clées</v>
      </c>
      <c r="C213" s="31">
        <f>Données!Z213</f>
        <v>182</v>
      </c>
      <c r="D213" s="243">
        <f>Ecrêtage!E213</f>
        <v>26.482182921245421</v>
      </c>
      <c r="E213" s="243">
        <f t="shared" si="13"/>
        <v>21.45064941294476</v>
      </c>
      <c r="F213" s="243">
        <f>+Données!X213</f>
        <v>80</v>
      </c>
      <c r="G213" s="389">
        <f t="shared" si="14"/>
        <v>-84326.792972168449</v>
      </c>
      <c r="H213" s="163">
        <f t="shared" si="15"/>
        <v>1.1836753273172216</v>
      </c>
      <c r="I213" s="42">
        <f t="shared" si="16"/>
        <v>-99815.544272943065</v>
      </c>
    </row>
    <row r="214" spans="1:9" x14ac:dyDescent="0.25">
      <c r="A214" s="38">
        <f>Données!A214</f>
        <v>5752</v>
      </c>
      <c r="B214" s="27" t="str">
        <f>Données!B214</f>
        <v>Croy</v>
      </c>
      <c r="C214" s="31">
        <f>Données!Z214</f>
        <v>390</v>
      </c>
      <c r="D214" s="243">
        <f>Ecrêtage!E214</f>
        <v>24.796964557964561</v>
      </c>
      <c r="E214" s="243">
        <f t="shared" si="13"/>
        <v>23.13586777622562</v>
      </c>
      <c r="F214" s="243">
        <f>+Données!X214</f>
        <v>74</v>
      </c>
      <c r="G214" s="389">
        <f t="shared" si="14"/>
        <v>-180279.30888590528</v>
      </c>
      <c r="H214" s="163">
        <f t="shared" si="15"/>
        <v>1.0948996777684299</v>
      </c>
      <c r="I214" s="42">
        <f t="shared" si="16"/>
        <v>-197387.75720749292</v>
      </c>
    </row>
    <row r="215" spans="1:9" x14ac:dyDescent="0.25">
      <c r="A215" s="38">
        <f>Données!A215</f>
        <v>5754</v>
      </c>
      <c r="B215" s="27" t="str">
        <f>Données!B215</f>
        <v>Juriens</v>
      </c>
      <c r="C215" s="31">
        <f>Données!Z215</f>
        <v>348</v>
      </c>
      <c r="D215" s="243">
        <f>Ecrêtage!E215</f>
        <v>26.073320602357047</v>
      </c>
      <c r="E215" s="243">
        <f t="shared" si="13"/>
        <v>21.859511731833134</v>
      </c>
      <c r="F215" s="243">
        <f>+Données!X215</f>
        <v>79</v>
      </c>
      <c r="G215" s="389">
        <f t="shared" si="14"/>
        <v>-162259.65806352024</v>
      </c>
      <c r="H215" s="163">
        <f t="shared" si="15"/>
        <v>1.1688793857257562</v>
      </c>
      <c r="I215" s="42">
        <f t="shared" si="16"/>
        <v>-189661.96944535879</v>
      </c>
    </row>
    <row r="216" spans="1:9" x14ac:dyDescent="0.25">
      <c r="A216" s="38">
        <f>Données!A216</f>
        <v>5755</v>
      </c>
      <c r="B216" s="27" t="str">
        <f>Données!B216</f>
        <v>Lignerolle</v>
      </c>
      <c r="C216" s="31">
        <f>Données!Z216</f>
        <v>409</v>
      </c>
      <c r="D216" s="243">
        <f>Ecrêtage!E216</f>
        <v>26.272880124407383</v>
      </c>
      <c r="E216" s="243">
        <f t="shared" si="13"/>
        <v>21.659952209782798</v>
      </c>
      <c r="F216" s="243">
        <f>+Données!X216</f>
        <v>78.5</v>
      </c>
      <c r="G216" s="389">
        <f t="shared" si="14"/>
        <v>-187764.81901831567</v>
      </c>
      <c r="H216" s="163">
        <f t="shared" si="15"/>
        <v>1.1614814149300237</v>
      </c>
      <c r="I216" s="42">
        <f t="shared" si="16"/>
        <v>-218085.34766747311</v>
      </c>
    </row>
    <row r="217" spans="1:9" x14ac:dyDescent="0.25">
      <c r="A217" s="38">
        <f>Données!A217</f>
        <v>5756</v>
      </c>
      <c r="B217" s="27" t="str">
        <f>Données!B217</f>
        <v>Montcherand</v>
      </c>
      <c r="C217" s="31">
        <f>Données!Z217</f>
        <v>502</v>
      </c>
      <c r="D217" s="243">
        <f>Ecrêtage!E217</f>
        <v>35.33476316954404</v>
      </c>
      <c r="E217" s="243">
        <f t="shared" si="13"/>
        <v>12.598069164646141</v>
      </c>
      <c r="F217" s="243">
        <f>+Données!X217</f>
        <v>72</v>
      </c>
      <c r="G217" s="389">
        <f t="shared" si="14"/>
        <v>-122943.04520948193</v>
      </c>
      <c r="H217" s="163">
        <f t="shared" si="15"/>
        <v>1.0653077945854994</v>
      </c>
      <c r="I217" s="42">
        <f t="shared" si="16"/>
        <v>-130972.18435173854</v>
      </c>
    </row>
    <row r="218" spans="1:9" x14ac:dyDescent="0.25">
      <c r="A218" s="38">
        <f>Données!A218</f>
        <v>5757</v>
      </c>
      <c r="B218" s="27" t="str">
        <f>Données!B218</f>
        <v>Orbe</v>
      </c>
      <c r="C218" s="31">
        <f>Données!Z218</f>
        <v>7570</v>
      </c>
      <c r="D218" s="243">
        <f>Ecrêtage!E218</f>
        <v>28.550004339191826</v>
      </c>
      <c r="E218" s="243">
        <f t="shared" si="13"/>
        <v>19.382827994998355</v>
      </c>
      <c r="F218" s="243">
        <f>+Données!X218</f>
        <v>75.5</v>
      </c>
      <c r="G218" s="389">
        <f t="shared" si="14"/>
        <v>-2991050.4414927741</v>
      </c>
      <c r="H218" s="163">
        <f t="shared" si="15"/>
        <v>1.1170935901556278</v>
      </c>
      <c r="I218" s="42">
        <f t="shared" si="16"/>
        <v>-3341283.2760237386</v>
      </c>
    </row>
    <row r="219" spans="1:9" x14ac:dyDescent="0.25">
      <c r="A219" s="38">
        <f>Données!A219</f>
        <v>5758</v>
      </c>
      <c r="B219" s="27" t="str">
        <f>Données!B219</f>
        <v>La Praz</v>
      </c>
      <c r="C219" s="31">
        <f>Données!Z219</f>
        <v>182</v>
      </c>
      <c r="D219" s="243">
        <f>Ecrêtage!E219</f>
        <v>26.21794320137694</v>
      </c>
      <c r="E219" s="243">
        <f t="shared" si="13"/>
        <v>21.714889132813241</v>
      </c>
      <c r="F219" s="243">
        <f>+Données!X219</f>
        <v>83</v>
      </c>
      <c r="G219" s="389">
        <f t="shared" si="14"/>
        <v>-88566.781114874757</v>
      </c>
      <c r="H219" s="163">
        <f t="shared" si="15"/>
        <v>1.2280631520916174</v>
      </c>
      <c r="I219" s="42">
        <f t="shared" si="16"/>
        <v>-108765.60038654142</v>
      </c>
    </row>
    <row r="220" spans="1:9" x14ac:dyDescent="0.25">
      <c r="A220" s="38">
        <f>Données!A220</f>
        <v>5759</v>
      </c>
      <c r="B220" s="27" t="str">
        <f>Données!B220</f>
        <v>Premier</v>
      </c>
      <c r="C220" s="31">
        <f>Données!Z220</f>
        <v>232</v>
      </c>
      <c r="D220" s="243">
        <f>Ecrêtage!E220</f>
        <v>25.430937974409019</v>
      </c>
      <c r="E220" s="243">
        <f t="shared" si="13"/>
        <v>22.501894359781161</v>
      </c>
      <c r="F220" s="243">
        <f>+Données!X220</f>
        <v>79.5</v>
      </c>
      <c r="G220" s="389">
        <f t="shared" si="14"/>
        <v>-112056.73368438701</v>
      </c>
      <c r="H220" s="163">
        <f t="shared" si="15"/>
        <v>1.176277356521489</v>
      </c>
      <c r="I220" s="42">
        <f t="shared" si="16"/>
        <v>-131809.79847870325</v>
      </c>
    </row>
    <row r="221" spans="1:9" x14ac:dyDescent="0.25">
      <c r="A221" s="38">
        <f>Données!A221</f>
        <v>5760</v>
      </c>
      <c r="B221" s="27" t="str">
        <f>Données!B221</f>
        <v>Rances</v>
      </c>
      <c r="C221" s="31">
        <f>Données!Z221</f>
        <v>512</v>
      </c>
      <c r="D221" s="243">
        <f>Ecrêtage!E221</f>
        <v>28.283005855119821</v>
      </c>
      <c r="E221" s="243">
        <f t="shared" si="13"/>
        <v>19.649826479070359</v>
      </c>
      <c r="F221" s="243">
        <f>+Données!X221</f>
        <v>76.5</v>
      </c>
      <c r="G221" s="389">
        <f t="shared" si="14"/>
        <v>-207803.98895370154</v>
      </c>
      <c r="H221" s="163">
        <f t="shared" si="15"/>
        <v>1.1318895317470932</v>
      </c>
      <c r="I221" s="42">
        <f t="shared" si="16"/>
        <v>-235211.15975198336</v>
      </c>
    </row>
    <row r="222" spans="1:9" x14ac:dyDescent="0.25">
      <c r="A222" s="38">
        <f>Données!A222</f>
        <v>5761</v>
      </c>
      <c r="B222" s="27" t="str">
        <f>Données!B222</f>
        <v>Romainmôtier-Envy</v>
      </c>
      <c r="C222" s="31">
        <f>Données!Z222</f>
        <v>551</v>
      </c>
      <c r="D222" s="243">
        <f>Ecrêtage!E222</f>
        <v>23.436375124505798</v>
      </c>
      <c r="E222" s="243">
        <f t="shared" si="13"/>
        <v>24.496457209684383</v>
      </c>
      <c r="F222" s="243">
        <f>+Données!X222</f>
        <v>81</v>
      </c>
      <c r="G222" s="389">
        <f t="shared" si="14"/>
        <v>-295191.37306586443</v>
      </c>
      <c r="H222" s="163">
        <f t="shared" si="15"/>
        <v>1.1984712689086867</v>
      </c>
      <c r="I222" s="42">
        <f t="shared" si="16"/>
        <v>-353778.37944914406</v>
      </c>
    </row>
    <row r="223" spans="1:9" x14ac:dyDescent="0.25">
      <c r="A223" s="38">
        <f>Données!A223</f>
        <v>5762</v>
      </c>
      <c r="B223" s="27" t="str">
        <f>Données!B223</f>
        <v>Sergey</v>
      </c>
      <c r="C223" s="31">
        <f>Données!Z223</f>
        <v>141</v>
      </c>
      <c r="D223" s="243">
        <f>Ecrêtage!E223</f>
        <v>27.301536643026008</v>
      </c>
      <c r="E223" s="243">
        <f t="shared" si="13"/>
        <v>20.631295691164173</v>
      </c>
      <c r="F223" s="243">
        <f>+Données!X223</f>
        <v>78</v>
      </c>
      <c r="G223" s="389">
        <f t="shared" si="14"/>
        <v>-61263.807303084366</v>
      </c>
      <c r="H223" s="163">
        <f t="shared" si="15"/>
        <v>1.1540834441342911</v>
      </c>
      <c r="I223" s="42">
        <f t="shared" si="16"/>
        <v>-70703.545733123145</v>
      </c>
    </row>
    <row r="224" spans="1:9" x14ac:dyDescent="0.25">
      <c r="A224" s="38">
        <f>Données!A224</f>
        <v>5763</v>
      </c>
      <c r="B224" s="27" t="str">
        <f>Données!B224</f>
        <v>Valeyres-sous-Rances</v>
      </c>
      <c r="C224" s="31">
        <f>Données!Z224</f>
        <v>614</v>
      </c>
      <c r="D224" s="243">
        <f>Ecrêtage!E224</f>
        <v>36.909675704157884</v>
      </c>
      <c r="E224" s="243">
        <f t="shared" si="13"/>
        <v>11.023156630032297</v>
      </c>
      <c r="F224" s="243">
        <f>+Données!X224</f>
        <v>68</v>
      </c>
      <c r="G224" s="389">
        <f t="shared" si="14"/>
        <v>-124264.48561661929</v>
      </c>
      <c r="H224" s="163">
        <f t="shared" si="15"/>
        <v>1.0061240282196384</v>
      </c>
      <c r="I224" s="42">
        <f t="shared" si="16"/>
        <v>-125025.48483323432</v>
      </c>
    </row>
    <row r="225" spans="1:9" x14ac:dyDescent="0.25">
      <c r="A225" s="38">
        <f>Données!A225</f>
        <v>5764</v>
      </c>
      <c r="B225" s="27" t="str">
        <f>Données!B225</f>
        <v>Vallorbe</v>
      </c>
      <c r="C225" s="31">
        <f>Données!Z225</f>
        <v>3924</v>
      </c>
      <c r="D225" s="243">
        <f>Ecrêtage!E225</f>
        <v>21.323056642643795</v>
      </c>
      <c r="E225" s="243">
        <f t="shared" si="13"/>
        <v>26.609775691546385</v>
      </c>
      <c r="F225" s="243">
        <f>+Données!X225</f>
        <v>71.5</v>
      </c>
      <c r="G225" s="389">
        <f t="shared" si="14"/>
        <v>-2015765.5482020888</v>
      </c>
      <c r="H225" s="163">
        <f t="shared" si="15"/>
        <v>1.0579098237897668</v>
      </c>
      <c r="I225" s="42">
        <f t="shared" si="16"/>
        <v>-2132498.1758999545</v>
      </c>
    </row>
    <row r="226" spans="1:9" x14ac:dyDescent="0.25">
      <c r="A226" s="38">
        <f>Données!A226</f>
        <v>5765</v>
      </c>
      <c r="B226" s="27" t="str">
        <f>Données!B226</f>
        <v>Vaulion</v>
      </c>
      <c r="C226" s="31">
        <f>Données!Z226</f>
        <v>492</v>
      </c>
      <c r="D226" s="243">
        <f>Ecrêtage!E226</f>
        <v>20.891508330824049</v>
      </c>
      <c r="E226" s="243">
        <f t="shared" si="13"/>
        <v>27.041324003366132</v>
      </c>
      <c r="F226" s="243">
        <f>+Données!X226</f>
        <v>81</v>
      </c>
      <c r="G226" s="389">
        <f t="shared" si="14"/>
        <v>-290965.72792917973</v>
      </c>
      <c r="H226" s="163">
        <f t="shared" si="15"/>
        <v>1.1984712689086867</v>
      </c>
      <c r="I226" s="42">
        <f t="shared" si="16"/>
        <v>-348714.06516022375</v>
      </c>
    </row>
    <row r="227" spans="1:9" x14ac:dyDescent="0.25">
      <c r="A227" s="38">
        <f>Données!A227</f>
        <v>5766</v>
      </c>
      <c r="B227" s="27" t="str">
        <f>Données!B227</f>
        <v>Vuiteboeuf</v>
      </c>
      <c r="C227" s="31">
        <f>Données!Z227</f>
        <v>591</v>
      </c>
      <c r="D227" s="243">
        <f>Ecrêtage!E227</f>
        <v>26.317694142293128</v>
      </c>
      <c r="E227" s="243">
        <f t="shared" si="13"/>
        <v>21.615138191897053</v>
      </c>
      <c r="F227" s="243">
        <f>+Données!X227</f>
        <v>75</v>
      </c>
      <c r="G227" s="389">
        <f t="shared" si="14"/>
        <v>-258684.570096076</v>
      </c>
      <c r="H227" s="163">
        <f t="shared" si="15"/>
        <v>1.1096956193598952</v>
      </c>
      <c r="I227" s="42">
        <f t="shared" si="16"/>
        <v>-287061.13423161331</v>
      </c>
    </row>
    <row r="228" spans="1:9" x14ac:dyDescent="0.25">
      <c r="A228" s="38">
        <f>Données!A228</f>
        <v>5785</v>
      </c>
      <c r="B228" s="27" t="str">
        <f>Données!B228</f>
        <v>Corcelles-le-Jorat</v>
      </c>
      <c r="C228" s="31">
        <f>Données!Z228</f>
        <v>489</v>
      </c>
      <c r="D228" s="243">
        <f>Ecrêtage!E228</f>
        <v>29.813985074230473</v>
      </c>
      <c r="E228" s="243">
        <f t="shared" si="13"/>
        <v>18.118847259959708</v>
      </c>
      <c r="F228" s="243">
        <f>+Données!X228</f>
        <v>77</v>
      </c>
      <c r="G228" s="389">
        <f t="shared" si="14"/>
        <v>-184201.81808740098</v>
      </c>
      <c r="H228" s="163">
        <f t="shared" si="15"/>
        <v>1.1392875025428257</v>
      </c>
      <c r="I228" s="42">
        <f t="shared" si="16"/>
        <v>-209858.82929264297</v>
      </c>
    </row>
    <row r="229" spans="1:9" x14ac:dyDescent="0.25">
      <c r="A229" s="38">
        <f>Données!A229</f>
        <v>5790</v>
      </c>
      <c r="B229" s="27" t="str">
        <f>Données!B229</f>
        <v>Maracon</v>
      </c>
      <c r="C229" s="31">
        <f>Données!Z229</f>
        <v>547</v>
      </c>
      <c r="D229" s="243">
        <f>Ecrêtage!E229</f>
        <v>27.73616971154436</v>
      </c>
      <c r="E229" s="243">
        <f t="shared" si="13"/>
        <v>20.196662622645821</v>
      </c>
      <c r="F229" s="243">
        <f>+Données!X229</f>
        <v>74.5</v>
      </c>
      <c r="G229" s="389">
        <f t="shared" si="14"/>
        <v>-222221.96015402282</v>
      </c>
      <c r="H229" s="163">
        <f t="shared" si="15"/>
        <v>1.1022976485641625</v>
      </c>
      <c r="I229" s="42">
        <f t="shared" si="16"/>
        <v>-244954.74413709834</v>
      </c>
    </row>
    <row r="230" spans="1:9" x14ac:dyDescent="0.25">
      <c r="A230" s="38">
        <f>Données!A230</f>
        <v>5792</v>
      </c>
      <c r="B230" s="27" t="str">
        <f>Données!B230</f>
        <v>Montpreveyres</v>
      </c>
      <c r="C230" s="31">
        <f>Données!Z230</f>
        <v>662</v>
      </c>
      <c r="D230" s="243">
        <f>Ecrêtage!E230</f>
        <v>30.456552690022214</v>
      </c>
      <c r="E230" s="243">
        <f t="shared" si="13"/>
        <v>17.476279644167967</v>
      </c>
      <c r="F230" s="243">
        <f>+Données!X230</f>
        <v>75.5</v>
      </c>
      <c r="G230" s="389">
        <f t="shared" si="14"/>
        <v>-235840.12188169299</v>
      </c>
      <c r="H230" s="163">
        <f t="shared" si="15"/>
        <v>1.1170935901556278</v>
      </c>
      <c r="I230" s="42">
        <f t="shared" si="16"/>
        <v>-263455.48845556128</v>
      </c>
    </row>
    <row r="231" spans="1:9" x14ac:dyDescent="0.25">
      <c r="A231" s="38">
        <f>Données!A231</f>
        <v>5798</v>
      </c>
      <c r="B231" s="27" t="str">
        <f>Données!B231</f>
        <v>Ropraz</v>
      </c>
      <c r="C231" s="31">
        <f>Données!Z231</f>
        <v>534</v>
      </c>
      <c r="D231" s="243">
        <f>Ecrêtage!E231</f>
        <v>32.663798960976202</v>
      </c>
      <c r="E231" s="243">
        <f t="shared" si="13"/>
        <v>15.269033373213979</v>
      </c>
      <c r="F231" s="243">
        <f>+Données!X231</f>
        <v>77.5</v>
      </c>
      <c r="G231" s="389">
        <f t="shared" si="14"/>
        <v>-170615.41546062435</v>
      </c>
      <c r="H231" s="163">
        <f t="shared" si="15"/>
        <v>1.1466854733385583</v>
      </c>
      <c r="I231" s="42">
        <f t="shared" si="16"/>
        <v>-195642.21843632081</v>
      </c>
    </row>
    <row r="232" spans="1:9" x14ac:dyDescent="0.25">
      <c r="A232" s="38">
        <f>Données!A232</f>
        <v>5799</v>
      </c>
      <c r="B232" s="27" t="str">
        <f>Données!B232</f>
        <v>Servion</v>
      </c>
      <c r="C232" s="31">
        <f>Données!Z232</f>
        <v>2107</v>
      </c>
      <c r="D232" s="243">
        <f>Ecrêtage!E232</f>
        <v>34.049281346512323</v>
      </c>
      <c r="E232" s="243">
        <f t="shared" si="13"/>
        <v>13.883550987677857</v>
      </c>
      <c r="F232" s="243">
        <f>+Données!X232</f>
        <v>69</v>
      </c>
      <c r="G232" s="389">
        <f t="shared" si="14"/>
        <v>-544976.71917522384</v>
      </c>
      <c r="H232" s="163">
        <f t="shared" si="15"/>
        <v>1.0209199698111036</v>
      </c>
      <c r="I232" s="42">
        <f t="shared" si="16"/>
        <v>-556377.61568812374</v>
      </c>
    </row>
    <row r="233" spans="1:9" x14ac:dyDescent="0.25">
      <c r="A233" s="38">
        <f>Données!A233</f>
        <v>5803</v>
      </c>
      <c r="B233" s="27" t="str">
        <f>Données!B233</f>
        <v>Vulliens</v>
      </c>
      <c r="C233" s="31">
        <f>Données!Z233</f>
        <v>631</v>
      </c>
      <c r="D233" s="243">
        <f>Ecrêtage!E233</f>
        <v>28.519875719409463</v>
      </c>
      <c r="E233" s="243">
        <f t="shared" si="13"/>
        <v>19.412956614780718</v>
      </c>
      <c r="F233" s="243">
        <f>+Données!X233</f>
        <v>76</v>
      </c>
      <c r="G233" s="389">
        <f t="shared" si="14"/>
        <v>-251361.29180297453</v>
      </c>
      <c r="H233" s="163">
        <f t="shared" si="15"/>
        <v>1.1244915609513604</v>
      </c>
      <c r="I233" s="42">
        <f t="shared" si="16"/>
        <v>-282653.6513822772</v>
      </c>
    </row>
    <row r="234" spans="1:9" x14ac:dyDescent="0.25">
      <c r="A234" s="38">
        <f>Données!A234</f>
        <v>5804</v>
      </c>
      <c r="B234" s="27" t="str">
        <f>Données!B234</f>
        <v>Jorat-Menthue</v>
      </c>
      <c r="C234" s="31">
        <f>Données!Z234</f>
        <v>1603</v>
      </c>
      <c r="D234" s="243">
        <f>Ecrêtage!E234</f>
        <v>29.228370652544207</v>
      </c>
      <c r="E234" s="243">
        <f t="shared" si="13"/>
        <v>18.704461681645974</v>
      </c>
      <c r="F234" s="243">
        <f>+Données!X234</f>
        <v>70.5</v>
      </c>
      <c r="G234" s="389">
        <f t="shared" si="14"/>
        <v>-570731.20326054026</v>
      </c>
      <c r="H234" s="163">
        <f t="shared" si="15"/>
        <v>1.0431138821983015</v>
      </c>
      <c r="I234" s="42">
        <f t="shared" si="16"/>
        <v>-595337.64112481009</v>
      </c>
    </row>
    <row r="235" spans="1:9" x14ac:dyDescent="0.25">
      <c r="A235" s="38">
        <f>Données!A235</f>
        <v>5805</v>
      </c>
      <c r="B235" s="27" t="str">
        <f>Données!B235</f>
        <v>Oron</v>
      </c>
      <c r="C235" s="31">
        <f>Données!Z235</f>
        <v>6100</v>
      </c>
      <c r="D235" s="243">
        <f>Ecrêtage!E235</f>
        <v>28.761349026412745</v>
      </c>
      <c r="E235" s="243">
        <f t="shared" si="13"/>
        <v>19.171483307777436</v>
      </c>
      <c r="F235" s="243">
        <f>+Données!X235</f>
        <v>69.19</v>
      </c>
      <c r="G235" s="389">
        <f t="shared" si="14"/>
        <v>-2184704.209817254</v>
      </c>
      <c r="H235" s="163">
        <f t="shared" si="15"/>
        <v>1.0237311987134821</v>
      </c>
      <c r="I235" s="42">
        <f t="shared" si="16"/>
        <v>-2236549.8595506079</v>
      </c>
    </row>
    <row r="236" spans="1:9" x14ac:dyDescent="0.25">
      <c r="A236" s="38">
        <f>Données!A236</f>
        <v>5806</v>
      </c>
      <c r="B236" s="27" t="str">
        <f>Données!B236</f>
        <v>Jorat-Mézières</v>
      </c>
      <c r="C236" s="31">
        <f>Données!Z236</f>
        <v>3095</v>
      </c>
      <c r="D236" s="243">
        <f>Ecrêtage!E236</f>
        <v>32.978785712704976</v>
      </c>
      <c r="E236" s="243">
        <f t="shared" si="13"/>
        <v>14.954046621485205</v>
      </c>
      <c r="F236" s="243">
        <f>+Données!X236</f>
        <v>73</v>
      </c>
      <c r="G236" s="389">
        <f t="shared" si="14"/>
        <v>-912233.4813248202</v>
      </c>
      <c r="H236" s="163">
        <f t="shared" si="15"/>
        <v>1.0801037361769648</v>
      </c>
      <c r="I236" s="42">
        <f t="shared" si="16"/>
        <v>-985306.79144465772</v>
      </c>
    </row>
    <row r="237" spans="1:9" x14ac:dyDescent="0.25">
      <c r="A237" s="38">
        <f>Données!A237</f>
        <v>5812</v>
      </c>
      <c r="B237" s="27" t="str">
        <f>Données!B237</f>
        <v>Champtauroz</v>
      </c>
      <c r="C237" s="31">
        <f>Données!Z237</f>
        <v>169</v>
      </c>
      <c r="D237" s="243">
        <f>Ecrêtage!E237</f>
        <v>19.830375009605774</v>
      </c>
      <c r="E237" s="243">
        <f t="shared" si="13"/>
        <v>28.102457324584407</v>
      </c>
      <c r="F237" s="243">
        <f>+Données!X237</f>
        <v>77</v>
      </c>
      <c r="G237" s="389">
        <f t="shared" si="14"/>
        <v>-98738.264834500558</v>
      </c>
      <c r="H237" s="163">
        <f t="shared" si="15"/>
        <v>1.1392875025428257</v>
      </c>
      <c r="I237" s="42">
        <f t="shared" si="16"/>
        <v>-112491.27114871025</v>
      </c>
    </row>
    <row r="238" spans="1:9" x14ac:dyDescent="0.25">
      <c r="A238" s="38">
        <f>Données!A238</f>
        <v>5813</v>
      </c>
      <c r="B238" s="27" t="str">
        <f>Données!B238</f>
        <v>Chevroux</v>
      </c>
      <c r="C238" s="31">
        <f>Données!Z238</f>
        <v>506</v>
      </c>
      <c r="D238" s="243">
        <f>Ecrêtage!E238</f>
        <v>30.188322754681057</v>
      </c>
      <c r="E238" s="243">
        <f t="shared" si="13"/>
        <v>17.744509579509124</v>
      </c>
      <c r="F238" s="243">
        <f>+Données!X238</f>
        <v>68.5</v>
      </c>
      <c r="G238" s="389">
        <f t="shared" si="14"/>
        <v>-166061.46056454873</v>
      </c>
      <c r="H238" s="163">
        <f t="shared" si="15"/>
        <v>1.013521999015371</v>
      </c>
      <c r="I238" s="42">
        <f t="shared" si="16"/>
        <v>-168306.94347079363</v>
      </c>
    </row>
    <row r="239" spans="1:9" x14ac:dyDescent="0.25">
      <c r="A239" s="38">
        <f>Données!A239</f>
        <v>5816</v>
      </c>
      <c r="B239" s="27" t="str">
        <f>Données!B239</f>
        <v>Corcelles-près-Payerne</v>
      </c>
      <c r="C239" s="31">
        <f>Données!Z239</f>
        <v>2722</v>
      </c>
      <c r="D239" s="243">
        <f>Ecrêtage!E239</f>
        <v>24.114957596504436</v>
      </c>
      <c r="E239" s="243">
        <f t="shared" si="13"/>
        <v>23.817874737685745</v>
      </c>
      <c r="F239" s="243">
        <f>+Données!X239</f>
        <v>68.5</v>
      </c>
      <c r="G239" s="389">
        <f t="shared" si="14"/>
        <v>-1199072.5568904611</v>
      </c>
      <c r="H239" s="163">
        <f t="shared" si="15"/>
        <v>1.013521999015371</v>
      </c>
      <c r="I239" s="42">
        <f t="shared" si="16"/>
        <v>-1215286.4148240923</v>
      </c>
    </row>
    <row r="240" spans="1:9" x14ac:dyDescent="0.25">
      <c r="A240" s="38">
        <f>Données!A240</f>
        <v>5817</v>
      </c>
      <c r="B240" s="27" t="str">
        <f>Données!B240</f>
        <v>Grandcour</v>
      </c>
      <c r="C240" s="31">
        <f>Données!Z240</f>
        <v>987</v>
      </c>
      <c r="D240" s="243">
        <f>Ecrêtage!E240</f>
        <v>24.94581436221905</v>
      </c>
      <c r="E240" s="243">
        <f t="shared" si="13"/>
        <v>22.987017971971131</v>
      </c>
      <c r="F240" s="243">
        <f>+Données!X240</f>
        <v>73.5</v>
      </c>
      <c r="G240" s="389">
        <f t="shared" si="14"/>
        <v>-450247.06582226814</v>
      </c>
      <c r="H240" s="163">
        <f t="shared" si="15"/>
        <v>1.0875017069726973</v>
      </c>
      <c r="I240" s="42">
        <f t="shared" si="16"/>
        <v>-489644.452641165</v>
      </c>
    </row>
    <row r="241" spans="1:9" x14ac:dyDescent="0.25">
      <c r="A241" s="38">
        <f>Données!A241</f>
        <v>5819</v>
      </c>
      <c r="B241" s="27" t="str">
        <f>Données!B241</f>
        <v>Henniez</v>
      </c>
      <c r="C241" s="31">
        <f>Données!Z241</f>
        <v>407</v>
      </c>
      <c r="D241" s="243">
        <f>Ecrêtage!E241</f>
        <v>24.817372075632942</v>
      </c>
      <c r="E241" s="243">
        <f t="shared" si="13"/>
        <v>23.115460258557238</v>
      </c>
      <c r="F241" s="243">
        <f>+Données!X241</f>
        <v>69</v>
      </c>
      <c r="G241" s="389">
        <f t="shared" si="14"/>
        <v>-175270.89701908702</v>
      </c>
      <c r="H241" s="163">
        <f t="shared" si="15"/>
        <v>1.0209199698111036</v>
      </c>
      <c r="I241" s="42">
        <f t="shared" si="16"/>
        <v>-178937.55889349137</v>
      </c>
    </row>
    <row r="242" spans="1:9" x14ac:dyDescent="0.25">
      <c r="A242" s="38">
        <f>Données!A242</f>
        <v>5821</v>
      </c>
      <c r="B242" s="27" t="str">
        <f>Données!B242</f>
        <v>Missy</v>
      </c>
      <c r="C242" s="31">
        <f>Données!Z242</f>
        <v>366</v>
      </c>
      <c r="D242" s="243">
        <f>Ecrêtage!E242</f>
        <v>21.979231936854887</v>
      </c>
      <c r="E242" s="243">
        <f t="shared" si="13"/>
        <v>25.953600397335293</v>
      </c>
      <c r="F242" s="243">
        <f>+Données!X242</f>
        <v>72</v>
      </c>
      <c r="G242" s="389">
        <f t="shared" si="14"/>
        <v>-184660.9049710565</v>
      </c>
      <c r="H242" s="163">
        <f t="shared" si="15"/>
        <v>1.0653077945854994</v>
      </c>
      <c r="I242" s="42">
        <f t="shared" si="16"/>
        <v>-196720.70142087867</v>
      </c>
    </row>
    <row r="243" spans="1:9" x14ac:dyDescent="0.25">
      <c r="A243" s="38">
        <f>Données!A243</f>
        <v>5822</v>
      </c>
      <c r="B243" s="27" t="str">
        <f>Données!B243</f>
        <v>Payerne</v>
      </c>
      <c r="C243" s="31">
        <f>Données!Z243</f>
        <v>10258</v>
      </c>
      <c r="D243" s="243">
        <f>Ecrêtage!E243</f>
        <v>23.390190589636692</v>
      </c>
      <c r="E243" s="243">
        <f t="shared" si="13"/>
        <v>24.542641744553489</v>
      </c>
      <c r="F243" s="243">
        <f>+Données!X243</f>
        <v>73</v>
      </c>
      <c r="G243" s="389">
        <f t="shared" si="14"/>
        <v>-4962158.4387980616</v>
      </c>
      <c r="H243" s="163">
        <f t="shared" si="15"/>
        <v>1.0801037361769648</v>
      </c>
      <c r="I243" s="42">
        <f t="shared" si="16"/>
        <v>-5359645.8692478407</v>
      </c>
    </row>
    <row r="244" spans="1:9" x14ac:dyDescent="0.25">
      <c r="A244" s="38">
        <f>Données!A244</f>
        <v>5827</v>
      </c>
      <c r="B244" s="27" t="str">
        <f>Données!B244</f>
        <v>Trey</v>
      </c>
      <c r="C244" s="31">
        <f>Données!Z244</f>
        <v>321</v>
      </c>
      <c r="D244" s="243">
        <f>Ecrêtage!E244</f>
        <v>24.134314641744549</v>
      </c>
      <c r="E244" s="243">
        <f t="shared" si="13"/>
        <v>23.798517692445632</v>
      </c>
      <c r="F244" s="243">
        <f>+Données!X244</f>
        <v>78</v>
      </c>
      <c r="G244" s="389">
        <f t="shared" si="14"/>
        <v>-160884.16721553251</v>
      </c>
      <c r="H244" s="163">
        <f t="shared" si="15"/>
        <v>1.1540834441342911</v>
      </c>
      <c r="I244" s="42">
        <f t="shared" si="16"/>
        <v>-185673.75380677896</v>
      </c>
    </row>
    <row r="245" spans="1:9" x14ac:dyDescent="0.25">
      <c r="A245" s="38">
        <f>Données!A245</f>
        <v>5828</v>
      </c>
      <c r="B245" s="27" t="str">
        <f>Données!B245</f>
        <v>Treytorrens (Payerne)</v>
      </c>
      <c r="C245" s="31">
        <f>Données!Z245</f>
        <v>110</v>
      </c>
      <c r="D245" s="243">
        <f>Ecrêtage!E245</f>
        <v>26.356453627180901</v>
      </c>
      <c r="E245" s="243">
        <f t="shared" si="13"/>
        <v>21.57637870700928</v>
      </c>
      <c r="F245" s="243">
        <f>+Données!X245</f>
        <v>82.5</v>
      </c>
      <c r="G245" s="389">
        <f t="shared" si="14"/>
        <v>-52867.521926849491</v>
      </c>
      <c r="H245" s="163">
        <f t="shared" si="15"/>
        <v>1.2206651812958846</v>
      </c>
      <c r="I245" s="42">
        <f t="shared" si="16"/>
        <v>-64533.543237501894</v>
      </c>
    </row>
    <row r="246" spans="1:9" x14ac:dyDescent="0.25">
      <c r="A246" s="38">
        <f>Données!A246</f>
        <v>5830</v>
      </c>
      <c r="B246" s="27" t="str">
        <f>Données!B246</f>
        <v>Villarzel</v>
      </c>
      <c r="C246" s="31">
        <f>Données!Z246</f>
        <v>500</v>
      </c>
      <c r="D246" s="243">
        <f>Ecrêtage!E246</f>
        <v>24.818943200000003</v>
      </c>
      <c r="E246" s="243">
        <f t="shared" si="13"/>
        <v>23.113889134190178</v>
      </c>
      <c r="F246" s="243">
        <f>+Données!X246</f>
        <v>75</v>
      </c>
      <c r="G246" s="389">
        <f t="shared" si="14"/>
        <v>-234028.12748367555</v>
      </c>
      <c r="H246" s="163">
        <f t="shared" si="15"/>
        <v>1.1096956193598952</v>
      </c>
      <c r="I246" s="42">
        <f t="shared" si="16"/>
        <v>-259699.98787563387</v>
      </c>
    </row>
    <row r="247" spans="1:9" x14ac:dyDescent="0.25">
      <c r="A247" s="38">
        <f>Données!A247</f>
        <v>5831</v>
      </c>
      <c r="B247" s="27" t="str">
        <f>Données!B247</f>
        <v>Valbroye</v>
      </c>
      <c r="C247" s="31">
        <f>Données!Z247</f>
        <v>3349</v>
      </c>
      <c r="D247" s="243">
        <f>Ecrêtage!E247</f>
        <v>24.204664558842943</v>
      </c>
      <c r="E247" s="243">
        <f t="shared" si="13"/>
        <v>23.728167775347238</v>
      </c>
      <c r="F247" s="243">
        <f>+Données!X247</f>
        <v>70.5</v>
      </c>
      <c r="G247" s="389">
        <f t="shared" si="14"/>
        <v>-1512628.3408989075</v>
      </c>
      <c r="H247" s="163">
        <f t="shared" si="15"/>
        <v>1.0431138821983015</v>
      </c>
      <c r="I247" s="42">
        <f t="shared" si="16"/>
        <v>-1577843.6209982352</v>
      </c>
    </row>
    <row r="248" spans="1:9" x14ac:dyDescent="0.25">
      <c r="A248" s="38">
        <f>Données!A248</f>
        <v>5841</v>
      </c>
      <c r="B248" s="27" t="str">
        <f>Données!B248</f>
        <v>Château-d'Oex</v>
      </c>
      <c r="C248" s="31">
        <f>Données!Z248</f>
        <v>3549</v>
      </c>
      <c r="D248" s="243">
        <f>Ecrêtage!E248</f>
        <v>31.234382380243634</v>
      </c>
      <c r="E248" s="243">
        <f t="shared" si="13"/>
        <v>16.698449953946547</v>
      </c>
      <c r="F248" s="243">
        <f>+Données!X248</f>
        <v>81.5</v>
      </c>
      <c r="G248" s="389">
        <f t="shared" si="14"/>
        <v>-1304077.8894986713</v>
      </c>
      <c r="H248" s="163">
        <f t="shared" si="15"/>
        <v>1.2058692397044195</v>
      </c>
      <c r="I248" s="42">
        <f t="shared" si="16"/>
        <v>-1572547.4131251068</v>
      </c>
    </row>
    <row r="249" spans="1:9" x14ac:dyDescent="0.25">
      <c r="A249" s="38">
        <f>Données!A249</f>
        <v>5842</v>
      </c>
      <c r="B249" s="27" t="str">
        <f>Données!B249</f>
        <v>Rossinière</v>
      </c>
      <c r="C249" s="31">
        <f>Données!Z249</f>
        <v>534</v>
      </c>
      <c r="D249" s="243">
        <f>Ecrêtage!E249</f>
        <v>27.980273577780856</v>
      </c>
      <c r="E249" s="243">
        <f t="shared" si="13"/>
        <v>19.952558756409324</v>
      </c>
      <c r="F249" s="243">
        <f>+Données!X249</f>
        <v>81</v>
      </c>
      <c r="G249" s="389">
        <f t="shared" si="14"/>
        <v>-233017.55364142684</v>
      </c>
      <c r="H249" s="163">
        <f t="shared" si="15"/>
        <v>1.1984712689086867</v>
      </c>
      <c r="I249" s="42">
        <f t="shared" si="16"/>
        <v>-279264.84319063881</v>
      </c>
    </row>
    <row r="250" spans="1:9" x14ac:dyDescent="0.25">
      <c r="A250" s="38">
        <f>Données!A250</f>
        <v>5843</v>
      </c>
      <c r="B250" s="27" t="str">
        <f>Données!B250</f>
        <v>Rougemont</v>
      </c>
      <c r="C250" s="31">
        <f>Données!Z250</f>
        <v>862</v>
      </c>
      <c r="D250" s="243">
        <f>Ecrêtage!E250</f>
        <v>112.62503339186054</v>
      </c>
      <c r="E250" s="243">
        <f t="shared" si="13"/>
        <v>0</v>
      </c>
      <c r="F250" s="243">
        <f>+Données!X250</f>
        <v>74</v>
      </c>
      <c r="G250" s="389">
        <f t="shared" si="14"/>
        <v>0</v>
      </c>
      <c r="H250" s="163">
        <f t="shared" si="15"/>
        <v>1.0948996777684299</v>
      </c>
      <c r="I250" s="42">
        <f t="shared" si="16"/>
        <v>0</v>
      </c>
    </row>
    <row r="251" spans="1:9" x14ac:dyDescent="0.25">
      <c r="A251" s="38">
        <f>Données!A251</f>
        <v>5851</v>
      </c>
      <c r="B251" s="27" t="str">
        <f>Données!B251</f>
        <v>Allaman</v>
      </c>
      <c r="C251" s="31">
        <f>Données!Z251</f>
        <v>430</v>
      </c>
      <c r="D251" s="243">
        <f>Ecrêtage!E251</f>
        <v>57.840816631430592</v>
      </c>
      <c r="E251" s="243">
        <f t="shared" si="13"/>
        <v>0</v>
      </c>
      <c r="F251" s="243">
        <f>+Données!X251</f>
        <v>60</v>
      </c>
      <c r="G251" s="389">
        <f t="shared" si="14"/>
        <v>0</v>
      </c>
      <c r="H251" s="163">
        <f t="shared" si="15"/>
        <v>0.88775649548791613</v>
      </c>
      <c r="I251" s="42">
        <f t="shared" si="16"/>
        <v>0</v>
      </c>
    </row>
    <row r="252" spans="1:9" x14ac:dyDescent="0.25">
      <c r="A252" s="38">
        <f>Données!A252</f>
        <v>5852</v>
      </c>
      <c r="B252" s="27" t="str">
        <f>Données!B252</f>
        <v>Bursinel</v>
      </c>
      <c r="C252" s="31">
        <f>Données!Z252</f>
        <v>515</v>
      </c>
      <c r="D252" s="243">
        <f>Ecrêtage!E252</f>
        <v>67.25472022131747</v>
      </c>
      <c r="E252" s="243">
        <f t="shared" si="13"/>
        <v>0</v>
      </c>
      <c r="F252" s="243">
        <f>+Données!X252</f>
        <v>62</v>
      </c>
      <c r="G252" s="389">
        <f t="shared" si="14"/>
        <v>0</v>
      </c>
      <c r="H252" s="163">
        <f t="shared" si="15"/>
        <v>0.91734837867084673</v>
      </c>
      <c r="I252" s="42">
        <f t="shared" si="16"/>
        <v>0</v>
      </c>
    </row>
    <row r="253" spans="1:9" x14ac:dyDescent="0.25">
      <c r="A253" s="38">
        <f>Données!A253</f>
        <v>5853</v>
      </c>
      <c r="B253" s="27" t="str">
        <f>Données!B253</f>
        <v>Bursins</v>
      </c>
      <c r="C253" s="31">
        <f>Données!Z253</f>
        <v>773</v>
      </c>
      <c r="D253" s="243">
        <f>Ecrêtage!E253</f>
        <v>57.54759980321775</v>
      </c>
      <c r="E253" s="243">
        <f t="shared" si="13"/>
        <v>0</v>
      </c>
      <c r="F253" s="243">
        <f>+Données!X253</f>
        <v>71</v>
      </c>
      <c r="G253" s="389">
        <f t="shared" si="14"/>
        <v>0</v>
      </c>
      <c r="H253" s="163">
        <f t="shared" si="15"/>
        <v>1.050511852994034</v>
      </c>
      <c r="I253" s="42">
        <f t="shared" si="16"/>
        <v>0</v>
      </c>
    </row>
    <row r="254" spans="1:9" x14ac:dyDescent="0.25">
      <c r="A254" s="38">
        <f>Données!A254</f>
        <v>5854</v>
      </c>
      <c r="B254" s="27" t="str">
        <f>Données!B254</f>
        <v>Burtigny</v>
      </c>
      <c r="C254" s="31">
        <f>Données!Z254</f>
        <v>416</v>
      </c>
      <c r="D254" s="243">
        <f>Ecrêtage!E254</f>
        <v>36.672127904647432</v>
      </c>
      <c r="E254" s="243">
        <f t="shared" si="13"/>
        <v>11.260704429542749</v>
      </c>
      <c r="F254" s="243">
        <f>+Données!X254</f>
        <v>80</v>
      </c>
      <c r="G254" s="389">
        <f t="shared" si="14"/>
        <v>-101184.18572209933</v>
      </c>
      <c r="H254" s="163">
        <f t="shared" si="15"/>
        <v>1.1836753273172216</v>
      </c>
      <c r="I254" s="42">
        <f t="shared" si="16"/>
        <v>-119769.22415393246</v>
      </c>
    </row>
    <row r="255" spans="1:9" x14ac:dyDescent="0.25">
      <c r="A255" s="38">
        <f>Données!A255</f>
        <v>5855</v>
      </c>
      <c r="B255" s="27" t="str">
        <f>Données!B255</f>
        <v>Dully</v>
      </c>
      <c r="C255" s="31">
        <f>Données!Z255</f>
        <v>634</v>
      </c>
      <c r="D255" s="243">
        <f>Ecrêtage!E255</f>
        <v>147.75693298139447</v>
      </c>
      <c r="E255" s="243">
        <f t="shared" si="13"/>
        <v>0</v>
      </c>
      <c r="F255" s="243">
        <f>+Données!X255</f>
        <v>49</v>
      </c>
      <c r="G255" s="389">
        <f t="shared" si="14"/>
        <v>0</v>
      </c>
      <c r="H255" s="163">
        <f t="shared" si="15"/>
        <v>0.72500113798179822</v>
      </c>
      <c r="I255" s="42">
        <f t="shared" si="16"/>
        <v>0</v>
      </c>
    </row>
    <row r="256" spans="1:9" x14ac:dyDescent="0.25">
      <c r="A256" s="38">
        <f>Données!A256</f>
        <v>5856</v>
      </c>
      <c r="B256" s="27" t="str">
        <f>Données!B256</f>
        <v>Essertines-sur-Rolle</v>
      </c>
      <c r="C256" s="31">
        <f>Données!Z256</f>
        <v>753</v>
      </c>
      <c r="D256" s="243">
        <f>Ecrêtage!E256</f>
        <v>55.856369593920441</v>
      </c>
      <c r="E256" s="243">
        <f t="shared" si="13"/>
        <v>0</v>
      </c>
      <c r="F256" s="243">
        <f>+Données!X256</f>
        <v>66.5</v>
      </c>
      <c r="G256" s="389">
        <f t="shared" si="14"/>
        <v>0</v>
      </c>
      <c r="H256" s="163">
        <f t="shared" si="15"/>
        <v>0.98393011583244039</v>
      </c>
      <c r="I256" s="42">
        <f t="shared" si="16"/>
        <v>0</v>
      </c>
    </row>
    <row r="257" spans="1:9" x14ac:dyDescent="0.25">
      <c r="A257" s="38">
        <f>Données!A257</f>
        <v>5857</v>
      </c>
      <c r="B257" s="27" t="str">
        <f>Données!B257</f>
        <v>Gilly</v>
      </c>
      <c r="C257" s="31">
        <f>Données!Z257</f>
        <v>1438</v>
      </c>
      <c r="D257" s="243">
        <f>Ecrêtage!E257</f>
        <v>61.797674957682403</v>
      </c>
      <c r="E257" s="243">
        <f t="shared" si="13"/>
        <v>0</v>
      </c>
      <c r="F257" s="243">
        <f>+Données!X257</f>
        <v>64.5</v>
      </c>
      <c r="G257" s="389">
        <f t="shared" si="14"/>
        <v>0</v>
      </c>
      <c r="H257" s="163">
        <f t="shared" si="15"/>
        <v>0.9543382326495099</v>
      </c>
      <c r="I257" s="42">
        <f t="shared" si="16"/>
        <v>0</v>
      </c>
    </row>
    <row r="258" spans="1:9" x14ac:dyDescent="0.25">
      <c r="A258" s="38">
        <f>Données!A258</f>
        <v>5858</v>
      </c>
      <c r="B258" s="27" t="str">
        <f>Données!B258</f>
        <v>Luins</v>
      </c>
      <c r="C258" s="31">
        <f>Données!Z258</f>
        <v>630</v>
      </c>
      <c r="D258" s="243">
        <f>Ecrêtage!E258</f>
        <v>60.718338805227688</v>
      </c>
      <c r="E258" s="243">
        <f t="shared" si="13"/>
        <v>0</v>
      </c>
      <c r="F258" s="243">
        <f>+Données!X258</f>
        <v>58.5</v>
      </c>
      <c r="G258" s="389">
        <f t="shared" si="14"/>
        <v>0</v>
      </c>
      <c r="H258" s="163">
        <f t="shared" si="15"/>
        <v>0.86556258310071821</v>
      </c>
      <c r="I258" s="42">
        <f t="shared" si="16"/>
        <v>0</v>
      </c>
    </row>
    <row r="259" spans="1:9" x14ac:dyDescent="0.25">
      <c r="A259" s="38">
        <f>Données!A259</f>
        <v>5859</v>
      </c>
      <c r="B259" s="27" t="str">
        <f>Données!B259</f>
        <v>Mont-sur-Rolle</v>
      </c>
      <c r="C259" s="31">
        <f>Données!Z259</f>
        <v>2739</v>
      </c>
      <c r="D259" s="243">
        <f>Ecrêtage!E259</f>
        <v>58.745732766427203</v>
      </c>
      <c r="E259" s="243">
        <f t="shared" si="13"/>
        <v>0</v>
      </c>
      <c r="F259" s="243">
        <f>+Données!X259</f>
        <v>63.5</v>
      </c>
      <c r="G259" s="389">
        <f t="shared" si="14"/>
        <v>0</v>
      </c>
      <c r="H259" s="163">
        <f t="shared" si="15"/>
        <v>0.93954229105804465</v>
      </c>
      <c r="I259" s="42">
        <f t="shared" si="16"/>
        <v>0</v>
      </c>
    </row>
    <row r="260" spans="1:9" x14ac:dyDescent="0.25">
      <c r="A260" s="38">
        <f>Données!A260</f>
        <v>5860</v>
      </c>
      <c r="B260" s="27" t="str">
        <f>Données!B260</f>
        <v>Perroy</v>
      </c>
      <c r="C260" s="31">
        <f>Données!Z260</f>
        <v>1514</v>
      </c>
      <c r="D260" s="243">
        <f>Ecrêtage!E260</f>
        <v>82.05950796293547</v>
      </c>
      <c r="E260" s="243">
        <f t="shared" si="13"/>
        <v>0</v>
      </c>
      <c r="F260" s="243">
        <f>+Données!X260</f>
        <v>58.5</v>
      </c>
      <c r="G260" s="389">
        <f t="shared" si="14"/>
        <v>0</v>
      </c>
      <c r="H260" s="163">
        <f t="shared" si="15"/>
        <v>0.86556258310071821</v>
      </c>
      <c r="I260" s="42">
        <f t="shared" si="16"/>
        <v>0</v>
      </c>
    </row>
    <row r="261" spans="1:9" x14ac:dyDescent="0.25">
      <c r="A261" s="38">
        <f>Données!A261</f>
        <v>5861</v>
      </c>
      <c r="B261" s="27" t="str">
        <f>Données!B261</f>
        <v>Rolle</v>
      </c>
      <c r="C261" s="31">
        <f>Données!Z261</f>
        <v>6291</v>
      </c>
      <c r="D261" s="243">
        <f>Ecrêtage!E261</f>
        <v>138.70637707061843</v>
      </c>
      <c r="E261" s="243">
        <f t="shared" si="13"/>
        <v>0</v>
      </c>
      <c r="F261" s="243">
        <f>+Données!X261</f>
        <v>59.5</v>
      </c>
      <c r="G261" s="389">
        <f t="shared" si="14"/>
        <v>0</v>
      </c>
      <c r="H261" s="163">
        <f t="shared" si="15"/>
        <v>0.88035852469218356</v>
      </c>
      <c r="I261" s="42">
        <f t="shared" si="16"/>
        <v>0</v>
      </c>
    </row>
    <row r="262" spans="1:9" x14ac:dyDescent="0.25">
      <c r="A262" s="38">
        <f>Données!A262</f>
        <v>5862</v>
      </c>
      <c r="B262" s="27" t="str">
        <f>Données!B262</f>
        <v>Tartegnin</v>
      </c>
      <c r="C262" s="31">
        <f>Données!Z262</f>
        <v>241</v>
      </c>
      <c r="D262" s="243">
        <f>Ecrêtage!E262</f>
        <v>32.742457587058141</v>
      </c>
      <c r="E262" s="243">
        <f t="shared" si="13"/>
        <v>15.19037474713204</v>
      </c>
      <c r="F262" s="243">
        <f>+Données!X262</f>
        <v>79</v>
      </c>
      <c r="G262" s="389">
        <f t="shared" si="14"/>
        <v>-78086.577098874666</v>
      </c>
      <c r="H262" s="163">
        <f t="shared" si="15"/>
        <v>1.1688793857257562</v>
      </c>
      <c r="I262" s="42">
        <f t="shared" si="16"/>
        <v>-91273.790272759521</v>
      </c>
    </row>
    <row r="263" spans="1:9" x14ac:dyDescent="0.25">
      <c r="A263" s="38">
        <f>Données!A263</f>
        <v>5863</v>
      </c>
      <c r="B263" s="27" t="str">
        <f>Données!B263</f>
        <v>Vinzel</v>
      </c>
      <c r="C263" s="31">
        <f>Données!Z263</f>
        <v>369</v>
      </c>
      <c r="D263" s="243">
        <f>Ecrêtage!E263</f>
        <v>58.056855559600358</v>
      </c>
      <c r="E263" s="243">
        <f t="shared" ref="E263:E305" si="17">IF($D$306-D263&lt;0,0,$D$306-D263)</f>
        <v>0</v>
      </c>
      <c r="F263" s="243">
        <f>+Données!X263</f>
        <v>67</v>
      </c>
      <c r="G263" s="389">
        <f t="shared" ref="G263:G305" si="18">-((C263*E263*F263)*$E$5)</f>
        <v>0</v>
      </c>
      <c r="H263" s="163">
        <f t="shared" ref="H263:H305" si="19">F263/$F$306</f>
        <v>0.99132808662817307</v>
      </c>
      <c r="I263" s="42">
        <f t="shared" ref="I263:I305" si="20">G263*H263</f>
        <v>0</v>
      </c>
    </row>
    <row r="264" spans="1:9" x14ac:dyDescent="0.25">
      <c r="A264" s="38">
        <f>Données!A264</f>
        <v>5871</v>
      </c>
      <c r="B264" s="27" t="str">
        <f>Données!B264</f>
        <v>L'Abbaye</v>
      </c>
      <c r="C264" s="31">
        <f>Données!Z264</f>
        <v>1521</v>
      </c>
      <c r="D264" s="243">
        <f>Ecrêtage!E264</f>
        <v>34.274546645312903</v>
      </c>
      <c r="E264" s="243">
        <f t="shared" si="17"/>
        <v>13.658285688877278</v>
      </c>
      <c r="F264" s="243">
        <f>+Données!X264</f>
        <v>77.650000000000006</v>
      </c>
      <c r="G264" s="389">
        <f t="shared" si="18"/>
        <v>-435542.59147604817</v>
      </c>
      <c r="H264" s="163">
        <f t="shared" si="19"/>
        <v>1.1489048645772781</v>
      </c>
      <c r="I264" s="42">
        <f t="shared" si="20"/>
        <v>-500397.00207742589</v>
      </c>
    </row>
    <row r="265" spans="1:9" x14ac:dyDescent="0.25">
      <c r="A265" s="38">
        <f>Données!A265</f>
        <v>5872</v>
      </c>
      <c r="B265" s="27" t="str">
        <f>Données!B265</f>
        <v>Le Chenit</v>
      </c>
      <c r="C265" s="31">
        <f>Données!Z265</f>
        <v>4569</v>
      </c>
      <c r="D265" s="243">
        <f>Ecrêtage!E265</f>
        <v>43.541271451974026</v>
      </c>
      <c r="E265" s="243">
        <f t="shared" si="17"/>
        <v>4.3915608822161545</v>
      </c>
      <c r="F265" s="243">
        <f>+Données!X265</f>
        <v>66.989999999999995</v>
      </c>
      <c r="G265" s="389">
        <f t="shared" si="18"/>
        <v>-362922.4282130858</v>
      </c>
      <c r="H265" s="163">
        <f t="shared" si="19"/>
        <v>0.99118012721225834</v>
      </c>
      <c r="I265" s="42">
        <f t="shared" si="20"/>
        <v>-359721.49856442807</v>
      </c>
    </row>
    <row r="266" spans="1:9" x14ac:dyDescent="0.25">
      <c r="A266" s="38">
        <f>Données!A266</f>
        <v>5873</v>
      </c>
      <c r="B266" s="27" t="str">
        <f>Données!B266</f>
        <v>Le Lieu</v>
      </c>
      <c r="C266" s="31">
        <f>Données!Z266</f>
        <v>881</v>
      </c>
      <c r="D266" s="243">
        <f>Ecrêtage!E266</f>
        <v>35.713075522944706</v>
      </c>
      <c r="E266" s="243">
        <f t="shared" si="17"/>
        <v>12.219756811245475</v>
      </c>
      <c r="F266" s="243">
        <f>+Données!X266</f>
        <v>70</v>
      </c>
      <c r="G266" s="389">
        <f t="shared" si="18"/>
        <v>-203469.94868836729</v>
      </c>
      <c r="H266" s="163">
        <f t="shared" si="19"/>
        <v>1.0357159114025689</v>
      </c>
      <c r="I266" s="42">
        <f t="shared" si="20"/>
        <v>-210737.06334880626</v>
      </c>
    </row>
    <row r="267" spans="1:9" x14ac:dyDescent="0.25">
      <c r="A267" s="38">
        <f>Données!A267</f>
        <v>5882</v>
      </c>
      <c r="B267" s="27" t="str">
        <f>Données!B267</f>
        <v>Chardonne</v>
      </c>
      <c r="C267" s="31">
        <f>Données!Z267</f>
        <v>3078</v>
      </c>
      <c r="D267" s="243">
        <f>Ecrêtage!E267</f>
        <v>60.734343920804193</v>
      </c>
      <c r="E267" s="243">
        <f t="shared" si="17"/>
        <v>0</v>
      </c>
      <c r="F267" s="243">
        <f>+Données!X267</f>
        <v>68</v>
      </c>
      <c r="G267" s="389">
        <f t="shared" si="18"/>
        <v>0</v>
      </c>
      <c r="H267" s="163">
        <f t="shared" si="19"/>
        <v>1.0061240282196384</v>
      </c>
      <c r="I267" s="42">
        <f t="shared" si="20"/>
        <v>0</v>
      </c>
    </row>
    <row r="268" spans="1:9" x14ac:dyDescent="0.25">
      <c r="A268" s="38">
        <f>Données!A268</f>
        <v>5883</v>
      </c>
      <c r="B268" s="27" t="str">
        <f>Données!B268</f>
        <v>Corseaux</v>
      </c>
      <c r="C268" s="31">
        <f>Données!Z268</f>
        <v>2330</v>
      </c>
      <c r="D268" s="243">
        <f>Ecrêtage!E268</f>
        <v>82.871751708790327</v>
      </c>
      <c r="E268" s="243">
        <f t="shared" si="17"/>
        <v>0</v>
      </c>
      <c r="F268" s="243">
        <f>+Données!X268</f>
        <v>67.5</v>
      </c>
      <c r="G268" s="389">
        <f t="shared" si="18"/>
        <v>0</v>
      </c>
      <c r="H268" s="163">
        <f t="shared" si="19"/>
        <v>0.99872605742390563</v>
      </c>
      <c r="I268" s="42">
        <f t="shared" si="20"/>
        <v>0</v>
      </c>
    </row>
    <row r="269" spans="1:9" x14ac:dyDescent="0.25">
      <c r="A269" s="38">
        <f>Données!A269</f>
        <v>5884</v>
      </c>
      <c r="B269" s="27" t="str">
        <f>Données!B269</f>
        <v>Corsier-sur-Vevey</v>
      </c>
      <c r="C269" s="31">
        <f>Données!Z269</f>
        <v>3390</v>
      </c>
      <c r="D269" s="243">
        <f>Ecrêtage!E269</f>
        <v>43.895018651909787</v>
      </c>
      <c r="E269" s="243">
        <f t="shared" si="17"/>
        <v>4.0378136822803938</v>
      </c>
      <c r="F269" s="243">
        <f>+Données!X269</f>
        <v>64.5</v>
      </c>
      <c r="G269" s="389">
        <f t="shared" si="18"/>
        <v>-238379.8006887353</v>
      </c>
      <c r="H269" s="163">
        <f t="shared" si="19"/>
        <v>0.9543382326495099</v>
      </c>
      <c r="I269" s="42">
        <f t="shared" si="20"/>
        <v>-227494.95768863006</v>
      </c>
    </row>
    <row r="270" spans="1:9" x14ac:dyDescent="0.25">
      <c r="A270" s="38">
        <f>Données!A270</f>
        <v>5885</v>
      </c>
      <c r="B270" s="27" t="str">
        <f>Données!B270</f>
        <v>Jongny</v>
      </c>
      <c r="C270" s="31">
        <f>Données!Z270</f>
        <v>1805</v>
      </c>
      <c r="D270" s="243">
        <f>Ecrêtage!E270</f>
        <v>53.780996884486868</v>
      </c>
      <c r="E270" s="243">
        <f t="shared" si="17"/>
        <v>0</v>
      </c>
      <c r="F270" s="243">
        <f>+Données!X270</f>
        <v>69.5</v>
      </c>
      <c r="G270" s="389">
        <f t="shared" si="18"/>
        <v>0</v>
      </c>
      <c r="H270" s="163">
        <f t="shared" si="19"/>
        <v>1.0283179406068361</v>
      </c>
      <c r="I270" s="42">
        <f t="shared" si="20"/>
        <v>0</v>
      </c>
    </row>
    <row r="271" spans="1:9" x14ac:dyDescent="0.25">
      <c r="A271" s="38">
        <f>Données!A271</f>
        <v>5886</v>
      </c>
      <c r="B271" s="27" t="str">
        <f>Données!B271</f>
        <v>Montreux</v>
      </c>
      <c r="C271" s="31">
        <f>Données!Z271</f>
        <v>26012</v>
      </c>
      <c r="D271" s="243">
        <f>Ecrêtage!E271</f>
        <v>45.131762340458252</v>
      </c>
      <c r="E271" s="243">
        <f t="shared" si="17"/>
        <v>2.8010699937319288</v>
      </c>
      <c r="F271" s="243">
        <f>+Données!X271</f>
        <v>65</v>
      </c>
      <c r="G271" s="389">
        <f t="shared" si="18"/>
        <v>-1278718.1434805593</v>
      </c>
      <c r="H271" s="163">
        <f t="shared" si="19"/>
        <v>0.96173620344524247</v>
      </c>
      <c r="I271" s="42">
        <f t="shared" si="20"/>
        <v>-1229789.532587542</v>
      </c>
    </row>
    <row r="272" spans="1:9" x14ac:dyDescent="0.25">
      <c r="A272" s="38">
        <f>Données!A272</f>
        <v>5889</v>
      </c>
      <c r="B272" s="27" t="str">
        <f>Données!B272</f>
        <v>La Tour-de-Peilz</v>
      </c>
      <c r="C272" s="31">
        <f>Données!Z272</f>
        <v>12222</v>
      </c>
      <c r="D272" s="243">
        <f>Ecrêtage!E272</f>
        <v>60.553809093403977</v>
      </c>
      <c r="E272" s="243">
        <f t="shared" si="17"/>
        <v>0</v>
      </c>
      <c r="F272" s="243">
        <f>+Données!X272</f>
        <v>64</v>
      </c>
      <c r="G272" s="389">
        <f t="shared" si="18"/>
        <v>0</v>
      </c>
      <c r="H272" s="163">
        <f t="shared" si="19"/>
        <v>0.94694026185377722</v>
      </c>
      <c r="I272" s="42">
        <f t="shared" si="20"/>
        <v>0</v>
      </c>
    </row>
    <row r="273" spans="1:9" x14ac:dyDescent="0.25">
      <c r="A273" s="38">
        <f>Données!A273</f>
        <v>5890</v>
      </c>
      <c r="B273" s="27" t="str">
        <f>Données!B273</f>
        <v>Vevey</v>
      </c>
      <c r="C273" s="31">
        <f>Données!Z273</f>
        <v>19721</v>
      </c>
      <c r="D273" s="243">
        <f>Ecrêtage!E273</f>
        <v>49.129992795469967</v>
      </c>
      <c r="E273" s="243">
        <f t="shared" si="17"/>
        <v>0</v>
      </c>
      <c r="F273" s="243">
        <f>+Données!X273</f>
        <v>74.5</v>
      </c>
      <c r="G273" s="389">
        <f t="shared" si="18"/>
        <v>0</v>
      </c>
      <c r="H273" s="163">
        <f t="shared" si="19"/>
        <v>1.1022976485641625</v>
      </c>
      <c r="I273" s="42">
        <f t="shared" si="20"/>
        <v>0</v>
      </c>
    </row>
    <row r="274" spans="1:9" x14ac:dyDescent="0.25">
      <c r="A274" s="38">
        <f>Données!A274</f>
        <v>5891</v>
      </c>
      <c r="B274" s="27" t="str">
        <f>Données!B274</f>
        <v>Veytaux</v>
      </c>
      <c r="C274" s="31">
        <f>Données!Z274</f>
        <v>952</v>
      </c>
      <c r="D274" s="243">
        <f>Ecrêtage!E274</f>
        <v>41.091191584547481</v>
      </c>
      <c r="E274" s="243">
        <f t="shared" si="17"/>
        <v>6.8416407496426999</v>
      </c>
      <c r="F274" s="243">
        <f>+Données!X274</f>
        <v>69.5</v>
      </c>
      <c r="G274" s="389">
        <f t="shared" si="18"/>
        <v>-122220.9860110271</v>
      </c>
      <c r="H274" s="163">
        <f t="shared" si="19"/>
        <v>1.0283179406068361</v>
      </c>
      <c r="I274" s="42">
        <f t="shared" si="20"/>
        <v>-125682.03263379631</v>
      </c>
    </row>
    <row r="275" spans="1:9" x14ac:dyDescent="0.25">
      <c r="A275" s="38">
        <f>Données!A275</f>
        <v>5892</v>
      </c>
      <c r="B275" s="27" t="str">
        <f>Données!B275</f>
        <v>Blonay-St-Légier</v>
      </c>
      <c r="C275" s="31">
        <f>Données!Z275</f>
        <v>11925</v>
      </c>
      <c r="D275" s="243">
        <f>Ecrêtage!E275</f>
        <v>59.143637684655374</v>
      </c>
      <c r="E275" s="243">
        <f t="shared" si="17"/>
        <v>0</v>
      </c>
      <c r="F275" s="243">
        <f>+Données!X275</f>
        <v>68.5</v>
      </c>
      <c r="G275" s="389">
        <f t="shared" si="18"/>
        <v>0</v>
      </c>
      <c r="H275" s="163">
        <f t="shared" si="19"/>
        <v>1.013521999015371</v>
      </c>
      <c r="I275" s="42">
        <f t="shared" si="20"/>
        <v>0</v>
      </c>
    </row>
    <row r="276" spans="1:9" x14ac:dyDescent="0.25">
      <c r="A276" s="38">
        <f>Données!A276</f>
        <v>5902</v>
      </c>
      <c r="B276" s="27" t="str">
        <f>Données!B276</f>
        <v>Belmont-sur-Yverdon</v>
      </c>
      <c r="C276" s="31">
        <f>Données!Z276</f>
        <v>415</v>
      </c>
      <c r="D276" s="243">
        <f>Ecrêtage!E276</f>
        <v>29.178419965576595</v>
      </c>
      <c r="E276" s="243">
        <f t="shared" si="17"/>
        <v>18.754412368613586</v>
      </c>
      <c r="F276" s="243">
        <f>+Données!X276</f>
        <v>70</v>
      </c>
      <c r="G276" s="389">
        <f t="shared" si="18"/>
        <v>-147100.23341322067</v>
      </c>
      <c r="H276" s="163">
        <f t="shared" si="19"/>
        <v>1.0357159114025689</v>
      </c>
      <c r="I276" s="42">
        <f t="shared" si="20"/>
        <v>-152354.05231710448</v>
      </c>
    </row>
    <row r="277" spans="1:9" s="219" customFormat="1" x14ac:dyDescent="0.25">
      <c r="A277" s="38">
        <f>Données!A277</f>
        <v>5903</v>
      </c>
      <c r="B277" s="27" t="str">
        <f>Données!B277</f>
        <v>Bioley-Magnoux</v>
      </c>
      <c r="C277" s="31">
        <f>Données!Z277</f>
        <v>234</v>
      </c>
      <c r="D277" s="243">
        <f>Ecrêtage!E277</f>
        <v>25.908247015330353</v>
      </c>
      <c r="E277" s="243">
        <f t="shared" si="17"/>
        <v>22.024585318859828</v>
      </c>
      <c r="F277" s="243">
        <f>+Données!X277</f>
        <v>72</v>
      </c>
      <c r="G277" s="389">
        <f t="shared" si="18"/>
        <v>-100188.95763208062</v>
      </c>
      <c r="H277" s="163">
        <f t="shared" si="19"/>
        <v>1.0653077945854994</v>
      </c>
      <c r="I277" s="42">
        <f t="shared" si="20"/>
        <v>-106732.07749685185</v>
      </c>
    </row>
    <row r="278" spans="1:9" s="219" customFormat="1" x14ac:dyDescent="0.25">
      <c r="A278" s="38">
        <f>Données!A278</f>
        <v>5904</v>
      </c>
      <c r="B278" s="27" t="str">
        <f>Données!B278</f>
        <v>Chamblon</v>
      </c>
      <c r="C278" s="31">
        <f>Données!Z278</f>
        <v>561</v>
      </c>
      <c r="D278" s="243">
        <f>Ecrêtage!E278</f>
        <v>39.531701507049092</v>
      </c>
      <c r="E278" s="243">
        <f t="shared" si="17"/>
        <v>8.4011308271410883</v>
      </c>
      <c r="F278" s="243">
        <f>+Données!X278</f>
        <v>66</v>
      </c>
      <c r="G278" s="389">
        <f t="shared" si="18"/>
        <v>-83986.272901546021</v>
      </c>
      <c r="H278" s="163">
        <f t="shared" si="19"/>
        <v>0.97653214503670782</v>
      </c>
      <c r="I278" s="42">
        <f t="shared" si="20"/>
        <v>-82015.29523018506</v>
      </c>
    </row>
    <row r="279" spans="1:9" s="219" customFormat="1" x14ac:dyDescent="0.25">
      <c r="A279" s="38">
        <f>Données!A279</f>
        <v>5905</v>
      </c>
      <c r="B279" s="27" t="str">
        <f>Données!B279</f>
        <v>Champvent</v>
      </c>
      <c r="C279" s="31">
        <f>Données!Z279</f>
        <v>712</v>
      </c>
      <c r="D279" s="243">
        <f>Ecrêtage!E279</f>
        <v>32.71119341894061</v>
      </c>
      <c r="E279" s="243">
        <f t="shared" si="17"/>
        <v>15.221638915249571</v>
      </c>
      <c r="F279" s="243">
        <f>+Données!X279</f>
        <v>70</v>
      </c>
      <c r="G279" s="389">
        <f t="shared" si="18"/>
        <v>-204834.55055473043</v>
      </c>
      <c r="H279" s="163">
        <f t="shared" si="19"/>
        <v>1.0357159114025689</v>
      </c>
      <c r="I279" s="42">
        <f t="shared" si="20"/>
        <v>-212150.4032145282</v>
      </c>
    </row>
    <row r="280" spans="1:9" s="219" customFormat="1" x14ac:dyDescent="0.25">
      <c r="A280" s="38">
        <f>Données!A280</f>
        <v>5907</v>
      </c>
      <c r="B280" s="27" t="str">
        <f>Données!B280</f>
        <v>Chavannes-le-Chêne</v>
      </c>
      <c r="C280" s="31">
        <f>Données!Z280</f>
        <v>325</v>
      </c>
      <c r="D280" s="243">
        <f>Ecrêtage!E280</f>
        <v>24.056338871794871</v>
      </c>
      <c r="E280" s="243">
        <f t="shared" si="17"/>
        <v>23.87649346239531</v>
      </c>
      <c r="F280" s="243">
        <f>+Données!X280</f>
        <v>75</v>
      </c>
      <c r="G280" s="389">
        <f t="shared" si="18"/>
        <v>-157137.17259938913</v>
      </c>
      <c r="H280" s="163">
        <f t="shared" si="19"/>
        <v>1.1096956193598952</v>
      </c>
      <c r="I280" s="42">
        <f t="shared" si="20"/>
        <v>-174374.43207214188</v>
      </c>
    </row>
    <row r="281" spans="1:9" s="219" customFormat="1" x14ac:dyDescent="0.25">
      <c r="A281" s="38">
        <f>Données!A281</f>
        <v>5908</v>
      </c>
      <c r="B281" s="27" t="str">
        <f>Données!B281</f>
        <v>Chêne-Pâquier</v>
      </c>
      <c r="C281" s="31">
        <f>Données!Z281</f>
        <v>153</v>
      </c>
      <c r="D281" s="243">
        <f>Ecrêtage!E281</f>
        <v>28.845928683709769</v>
      </c>
      <c r="E281" s="243">
        <f t="shared" si="17"/>
        <v>19.086903650480412</v>
      </c>
      <c r="F281" s="243">
        <f>+Données!X281</f>
        <v>79</v>
      </c>
      <c r="G281" s="389">
        <f t="shared" si="18"/>
        <v>-62289.919194306327</v>
      </c>
      <c r="H281" s="163">
        <f t="shared" si="19"/>
        <v>1.1688793857257562</v>
      </c>
      <c r="I281" s="42">
        <f t="shared" si="20"/>
        <v>-72809.40248474777</v>
      </c>
    </row>
    <row r="282" spans="1:9" s="219" customFormat="1" x14ac:dyDescent="0.25">
      <c r="A282" s="38">
        <f>Données!A282</f>
        <v>5909</v>
      </c>
      <c r="B282" s="27" t="str">
        <f>Données!B282</f>
        <v>Cheseaux-Noréaz</v>
      </c>
      <c r="C282" s="31">
        <f>Données!Z282</f>
        <v>728</v>
      </c>
      <c r="D282" s="243">
        <f>Ecrêtage!E282</f>
        <v>50.704530506806627</v>
      </c>
      <c r="E282" s="243">
        <f t="shared" si="17"/>
        <v>0</v>
      </c>
      <c r="F282" s="243">
        <f>+Données!X282</f>
        <v>67</v>
      </c>
      <c r="G282" s="389">
        <f t="shared" si="18"/>
        <v>0</v>
      </c>
      <c r="H282" s="163">
        <f t="shared" si="19"/>
        <v>0.99132808662817307</v>
      </c>
      <c r="I282" s="42">
        <f t="shared" si="20"/>
        <v>0</v>
      </c>
    </row>
    <row r="283" spans="1:9" s="219" customFormat="1" x14ac:dyDescent="0.25">
      <c r="A283" s="38">
        <f>Données!A283</f>
        <v>5910</v>
      </c>
      <c r="B283" s="27" t="str">
        <f>Données!B283</f>
        <v>Cronay</v>
      </c>
      <c r="C283" s="31">
        <f>Données!Z283</f>
        <v>403</v>
      </c>
      <c r="D283" s="243">
        <f>Ecrêtage!E283</f>
        <v>26.302666043633781</v>
      </c>
      <c r="E283" s="243">
        <f t="shared" si="17"/>
        <v>21.630166290556399</v>
      </c>
      <c r="F283" s="243">
        <f>+Données!X283</f>
        <v>77</v>
      </c>
      <c r="G283" s="389">
        <f t="shared" si="18"/>
        <v>-181225.53634380904</v>
      </c>
      <c r="H283" s="163">
        <f t="shared" si="19"/>
        <v>1.1392875025428257</v>
      </c>
      <c r="I283" s="42">
        <f t="shared" si="20"/>
        <v>-206467.9886981223</v>
      </c>
    </row>
    <row r="284" spans="1:9" s="219" customFormat="1" x14ac:dyDescent="0.25">
      <c r="A284" s="38">
        <f>Données!A284</f>
        <v>5911</v>
      </c>
      <c r="B284" s="27" t="str">
        <f>Données!B284</f>
        <v>Cuarny</v>
      </c>
      <c r="C284" s="31">
        <f>Données!Z284</f>
        <v>245</v>
      </c>
      <c r="D284" s="243">
        <f>Ecrêtage!E284</f>
        <v>30.627134375828259</v>
      </c>
      <c r="E284" s="243">
        <f t="shared" si="17"/>
        <v>17.305697958361922</v>
      </c>
      <c r="F284" s="243">
        <f>+Données!X284</f>
        <v>77</v>
      </c>
      <c r="G284" s="389">
        <f t="shared" si="18"/>
        <v>-88147.437835814388</v>
      </c>
      <c r="H284" s="163">
        <f t="shared" si="19"/>
        <v>1.1392875025428257</v>
      </c>
      <c r="I284" s="42">
        <f t="shared" si="20"/>
        <v>-100425.27430751396</v>
      </c>
    </row>
    <row r="285" spans="1:9" x14ac:dyDescent="0.25">
      <c r="A285" s="38">
        <f>Données!A285</f>
        <v>5912</v>
      </c>
      <c r="B285" s="27" t="str">
        <f>Données!B285</f>
        <v>Démoret</v>
      </c>
      <c r="C285" s="31">
        <f>Données!Z285</f>
        <v>164</v>
      </c>
      <c r="D285" s="243">
        <f>Ecrêtage!E285</f>
        <v>28.795045919903643</v>
      </c>
      <c r="E285" s="243">
        <f t="shared" si="17"/>
        <v>19.137786414286538</v>
      </c>
      <c r="F285" s="243">
        <f>+Données!X285</f>
        <v>81</v>
      </c>
      <c r="G285" s="389">
        <f t="shared" si="18"/>
        <v>-68641.115776393242</v>
      </c>
      <c r="H285" s="163">
        <f t="shared" si="19"/>
        <v>1.1984712689086867</v>
      </c>
      <c r="I285" s="42">
        <f t="shared" si="20"/>
        <v>-82264.40512384208</v>
      </c>
    </row>
    <row r="286" spans="1:9" x14ac:dyDescent="0.25">
      <c r="A286" s="38">
        <f>Données!A286</f>
        <v>5913</v>
      </c>
      <c r="B286" s="27" t="str">
        <f>Données!B286</f>
        <v>Donneloye</v>
      </c>
      <c r="C286" s="31">
        <f>Données!Z286</f>
        <v>891</v>
      </c>
      <c r="D286" s="243">
        <f>Ecrêtage!E286</f>
        <v>26.816114724105589</v>
      </c>
      <c r="E286" s="243">
        <f t="shared" si="17"/>
        <v>21.116717610084592</v>
      </c>
      <c r="F286" s="243">
        <f>+Données!X286</f>
        <v>73</v>
      </c>
      <c r="G286" s="389">
        <f t="shared" si="18"/>
        <v>-370843.55914843769</v>
      </c>
      <c r="H286" s="163">
        <f t="shared" si="19"/>
        <v>1.0801037361769648</v>
      </c>
      <c r="I286" s="42">
        <f t="shared" si="20"/>
        <v>-400549.51377339079</v>
      </c>
    </row>
    <row r="287" spans="1:9" x14ac:dyDescent="0.25">
      <c r="A287" s="38">
        <f>Données!A287</f>
        <v>5914</v>
      </c>
      <c r="B287" s="27" t="str">
        <f>Données!B287</f>
        <v>Ependes</v>
      </c>
      <c r="C287" s="31">
        <f>Données!Z287</f>
        <v>381</v>
      </c>
      <c r="D287" s="243">
        <f>Ecrêtage!E287</f>
        <v>25.796686128519646</v>
      </c>
      <c r="E287" s="243">
        <f t="shared" si="17"/>
        <v>22.136146205670535</v>
      </c>
      <c r="F287" s="243">
        <f>+Données!X287</f>
        <v>73.5</v>
      </c>
      <c r="G287" s="389">
        <f t="shared" si="18"/>
        <v>-167370.18397303359</v>
      </c>
      <c r="H287" s="163">
        <f t="shared" si="19"/>
        <v>1.0875017069726973</v>
      </c>
      <c r="I287" s="42">
        <f t="shared" si="20"/>
        <v>-182015.36076700842</v>
      </c>
    </row>
    <row r="288" spans="1:9" x14ac:dyDescent="0.25">
      <c r="A288" s="38">
        <f>Données!A288</f>
        <v>5919</v>
      </c>
      <c r="B288" s="27" t="str">
        <f>Données!B288</f>
        <v>Mathod</v>
      </c>
      <c r="C288" s="31">
        <f>Données!Z288</f>
        <v>655</v>
      </c>
      <c r="D288" s="243">
        <f>Ecrêtage!E288</f>
        <v>28.525542620865142</v>
      </c>
      <c r="E288" s="243">
        <f t="shared" si="17"/>
        <v>19.407289713325039</v>
      </c>
      <c r="F288" s="243">
        <f>+Données!X288</f>
        <v>72</v>
      </c>
      <c r="G288" s="389">
        <f t="shared" si="18"/>
        <v>-247116.9013777104</v>
      </c>
      <c r="H288" s="163">
        <f t="shared" si="19"/>
        <v>1.0653077945854994</v>
      </c>
      <c r="I288" s="42">
        <f t="shared" si="20"/>
        <v>-263255.561211491</v>
      </c>
    </row>
    <row r="289" spans="1:9" x14ac:dyDescent="0.25">
      <c r="A289" s="38">
        <f>Données!A289</f>
        <v>5921</v>
      </c>
      <c r="B289" s="27" t="str">
        <f>Données!B289</f>
        <v>Molondin</v>
      </c>
      <c r="C289" s="31">
        <f>Données!Z289</f>
        <v>239</v>
      </c>
      <c r="D289" s="243">
        <f>Ecrêtage!E289</f>
        <v>24.57958623895863</v>
      </c>
      <c r="E289" s="243">
        <f t="shared" si="17"/>
        <v>23.353246095231551</v>
      </c>
      <c r="F289" s="243">
        <f>+Données!X289</f>
        <v>81</v>
      </c>
      <c r="G289" s="389">
        <f t="shared" si="18"/>
        <v>-122065.78261254866</v>
      </c>
      <c r="H289" s="163">
        <f t="shared" si="19"/>
        <v>1.1984712689086867</v>
      </c>
      <c r="I289" s="42">
        <f t="shared" si="20"/>
        <v>-146292.33337799311</v>
      </c>
    </row>
    <row r="290" spans="1:9" x14ac:dyDescent="0.25">
      <c r="A290" s="38">
        <f>Données!A290</f>
        <v>5922</v>
      </c>
      <c r="B290" s="27" t="str">
        <f>Données!B290</f>
        <v>Montagny-près-Yverdon</v>
      </c>
      <c r="C290" s="31">
        <f>Données!Z290</f>
        <v>775</v>
      </c>
      <c r="D290" s="243">
        <f>Ecrêtage!E290</f>
        <v>51.085363740935243</v>
      </c>
      <c r="E290" s="243">
        <f t="shared" si="17"/>
        <v>0</v>
      </c>
      <c r="F290" s="243">
        <f>+Données!X290</f>
        <v>64.5</v>
      </c>
      <c r="G290" s="389">
        <f t="shared" si="18"/>
        <v>0</v>
      </c>
      <c r="H290" s="163">
        <f t="shared" si="19"/>
        <v>0.9543382326495099</v>
      </c>
      <c r="I290" s="42">
        <f t="shared" si="20"/>
        <v>0</v>
      </c>
    </row>
    <row r="291" spans="1:9" x14ac:dyDescent="0.25">
      <c r="A291" s="38">
        <f>Données!A291</f>
        <v>5923</v>
      </c>
      <c r="B291" s="27" t="str">
        <f>Données!B291</f>
        <v>Oppens</v>
      </c>
      <c r="C291" s="31">
        <f>Données!Z291</f>
        <v>201</v>
      </c>
      <c r="D291" s="243">
        <f>Ecrêtage!E291</f>
        <v>25.35337571402248</v>
      </c>
      <c r="E291" s="243">
        <f t="shared" si="17"/>
        <v>22.579456620167701</v>
      </c>
      <c r="F291" s="243">
        <f>+Données!X291</f>
        <v>81</v>
      </c>
      <c r="G291" s="389">
        <f t="shared" si="18"/>
        <v>-99256.355972896607</v>
      </c>
      <c r="H291" s="163">
        <f t="shared" si="19"/>
        <v>1.1984712689086867</v>
      </c>
      <c r="I291" s="42">
        <f t="shared" si="20"/>
        <v>-118955.89089008971</v>
      </c>
    </row>
    <row r="292" spans="1:9" x14ac:dyDescent="0.25">
      <c r="A292" s="38">
        <f>Données!A292</f>
        <v>5924</v>
      </c>
      <c r="B292" s="27" t="str">
        <f>Données!B292</f>
        <v>Orges</v>
      </c>
      <c r="C292" s="31">
        <f>Données!Z292</f>
        <v>367</v>
      </c>
      <c r="D292" s="243">
        <f>Ecrêtage!E292</f>
        <v>35.720101995728704</v>
      </c>
      <c r="E292" s="243">
        <f t="shared" si="17"/>
        <v>12.212730338461476</v>
      </c>
      <c r="F292" s="243">
        <f>+Données!X292</f>
        <v>74</v>
      </c>
      <c r="G292" s="389">
        <f t="shared" si="18"/>
        <v>-89551.79924362294</v>
      </c>
      <c r="H292" s="163">
        <f t="shared" si="19"/>
        <v>1.0948996777684299</v>
      </c>
      <c r="I292" s="42">
        <f t="shared" si="20"/>
        <v>-98050.236135425876</v>
      </c>
    </row>
    <row r="293" spans="1:9" x14ac:dyDescent="0.25">
      <c r="A293" s="38">
        <f>Données!A293</f>
        <v>5925</v>
      </c>
      <c r="B293" s="27" t="str">
        <f>Données!B293</f>
        <v>Orzens</v>
      </c>
      <c r="C293" s="31">
        <f>Données!Z293</f>
        <v>202</v>
      </c>
      <c r="D293" s="243">
        <f>Ecrêtage!E293</f>
        <v>25.893027948364455</v>
      </c>
      <c r="E293" s="243">
        <f t="shared" si="17"/>
        <v>22.039804385825725</v>
      </c>
      <c r="F293" s="243">
        <f>+Données!X293</f>
        <v>79</v>
      </c>
      <c r="G293" s="389">
        <f t="shared" si="18"/>
        <v>-94962.023565031865</v>
      </c>
      <c r="H293" s="163">
        <f t="shared" si="19"/>
        <v>1.1688793857257562</v>
      </c>
      <c r="I293" s="42">
        <f t="shared" si="20"/>
        <v>-110999.15177196923</v>
      </c>
    </row>
    <row r="294" spans="1:9" x14ac:dyDescent="0.25">
      <c r="A294" s="38">
        <f>Données!A294</f>
        <v>5926</v>
      </c>
      <c r="B294" s="27" t="str">
        <f>Données!B294</f>
        <v>Pomy</v>
      </c>
      <c r="C294" s="31">
        <f>Données!Z294</f>
        <v>838</v>
      </c>
      <c r="D294" s="243">
        <f>Ecrêtage!E294</f>
        <v>33.2626997546136</v>
      </c>
      <c r="E294" s="243">
        <f t="shared" si="17"/>
        <v>14.670132579576581</v>
      </c>
      <c r="F294" s="243">
        <f>+Données!X294</f>
        <v>71</v>
      </c>
      <c r="G294" s="389">
        <f t="shared" si="18"/>
        <v>-235667.75801930481</v>
      </c>
      <c r="H294" s="163">
        <f t="shared" si="19"/>
        <v>1.050511852994034</v>
      </c>
      <c r="I294" s="42">
        <f t="shared" si="20"/>
        <v>-247571.77316780953</v>
      </c>
    </row>
    <row r="295" spans="1:9" x14ac:dyDescent="0.25">
      <c r="A295" s="38">
        <f>Données!A295</f>
        <v>5928</v>
      </c>
      <c r="B295" s="27" t="str">
        <f>Données!B295</f>
        <v>Rovray</v>
      </c>
      <c r="C295" s="31">
        <f>Données!Z295</f>
        <v>206</v>
      </c>
      <c r="D295" s="243">
        <f>Ecrêtage!E295</f>
        <v>26.502164437504238</v>
      </c>
      <c r="E295" s="243">
        <f t="shared" si="17"/>
        <v>21.430667896685943</v>
      </c>
      <c r="F295" s="243">
        <f>+Données!X295</f>
        <v>71.5</v>
      </c>
      <c r="G295" s="389">
        <f t="shared" si="18"/>
        <v>-85226.123011577569</v>
      </c>
      <c r="H295" s="163">
        <f t="shared" si="19"/>
        <v>1.0579098237897668</v>
      </c>
      <c r="I295" s="42">
        <f t="shared" si="20"/>
        <v>-90161.552777463017</v>
      </c>
    </row>
    <row r="296" spans="1:9" x14ac:dyDescent="0.25">
      <c r="A296" s="38">
        <f>Données!A296</f>
        <v>5929</v>
      </c>
      <c r="B296" s="27" t="str">
        <f>Données!B296</f>
        <v>Suchy</v>
      </c>
      <c r="C296" s="31">
        <f>Données!Z296</f>
        <v>656</v>
      </c>
      <c r="D296" s="243">
        <f>Ecrêtage!E296</f>
        <v>30.891216844512194</v>
      </c>
      <c r="E296" s="243">
        <f t="shared" si="17"/>
        <v>17.041615489677987</v>
      </c>
      <c r="F296" s="243">
        <f>+Données!X296</f>
        <v>70</v>
      </c>
      <c r="G296" s="389">
        <f t="shared" si="18"/>
        <v>-211288.7654872236</v>
      </c>
      <c r="H296" s="163">
        <f t="shared" si="19"/>
        <v>1.0357159114025689</v>
      </c>
      <c r="I296" s="42">
        <f t="shared" si="20"/>
        <v>-218835.13631572344</v>
      </c>
    </row>
    <row r="297" spans="1:9" x14ac:dyDescent="0.25">
      <c r="A297" s="38">
        <f>Données!A297</f>
        <v>5930</v>
      </c>
      <c r="B297" s="27" t="str">
        <f>Données!B297</f>
        <v>Suscévaz</v>
      </c>
      <c r="C297" s="31">
        <f>Données!Z297</f>
        <v>215</v>
      </c>
      <c r="D297" s="243">
        <f>Ecrêtage!E297</f>
        <v>30.984874677002583</v>
      </c>
      <c r="E297" s="243">
        <f t="shared" si="17"/>
        <v>16.947957657187597</v>
      </c>
      <c r="F297" s="243">
        <f>+Données!X297</f>
        <v>72</v>
      </c>
      <c r="G297" s="389">
        <f t="shared" si="18"/>
        <v>-70835.683823981279</v>
      </c>
      <c r="H297" s="163">
        <f t="shared" si="19"/>
        <v>1.0653077945854994</v>
      </c>
      <c r="I297" s="42">
        <f t="shared" si="20"/>
        <v>-75461.806112481238</v>
      </c>
    </row>
    <row r="298" spans="1:9" x14ac:dyDescent="0.25">
      <c r="A298" s="38">
        <f>Données!A298</f>
        <v>5931</v>
      </c>
      <c r="B298" s="27" t="str">
        <f>Données!B298</f>
        <v>Treycovagnes</v>
      </c>
      <c r="C298" s="31">
        <f>Données!Z298</f>
        <v>490</v>
      </c>
      <c r="D298" s="243">
        <f>Ecrêtage!E298</f>
        <v>31.162394557823131</v>
      </c>
      <c r="E298" s="243">
        <f t="shared" si="17"/>
        <v>16.77043777636705</v>
      </c>
      <c r="F298" s="243">
        <f>+Données!X298</f>
        <v>75</v>
      </c>
      <c r="G298" s="389">
        <f t="shared" si="18"/>
        <v>-166404.66883600206</v>
      </c>
      <c r="H298" s="163">
        <f t="shared" si="19"/>
        <v>1.1096956193598952</v>
      </c>
      <c r="I298" s="42">
        <f t="shared" si="20"/>
        <v>-184658.53204834557</v>
      </c>
    </row>
    <row r="299" spans="1:9" x14ac:dyDescent="0.25">
      <c r="A299" s="38">
        <f>Données!A299</f>
        <v>5932</v>
      </c>
      <c r="B299" s="27" t="str">
        <f>Données!B299</f>
        <v>Ursins</v>
      </c>
      <c r="C299" s="31">
        <f>Données!Z299</f>
        <v>228</v>
      </c>
      <c r="D299" s="243">
        <f>Ecrêtage!E299</f>
        <v>33.786383040935682</v>
      </c>
      <c r="E299" s="243">
        <f t="shared" si="17"/>
        <v>14.146449293254499</v>
      </c>
      <c r="F299" s="243">
        <f>+Données!X299</f>
        <v>75</v>
      </c>
      <c r="G299" s="389">
        <f t="shared" si="18"/>
        <v>-65314.156386956027</v>
      </c>
      <c r="H299" s="163">
        <f t="shared" si="19"/>
        <v>1.1096956193598952</v>
      </c>
      <c r="I299" s="42">
        <f t="shared" si="20"/>
        <v>-72478.833224792223</v>
      </c>
    </row>
    <row r="300" spans="1:9" x14ac:dyDescent="0.25">
      <c r="A300" s="38">
        <f>Données!A300</f>
        <v>5933</v>
      </c>
      <c r="B300" s="27" t="str">
        <f>Données!B300</f>
        <v>Valeyres-sous-Montagny</v>
      </c>
      <c r="C300" s="31">
        <f>Données!Z300</f>
        <v>697</v>
      </c>
      <c r="D300" s="243">
        <f>Ecrêtage!E300</f>
        <v>28.129778890279511</v>
      </c>
      <c r="E300" s="243">
        <f t="shared" si="17"/>
        <v>19.80305344391067</v>
      </c>
      <c r="F300" s="243">
        <f>+Données!X300</f>
        <v>70.5</v>
      </c>
      <c r="G300" s="389">
        <f t="shared" si="18"/>
        <v>-262734.93224647321</v>
      </c>
      <c r="H300" s="163">
        <f t="shared" si="19"/>
        <v>1.0431138821983015</v>
      </c>
      <c r="I300" s="42">
        <f t="shared" si="20"/>
        <v>-274062.45516472636</v>
      </c>
    </row>
    <row r="301" spans="1:9" x14ac:dyDescent="0.25">
      <c r="A301" s="38">
        <f>Données!A301</f>
        <v>5934</v>
      </c>
      <c r="B301" s="27" t="str">
        <f>Données!B301</f>
        <v>Valeyres-sous-Ursins</v>
      </c>
      <c r="C301" s="31">
        <f>Données!Z301</f>
        <v>247</v>
      </c>
      <c r="D301" s="243">
        <f>Ecrêtage!E301</f>
        <v>28.414074872495927</v>
      </c>
      <c r="E301" s="243">
        <f t="shared" si="17"/>
        <v>19.518757461694253</v>
      </c>
      <c r="F301" s="243">
        <f>+Données!X301</f>
        <v>77</v>
      </c>
      <c r="G301" s="389">
        <f t="shared" si="18"/>
        <v>-100231.35700427</v>
      </c>
      <c r="H301" s="163">
        <f t="shared" si="19"/>
        <v>1.1392875025428257</v>
      </c>
      <c r="I301" s="42">
        <f t="shared" si="20"/>
        <v>-114192.33239787314</v>
      </c>
    </row>
    <row r="302" spans="1:9" x14ac:dyDescent="0.25">
      <c r="A302" s="38">
        <f>Données!A302</f>
        <v>5935</v>
      </c>
      <c r="B302" s="27" t="str">
        <f>Données!B302</f>
        <v>Villars-Epeney</v>
      </c>
      <c r="C302" s="31">
        <f>Données!Z302</f>
        <v>95</v>
      </c>
      <c r="D302" s="243">
        <f>Ecrêtage!E302</f>
        <v>36.296901754385964</v>
      </c>
      <c r="E302" s="243">
        <f t="shared" si="17"/>
        <v>11.635930579804217</v>
      </c>
      <c r="F302" s="243">
        <f>+Données!X302</f>
        <v>60</v>
      </c>
      <c r="G302" s="389">
        <f t="shared" si="18"/>
        <v>-17907.697162318695</v>
      </c>
      <c r="H302" s="163">
        <f t="shared" si="19"/>
        <v>0.88775649548791613</v>
      </c>
      <c r="I302" s="42">
        <f t="shared" si="20"/>
        <v>-15897.674475078944</v>
      </c>
    </row>
    <row r="303" spans="1:9" x14ac:dyDescent="0.25">
      <c r="A303" s="38">
        <f>Données!A303</f>
        <v>5937</v>
      </c>
      <c r="B303" s="27" t="str">
        <f>Données!B303</f>
        <v>Vugelles-La Mothe</v>
      </c>
      <c r="C303" s="31">
        <f>Données!Z303</f>
        <v>140</v>
      </c>
      <c r="D303" s="243">
        <f>Ecrêtage!E303</f>
        <v>24.853534839650145</v>
      </c>
      <c r="E303" s="243">
        <f t="shared" si="17"/>
        <v>23.079297494540036</v>
      </c>
      <c r="F303" s="243">
        <f>+Données!X303</f>
        <v>70</v>
      </c>
      <c r="G303" s="389">
        <f t="shared" si="18"/>
        <v>-61067.821170552939</v>
      </c>
      <c r="H303" s="163">
        <f t="shared" si="19"/>
        <v>1.0357159114025689</v>
      </c>
      <c r="I303" s="42">
        <f t="shared" si="20"/>
        <v>-63248.914061028328</v>
      </c>
    </row>
    <row r="304" spans="1:9" x14ac:dyDescent="0.25">
      <c r="A304" s="38">
        <f>Données!A304</f>
        <v>5938</v>
      </c>
      <c r="B304" s="27" t="str">
        <f>Données!B304</f>
        <v>Yverdon-les-Bains</v>
      </c>
      <c r="C304" s="31">
        <f>Données!Z304</f>
        <v>29710</v>
      </c>
      <c r="D304" s="243">
        <f>Ecrêtage!E304</f>
        <v>25.667926520812298</v>
      </c>
      <c r="E304" s="243">
        <f t="shared" si="17"/>
        <v>22.264905813377883</v>
      </c>
      <c r="F304" s="243">
        <f>+Données!X304</f>
        <v>75</v>
      </c>
      <c r="G304" s="389">
        <f t="shared" si="18"/>
        <v>-13395179.622238005</v>
      </c>
      <c r="H304" s="163">
        <f t="shared" si="19"/>
        <v>1.1096956193598952</v>
      </c>
      <c r="I304" s="42">
        <f t="shared" si="20"/>
        <v>-14864572.147336449</v>
      </c>
    </row>
    <row r="305" spans="1:9" x14ac:dyDescent="0.25">
      <c r="A305" s="38">
        <f>Données!A305</f>
        <v>5939</v>
      </c>
      <c r="B305" s="27" t="str">
        <f>Données!B305</f>
        <v>Yvonand</v>
      </c>
      <c r="C305" s="31">
        <f>Données!Z305</f>
        <v>3512</v>
      </c>
      <c r="D305" s="243">
        <f>Ecrêtage!E305</f>
        <v>29.990081001003556</v>
      </c>
      <c r="E305" s="243">
        <f t="shared" si="17"/>
        <v>17.942751333186624</v>
      </c>
      <c r="F305" s="243">
        <f>+Données!X305</f>
        <v>71.5</v>
      </c>
      <c r="G305" s="422">
        <f t="shared" si="18"/>
        <v>-1216503.4684789334</v>
      </c>
      <c r="H305" s="163">
        <f t="shared" si="19"/>
        <v>1.0579098237897668</v>
      </c>
      <c r="I305" s="42">
        <f t="shared" si="20"/>
        <v>-1286950.9699781886</v>
      </c>
    </row>
    <row r="306" spans="1:9" x14ac:dyDescent="0.25">
      <c r="A306" s="25"/>
      <c r="B306" s="74">
        <f>COUNTA(B6:B305)</f>
        <v>300</v>
      </c>
      <c r="C306" s="9">
        <f>SUM(C6:C305)</f>
        <v>823879</v>
      </c>
      <c r="D306" s="17">
        <f>Ecrêtage!E306</f>
        <v>47.932832334190181</v>
      </c>
      <c r="E306" s="17"/>
      <c r="F306" s="164">
        <f>VPI!Q306</f>
        <v>67.586100811375815</v>
      </c>
      <c r="G306" s="335">
        <f>SUM(G6:G305)</f>
        <v>-126449844.58694932</v>
      </c>
      <c r="H306" s="387">
        <f>F306/F$306</f>
        <v>1</v>
      </c>
      <c r="I306" s="30">
        <f>SUM(I6:I305)</f>
        <v>-136273696.73959675</v>
      </c>
    </row>
  </sheetData>
  <mergeCells count="8">
    <mergeCell ref="A4:A5"/>
    <mergeCell ref="I4:I5"/>
    <mergeCell ref="H4:H5"/>
    <mergeCell ref="F4:F5"/>
    <mergeCell ref="G4:G5"/>
    <mergeCell ref="B4:B5"/>
    <mergeCell ref="C4:C5"/>
    <mergeCell ref="D4:D5"/>
  </mergeCells>
  <phoneticPr fontId="21" type="noConversion"/>
  <hyperlinks>
    <hyperlink ref="E1" location="Population!A1" display="← Précédent" xr:uid="{FA7D792E-F931-4B28-A994-C274FA1E13DC}"/>
    <hyperlink ref="G1" location="DT!A1" display="Suivant →" xr:uid="{42740692-23A6-4EE7-A698-07672C5336C9}"/>
    <hyperlink ref="F1" location="'Table des matières'!A1" display="Table des             matières" xr:uid="{1F6BF085-4168-4E4A-85BB-BC1DC2C07F2A}"/>
  </hyperlinks>
  <pageMargins left="0.78740157499999996" right="0.78740157499999996" top="0.984251969" bottom="0.984251969" header="0.4921259845" footer="0.4921259845"/>
  <pageSetup paperSize="9" orientation="portrait" horizontalDpi="4294967292" verticalDpi="4294967292" r:id="rId1"/>
  <headerFooter alignWithMargins="0"/>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Feuil12">
    <tabColor theme="6" tint="0.39997558519241921"/>
  </sheetPr>
  <dimension ref="A1:AL306"/>
  <sheetViews>
    <sheetView zoomScaleNormal="100" workbookViewId="0">
      <pane ySplit="5" topLeftCell="A6" activePane="bottomLeft" state="frozen"/>
      <selection pane="bottomLeft" activeCell="A6" sqref="A6"/>
    </sheetView>
  </sheetViews>
  <sheetFormatPr baseColWidth="10" defaultColWidth="10.75" defaultRowHeight="15" x14ac:dyDescent="0.25"/>
  <cols>
    <col min="1" max="1" width="7.25" style="11" customWidth="1"/>
    <col min="2" max="2" width="20.25" style="11" bestFit="1" customWidth="1"/>
    <col min="3" max="3" width="11.375" style="5" bestFit="1" customWidth="1"/>
    <col min="4" max="4" width="3.625" style="238" customWidth="1"/>
    <col min="5" max="5" width="10.75" style="5" bestFit="1" customWidth="1"/>
    <col min="6" max="6" width="12.5" style="5" customWidth="1"/>
    <col min="7" max="7" width="13.75" style="5" customWidth="1"/>
    <col min="8" max="8" width="13.25" style="5" customWidth="1"/>
    <col min="9" max="9" width="3.625" style="238" customWidth="1"/>
    <col min="10" max="10" width="9.875" style="5" bestFit="1" customWidth="1"/>
    <col min="11" max="11" width="12.5" style="5" customWidth="1"/>
    <col min="12" max="12" width="13" style="5" bestFit="1" customWidth="1"/>
    <col min="13" max="13" width="13.25" style="5" bestFit="1" customWidth="1"/>
    <col min="14" max="14" width="3.625" style="238" customWidth="1"/>
    <col min="15" max="15" width="13.875" style="5" customWidth="1"/>
    <col min="16" max="16" width="10" style="13" customWidth="1"/>
    <col min="17" max="17" width="2.5" style="11" customWidth="1"/>
    <col min="18" max="18" width="10.875" style="219" bestFit="1" customWidth="1"/>
    <col min="19" max="19" width="11.75" style="219" bestFit="1" customWidth="1"/>
    <col min="20" max="20" width="11.125" style="219" bestFit="1" customWidth="1"/>
    <col min="21" max="22" width="10.625" style="219" bestFit="1" customWidth="1"/>
    <col min="23" max="23" width="12.75" style="219" bestFit="1" customWidth="1"/>
    <col min="24" max="38" width="10.75" style="219"/>
    <col min="39" max="16384" width="10.75" style="11"/>
  </cols>
  <sheetData>
    <row r="1" spans="1:38" s="294" customFormat="1" ht="26.25" x14ac:dyDescent="0.4">
      <c r="A1" s="281" t="s">
        <v>409</v>
      </c>
      <c r="B1" s="286"/>
      <c r="C1" s="291"/>
      <c r="D1" s="292"/>
      <c r="E1" s="291"/>
      <c r="G1" s="411" t="s">
        <v>406</v>
      </c>
      <c r="H1" s="308" t="s">
        <v>398</v>
      </c>
      <c r="I1" s="674" t="s">
        <v>407</v>
      </c>
      <c r="J1" s="674"/>
      <c r="K1" s="291"/>
      <c r="O1" s="291"/>
      <c r="P1" s="293"/>
      <c r="Q1" s="288"/>
    </row>
    <row r="2" spans="1:38" s="33" customFormat="1" ht="15.75" x14ac:dyDescent="0.25">
      <c r="A2" s="358" t="str">
        <f>Paramètres!B4</f>
        <v>Acomptes 2023</v>
      </c>
      <c r="B2" s="32"/>
      <c r="C2" s="34"/>
      <c r="D2" s="168"/>
      <c r="E2" s="34"/>
      <c r="F2" s="34"/>
      <c r="G2" s="34"/>
      <c r="H2" s="34"/>
      <c r="I2" s="168"/>
      <c r="J2" s="34"/>
      <c r="K2" s="34"/>
      <c r="L2" s="34"/>
      <c r="M2" s="34"/>
      <c r="N2" s="168"/>
      <c r="O2" s="34"/>
      <c r="P2" s="80"/>
      <c r="Q2" s="219"/>
    </row>
    <row r="3" spans="1:38" s="219" customFormat="1" ht="25.5" customHeight="1" x14ac:dyDescent="0.25">
      <c r="C3" s="5"/>
      <c r="D3" s="238"/>
      <c r="E3" s="5"/>
      <c r="F3" s="5"/>
      <c r="G3" s="5"/>
      <c r="H3" s="5"/>
      <c r="I3" s="238"/>
      <c r="J3" s="5"/>
      <c r="K3" s="5"/>
      <c r="L3" s="5"/>
      <c r="M3" s="5"/>
      <c r="N3" s="238"/>
      <c r="O3" s="5"/>
      <c r="P3" s="239"/>
    </row>
    <row r="4" spans="1:38" ht="60" customHeight="1" x14ac:dyDescent="0.25">
      <c r="A4" s="666" t="s">
        <v>44</v>
      </c>
      <c r="B4" s="666" t="s">
        <v>84</v>
      </c>
      <c r="C4" s="624" t="s">
        <v>499</v>
      </c>
      <c r="D4" s="340"/>
      <c r="E4" s="624" t="s">
        <v>432</v>
      </c>
      <c r="F4" s="624" t="s">
        <v>43</v>
      </c>
      <c r="G4" s="307" t="s">
        <v>256</v>
      </c>
      <c r="H4" s="307" t="s">
        <v>513</v>
      </c>
      <c r="I4" s="340"/>
      <c r="J4" s="624" t="s">
        <v>431</v>
      </c>
      <c r="K4" s="624" t="s">
        <v>430</v>
      </c>
      <c r="L4" s="307" t="s">
        <v>190</v>
      </c>
      <c r="M4" s="307" t="s">
        <v>514</v>
      </c>
      <c r="N4" s="340"/>
      <c r="O4" s="624" t="s">
        <v>515</v>
      </c>
      <c r="P4" s="219"/>
      <c r="Q4" s="219"/>
      <c r="AF4" s="11"/>
      <c r="AG4" s="11"/>
      <c r="AH4" s="11"/>
      <c r="AI4" s="11"/>
      <c r="AJ4" s="11"/>
      <c r="AK4" s="11"/>
      <c r="AL4" s="11"/>
    </row>
    <row r="5" spans="1:38" x14ac:dyDescent="0.25">
      <c r="A5" s="667"/>
      <c r="B5" s="668"/>
      <c r="C5" s="631"/>
      <c r="D5" s="340"/>
      <c r="E5" s="631"/>
      <c r="F5" s="625"/>
      <c r="G5" s="336">
        <f>Paramètres!B40</f>
        <v>8</v>
      </c>
      <c r="H5" s="337">
        <f>+Paramètres!C40</f>
        <v>0.75</v>
      </c>
      <c r="I5" s="341"/>
      <c r="J5" s="631"/>
      <c r="K5" s="631"/>
      <c r="L5" s="336">
        <f>Paramètres!B41</f>
        <v>1</v>
      </c>
      <c r="M5" s="339">
        <f>+Paramètres!C41</f>
        <v>0.75</v>
      </c>
      <c r="N5" s="341"/>
      <c r="O5" s="625"/>
      <c r="P5" s="219"/>
      <c r="Q5" s="219"/>
      <c r="AF5" s="11"/>
      <c r="AG5" s="11"/>
      <c r="AH5" s="11"/>
      <c r="AI5" s="11"/>
      <c r="AJ5" s="11"/>
      <c r="AK5" s="11"/>
      <c r="AL5" s="11"/>
    </row>
    <row r="6" spans="1:38" x14ac:dyDescent="0.25">
      <c r="A6" s="36">
        <f>+Données!A6</f>
        <v>5401</v>
      </c>
      <c r="B6" s="249" t="str">
        <f>+Données!B6</f>
        <v>Aigle</v>
      </c>
      <c r="C6" s="236">
        <f>+Ecrêtage!C6</f>
        <v>280916.50972222222</v>
      </c>
      <c r="D6" s="235"/>
      <c r="E6" s="236">
        <f>Données!AF6+Données!AG6+Données!AH6</f>
        <v>7014243</v>
      </c>
      <c r="F6" s="167">
        <f t="shared" ref="F6" si="0">+C6*$G$5</f>
        <v>2247332.0777777778</v>
      </c>
      <c r="G6" s="41">
        <f>IF(E6&gt;F6,E6-F6,0)</f>
        <v>4766910.9222222222</v>
      </c>
      <c r="H6" s="316">
        <f>-G6*H$5</f>
        <v>-3575183.1916666664</v>
      </c>
      <c r="J6" s="41">
        <f>Données!AN6</f>
        <v>898588</v>
      </c>
      <c r="K6" s="216">
        <f t="shared" ref="K6" si="1">C6*L$5</f>
        <v>280916.50972222222</v>
      </c>
      <c r="L6" s="50">
        <f>IF(J6&gt;K6,J6-K6,0)</f>
        <v>617671.49027777778</v>
      </c>
      <c r="M6" s="334">
        <f>-L6*M$5</f>
        <v>-463253.6177083333</v>
      </c>
      <c r="O6" s="64">
        <f t="shared" ref="O6" si="2">M6+H6</f>
        <v>-4038436.8093749997</v>
      </c>
      <c r="P6" s="273"/>
      <c r="Q6" s="228"/>
      <c r="R6" s="228"/>
      <c r="S6" s="228"/>
      <c r="T6" s="228"/>
      <c r="U6" s="228"/>
      <c r="AF6" s="11"/>
      <c r="AG6" s="11"/>
      <c r="AH6" s="11"/>
      <c r="AI6" s="11"/>
      <c r="AJ6" s="11"/>
      <c r="AK6" s="11"/>
      <c r="AL6" s="11"/>
    </row>
    <row r="7" spans="1:38" s="219" customFormat="1" x14ac:dyDescent="0.25">
      <c r="A7" s="38">
        <f>+Données!A7</f>
        <v>5402</v>
      </c>
      <c r="B7" s="249" t="str">
        <f>+Données!B7</f>
        <v>Bex</v>
      </c>
      <c r="C7" s="237">
        <f>+Ecrêtage!C7</f>
        <v>192666.65084507043</v>
      </c>
      <c r="D7" s="235"/>
      <c r="E7" s="237">
        <f>Données!AF7+Données!AG7+Données!AH7</f>
        <v>4181014</v>
      </c>
      <c r="F7" s="235">
        <f t="shared" ref="F7:F70" si="3">+C7*$G$5</f>
        <v>1541333.2067605634</v>
      </c>
      <c r="G7" s="8">
        <f t="shared" ref="G7:G70" si="4">IF(E7&gt;F7,E7-F7,0)</f>
        <v>2639680.7932394366</v>
      </c>
      <c r="H7" s="316">
        <f t="shared" ref="H7:H70" si="5">-G7*H$5</f>
        <v>-1979760.5949295773</v>
      </c>
      <c r="I7" s="238"/>
      <c r="J7" s="8">
        <f>Données!AN7</f>
        <v>517144</v>
      </c>
      <c r="K7" s="215">
        <f t="shared" ref="K7:K70" si="6">C7*L$5</f>
        <v>192666.65084507043</v>
      </c>
      <c r="L7" s="238">
        <f t="shared" ref="L7:L70" si="7">IF(J7&gt;K7,J7-K7,0)</f>
        <v>324477.34915492957</v>
      </c>
      <c r="M7" s="316">
        <f t="shared" ref="M7:M70" si="8">-L7*M$5</f>
        <v>-243358.01186619716</v>
      </c>
      <c r="N7" s="238"/>
      <c r="O7" s="42">
        <f t="shared" ref="O7:O70" si="9">M7+H7</f>
        <v>-2223118.6067957743</v>
      </c>
      <c r="P7" s="273"/>
      <c r="Q7" s="228"/>
      <c r="R7" s="228"/>
      <c r="S7" s="228"/>
      <c r="T7" s="228"/>
      <c r="U7" s="228"/>
    </row>
    <row r="8" spans="1:38" s="219" customFormat="1" x14ac:dyDescent="0.25">
      <c r="A8" s="38">
        <f>+Données!A8</f>
        <v>5403</v>
      </c>
      <c r="B8" s="249" t="str">
        <f>+Données!B8</f>
        <v>Chessel</v>
      </c>
      <c r="C8" s="237">
        <f>+Ecrêtage!C8</f>
        <v>12085.365135135135</v>
      </c>
      <c r="D8" s="235"/>
      <c r="E8" s="237">
        <f>Données!AF8+Données!AG8+Données!AH8</f>
        <v>93829</v>
      </c>
      <c r="F8" s="235">
        <f t="shared" si="3"/>
        <v>96682.921081081076</v>
      </c>
      <c r="G8" s="8">
        <f t="shared" si="4"/>
        <v>0</v>
      </c>
      <c r="H8" s="316">
        <f t="shared" si="5"/>
        <v>0</v>
      </c>
      <c r="I8" s="238"/>
      <c r="J8" s="8">
        <f>Données!AN8</f>
        <v>36400</v>
      </c>
      <c r="K8" s="215">
        <f t="shared" si="6"/>
        <v>12085.365135135135</v>
      </c>
      <c r="L8" s="238">
        <f t="shared" si="7"/>
        <v>24314.634864864864</v>
      </c>
      <c r="M8" s="316">
        <f t="shared" si="8"/>
        <v>-18235.976148648646</v>
      </c>
      <c r="N8" s="238"/>
      <c r="O8" s="42">
        <f t="shared" si="9"/>
        <v>-18235.976148648646</v>
      </c>
      <c r="P8" s="273"/>
      <c r="Q8" s="228"/>
      <c r="R8" s="228"/>
      <c r="S8" s="228"/>
      <c r="T8" s="228"/>
      <c r="U8" s="228"/>
    </row>
    <row r="9" spans="1:38" s="219" customFormat="1" x14ac:dyDescent="0.25">
      <c r="A9" s="38">
        <f>+Données!A9</f>
        <v>5404</v>
      </c>
      <c r="B9" s="249" t="str">
        <f>+Données!B9</f>
        <v>Corbeyrier</v>
      </c>
      <c r="C9" s="237">
        <f>+Ecrêtage!C9</f>
        <v>11580.799189189189</v>
      </c>
      <c r="D9" s="235"/>
      <c r="E9" s="237">
        <f>Données!AF9+Données!AG9+Données!AH9</f>
        <v>301065</v>
      </c>
      <c r="F9" s="235">
        <f t="shared" si="3"/>
        <v>92646.393513513511</v>
      </c>
      <c r="G9" s="8">
        <f t="shared" si="4"/>
        <v>208418.6064864865</v>
      </c>
      <c r="H9" s="316">
        <f t="shared" si="5"/>
        <v>-156313.95486486488</v>
      </c>
      <c r="I9" s="238"/>
      <c r="J9" s="8">
        <f>Données!AN9</f>
        <v>31200</v>
      </c>
      <c r="K9" s="215">
        <f t="shared" si="6"/>
        <v>11580.799189189189</v>
      </c>
      <c r="L9" s="238">
        <f t="shared" si="7"/>
        <v>19619.200810810813</v>
      </c>
      <c r="M9" s="316">
        <f t="shared" si="8"/>
        <v>-14714.40060810811</v>
      </c>
      <c r="N9" s="238"/>
      <c r="O9" s="42">
        <f t="shared" si="9"/>
        <v>-171028.35547297299</v>
      </c>
      <c r="P9" s="273"/>
      <c r="Q9" s="228"/>
      <c r="R9" s="228"/>
      <c r="S9" s="228"/>
      <c r="T9" s="228"/>
      <c r="U9" s="228"/>
    </row>
    <row r="10" spans="1:38" s="219" customFormat="1" x14ac:dyDescent="0.25">
      <c r="A10" s="38">
        <f>+Données!A10</f>
        <v>5405</v>
      </c>
      <c r="B10" s="249" t="str">
        <f>+Données!B10</f>
        <v>Gryon</v>
      </c>
      <c r="C10" s="237">
        <f>+Ecrêtage!C10</f>
        <v>78106.688299319736</v>
      </c>
      <c r="D10" s="235"/>
      <c r="E10" s="237">
        <f>Données!AF10+Données!AG10+Données!AH10</f>
        <v>1802895</v>
      </c>
      <c r="F10" s="235">
        <f t="shared" si="3"/>
        <v>624853.50639455789</v>
      </c>
      <c r="G10" s="8">
        <f t="shared" si="4"/>
        <v>1178041.4936054421</v>
      </c>
      <c r="H10" s="316">
        <f t="shared" si="5"/>
        <v>-883531.12020408153</v>
      </c>
      <c r="I10" s="238"/>
      <c r="J10" s="8">
        <f>Données!AN10</f>
        <v>28627</v>
      </c>
      <c r="K10" s="215">
        <f t="shared" si="6"/>
        <v>78106.688299319736</v>
      </c>
      <c r="L10" s="238">
        <f t="shared" si="7"/>
        <v>0</v>
      </c>
      <c r="M10" s="316">
        <f t="shared" si="8"/>
        <v>0</v>
      </c>
      <c r="N10" s="238"/>
      <c r="O10" s="42">
        <f t="shared" si="9"/>
        <v>-883531.12020408153</v>
      </c>
      <c r="P10" s="273"/>
      <c r="Q10" s="228"/>
      <c r="R10" s="228"/>
      <c r="S10" s="228"/>
      <c r="T10" s="228"/>
      <c r="U10" s="228"/>
    </row>
    <row r="11" spans="1:38" x14ac:dyDescent="0.25">
      <c r="A11" s="38">
        <f>+Données!A11</f>
        <v>5406</v>
      </c>
      <c r="B11" s="249" t="str">
        <f>+Données!B11</f>
        <v>Lavey-Morcles</v>
      </c>
      <c r="C11" s="237">
        <f>+Ecrêtage!C11</f>
        <v>21511.827778375475</v>
      </c>
      <c r="D11" s="235"/>
      <c r="E11" s="237">
        <f>Données!AF11+Données!AG11+Données!AH11</f>
        <v>388313</v>
      </c>
      <c r="F11" s="235">
        <f t="shared" si="3"/>
        <v>172094.6222270038</v>
      </c>
      <c r="G11" s="8">
        <f t="shared" si="4"/>
        <v>216218.3777729962</v>
      </c>
      <c r="H11" s="316">
        <f t="shared" si="5"/>
        <v>-162163.78332974715</v>
      </c>
      <c r="J11" s="8">
        <f>Données!AN11</f>
        <v>12715</v>
      </c>
      <c r="K11" s="215">
        <f t="shared" si="6"/>
        <v>21511.827778375475</v>
      </c>
      <c r="L11" s="12">
        <f t="shared" si="7"/>
        <v>0</v>
      </c>
      <c r="M11" s="316">
        <f t="shared" si="8"/>
        <v>0</v>
      </c>
      <c r="O11" s="42">
        <f t="shared" si="9"/>
        <v>-162163.78332974715</v>
      </c>
      <c r="P11" s="273"/>
      <c r="Q11" s="228"/>
      <c r="R11" s="228"/>
      <c r="S11" s="228"/>
      <c r="T11" s="228"/>
      <c r="U11" s="228"/>
      <c r="AF11" s="11"/>
      <c r="AG11" s="11"/>
      <c r="AH11" s="11"/>
      <c r="AI11" s="11"/>
      <c r="AJ11" s="11"/>
      <c r="AK11" s="11"/>
      <c r="AL11" s="11"/>
    </row>
    <row r="12" spans="1:38" x14ac:dyDescent="0.25">
      <c r="A12" s="38">
        <f>+Données!A12</f>
        <v>5407</v>
      </c>
      <c r="B12" s="249" t="str">
        <f>+Données!B12</f>
        <v>Leysin</v>
      </c>
      <c r="C12" s="237">
        <f>+Ecrêtage!C12</f>
        <v>90677.609059829061</v>
      </c>
      <c r="D12" s="235"/>
      <c r="E12" s="237">
        <f>Données!AF12+Données!AG12+Données!AH12</f>
        <v>3432548</v>
      </c>
      <c r="F12" s="235">
        <f t="shared" si="3"/>
        <v>725420.87247863249</v>
      </c>
      <c r="G12" s="8">
        <f t="shared" si="4"/>
        <v>2707127.1275213677</v>
      </c>
      <c r="H12" s="316">
        <f t="shared" si="5"/>
        <v>-2030345.3456410258</v>
      </c>
      <c r="J12" s="8">
        <f>Données!AN12</f>
        <v>112901</v>
      </c>
      <c r="K12" s="215">
        <f t="shared" si="6"/>
        <v>90677.609059829061</v>
      </c>
      <c r="L12" s="12">
        <f t="shared" si="7"/>
        <v>22223.390940170939</v>
      </c>
      <c r="M12" s="316">
        <f t="shared" si="8"/>
        <v>-16667.543205128204</v>
      </c>
      <c r="O12" s="42">
        <f t="shared" si="9"/>
        <v>-2047012.8888461541</v>
      </c>
      <c r="P12" s="273"/>
      <c r="Q12" s="228"/>
      <c r="R12" s="228"/>
      <c r="S12" s="228"/>
      <c r="T12" s="228"/>
      <c r="U12" s="228"/>
      <c r="AF12" s="11"/>
      <c r="AG12" s="11"/>
      <c r="AH12" s="11"/>
      <c r="AI12" s="11"/>
      <c r="AJ12" s="11"/>
      <c r="AK12" s="11"/>
      <c r="AL12" s="11"/>
    </row>
    <row r="13" spans="1:38" x14ac:dyDescent="0.25">
      <c r="A13" s="38">
        <f>+Données!A13</f>
        <v>5408</v>
      </c>
      <c r="B13" s="249" t="str">
        <f>+Données!B13</f>
        <v>Noville</v>
      </c>
      <c r="C13" s="237">
        <f>+Ecrêtage!C13</f>
        <v>41378.888492569007</v>
      </c>
      <c r="D13" s="235"/>
      <c r="E13" s="237">
        <f>Données!AF13+Données!AG13+Données!AH13</f>
        <v>716113</v>
      </c>
      <c r="F13" s="235">
        <f t="shared" si="3"/>
        <v>331031.10794055206</v>
      </c>
      <c r="G13" s="8">
        <f t="shared" si="4"/>
        <v>385081.89205944794</v>
      </c>
      <c r="H13" s="316">
        <f t="shared" si="5"/>
        <v>-288811.41904458596</v>
      </c>
      <c r="J13" s="8">
        <f>Données!AN13</f>
        <v>49790</v>
      </c>
      <c r="K13" s="215">
        <f t="shared" si="6"/>
        <v>41378.888492569007</v>
      </c>
      <c r="L13" s="12">
        <f t="shared" si="7"/>
        <v>8411.1115074309928</v>
      </c>
      <c r="M13" s="316">
        <f t="shared" si="8"/>
        <v>-6308.3336305732446</v>
      </c>
      <c r="O13" s="42">
        <f t="shared" si="9"/>
        <v>-295119.75267515919</v>
      </c>
      <c r="P13" s="273"/>
      <c r="Q13" s="228"/>
      <c r="R13" s="228"/>
      <c r="S13" s="228"/>
      <c r="T13" s="228"/>
      <c r="U13" s="228"/>
      <c r="AF13" s="11"/>
      <c r="AG13" s="11"/>
      <c r="AH13" s="11"/>
      <c r="AI13" s="11"/>
      <c r="AJ13" s="11"/>
      <c r="AK13" s="11"/>
      <c r="AL13" s="11"/>
    </row>
    <row r="14" spans="1:38" x14ac:dyDescent="0.25">
      <c r="A14" s="38">
        <f>+Données!A14</f>
        <v>5409</v>
      </c>
      <c r="B14" s="249" t="str">
        <f>+Données!B14</f>
        <v>Ollon</v>
      </c>
      <c r="C14" s="237">
        <f>+Ecrêtage!C14</f>
        <v>428223.81707013579</v>
      </c>
      <c r="D14" s="235"/>
      <c r="E14" s="237">
        <f>Données!AF14+Données!AG14+Données!AH14</f>
        <v>7094480</v>
      </c>
      <c r="F14" s="235">
        <f t="shared" si="3"/>
        <v>3425790.5365610863</v>
      </c>
      <c r="G14" s="8">
        <f t="shared" si="4"/>
        <v>3668689.4634389137</v>
      </c>
      <c r="H14" s="316">
        <f t="shared" si="5"/>
        <v>-2751517.0975791854</v>
      </c>
      <c r="J14" s="8">
        <f>Données!AN14</f>
        <v>1497985</v>
      </c>
      <c r="K14" s="215">
        <f t="shared" si="6"/>
        <v>428223.81707013579</v>
      </c>
      <c r="L14" s="12">
        <f t="shared" si="7"/>
        <v>1069761.1829298642</v>
      </c>
      <c r="M14" s="316">
        <f t="shared" si="8"/>
        <v>-802320.88719739811</v>
      </c>
      <c r="O14" s="42">
        <f t="shared" si="9"/>
        <v>-3553837.9847765835</v>
      </c>
      <c r="P14" s="273"/>
      <c r="Q14" s="228"/>
      <c r="R14" s="228"/>
      <c r="S14" s="228"/>
      <c r="T14" s="228"/>
      <c r="U14" s="228"/>
      <c r="AF14" s="11"/>
      <c r="AG14" s="11"/>
      <c r="AH14" s="11"/>
      <c r="AI14" s="11"/>
      <c r="AJ14" s="11"/>
      <c r="AK14" s="11"/>
      <c r="AL14" s="11"/>
    </row>
    <row r="15" spans="1:38" x14ac:dyDescent="0.25">
      <c r="A15" s="38">
        <f>+Données!A15</f>
        <v>5410</v>
      </c>
      <c r="B15" s="249" t="str">
        <f>+Données!B15</f>
        <v>Ormont-Dessous</v>
      </c>
      <c r="C15" s="237">
        <f>+Ecrêtage!C15</f>
        <v>38612.897532467534</v>
      </c>
      <c r="D15" s="235"/>
      <c r="E15" s="237">
        <f>Données!AF15+Données!AG15+Données!AH15</f>
        <v>1982670</v>
      </c>
      <c r="F15" s="235">
        <f t="shared" si="3"/>
        <v>308903.18025974027</v>
      </c>
      <c r="G15" s="8">
        <f t="shared" si="4"/>
        <v>1673766.8197402598</v>
      </c>
      <c r="H15" s="316">
        <f t="shared" si="5"/>
        <v>-1255325.1148051948</v>
      </c>
      <c r="J15" s="8">
        <f>Données!AN15</f>
        <v>100560</v>
      </c>
      <c r="K15" s="215">
        <f t="shared" si="6"/>
        <v>38612.897532467534</v>
      </c>
      <c r="L15" s="12">
        <f t="shared" si="7"/>
        <v>61947.102467532466</v>
      </c>
      <c r="M15" s="316">
        <f t="shared" si="8"/>
        <v>-46460.326850649348</v>
      </c>
      <c r="O15" s="42">
        <f t="shared" si="9"/>
        <v>-1301785.4416558442</v>
      </c>
      <c r="P15" s="273"/>
      <c r="Q15" s="228"/>
      <c r="R15" s="228"/>
      <c r="S15" s="228"/>
      <c r="T15" s="228"/>
      <c r="U15" s="228"/>
      <c r="AF15" s="11"/>
      <c r="AG15" s="11"/>
      <c r="AH15" s="11"/>
      <c r="AI15" s="11"/>
      <c r="AJ15" s="11"/>
      <c r="AK15" s="11"/>
      <c r="AL15" s="11"/>
    </row>
    <row r="16" spans="1:38" x14ac:dyDescent="0.25">
      <c r="A16" s="38">
        <f>+Données!A16</f>
        <v>5411</v>
      </c>
      <c r="B16" s="249" t="str">
        <f>+Données!B16</f>
        <v>Ormont-Dessus</v>
      </c>
      <c r="C16" s="237">
        <f>+Ecrêtage!C16</f>
        <v>77406.69241228071</v>
      </c>
      <c r="D16" s="235"/>
      <c r="E16" s="237">
        <f>Données!AF16+Données!AG16+Données!AH16</f>
        <v>1859384</v>
      </c>
      <c r="F16" s="235">
        <f t="shared" si="3"/>
        <v>619253.53929824568</v>
      </c>
      <c r="G16" s="8">
        <f t="shared" si="4"/>
        <v>1240130.4607017543</v>
      </c>
      <c r="H16" s="316">
        <f t="shared" si="5"/>
        <v>-930097.84552631574</v>
      </c>
      <c r="J16" s="8">
        <f>Données!AN16</f>
        <v>113230</v>
      </c>
      <c r="K16" s="215">
        <f t="shared" si="6"/>
        <v>77406.69241228071</v>
      </c>
      <c r="L16" s="12">
        <f t="shared" si="7"/>
        <v>35823.30758771929</v>
      </c>
      <c r="M16" s="316">
        <f t="shared" si="8"/>
        <v>-26867.480690789467</v>
      </c>
      <c r="O16" s="42">
        <f t="shared" si="9"/>
        <v>-956965.32621710515</v>
      </c>
      <c r="P16" s="273"/>
      <c r="Q16" s="228"/>
      <c r="R16" s="228"/>
      <c r="S16" s="228"/>
      <c r="T16" s="228"/>
      <c r="U16" s="228"/>
      <c r="AF16" s="11"/>
      <c r="AG16" s="11"/>
      <c r="AH16" s="11"/>
      <c r="AI16" s="11"/>
      <c r="AJ16" s="11"/>
      <c r="AK16" s="11"/>
      <c r="AL16" s="11"/>
    </row>
    <row r="17" spans="1:38" x14ac:dyDescent="0.25">
      <c r="A17" s="38">
        <f>+Données!A17</f>
        <v>5412</v>
      </c>
      <c r="B17" s="249" t="str">
        <f>+Données!B17</f>
        <v>Rennaz</v>
      </c>
      <c r="C17" s="237">
        <f>+Ecrêtage!C17</f>
        <v>28866.898550724636</v>
      </c>
      <c r="D17" s="235"/>
      <c r="E17" s="237">
        <f>Données!AF17+Données!AG17+Données!AH17</f>
        <v>340585</v>
      </c>
      <c r="F17" s="235">
        <f t="shared" si="3"/>
        <v>230935.18840579709</v>
      </c>
      <c r="G17" s="8">
        <f t="shared" si="4"/>
        <v>109649.81159420291</v>
      </c>
      <c r="H17" s="316">
        <f t="shared" si="5"/>
        <v>-82237.35869565219</v>
      </c>
      <c r="J17" s="8">
        <f>Données!AN17</f>
        <v>41799</v>
      </c>
      <c r="K17" s="215">
        <f t="shared" si="6"/>
        <v>28866.898550724636</v>
      </c>
      <c r="L17" s="12">
        <f t="shared" si="7"/>
        <v>12932.101449275364</v>
      </c>
      <c r="M17" s="316">
        <f t="shared" si="8"/>
        <v>-9699.0760869565238</v>
      </c>
      <c r="O17" s="42">
        <f t="shared" si="9"/>
        <v>-91936.434782608718</v>
      </c>
      <c r="P17" s="273"/>
      <c r="Q17" s="228"/>
      <c r="R17" s="228"/>
      <c r="S17" s="228"/>
      <c r="T17" s="228"/>
      <c r="U17" s="228"/>
      <c r="AF17" s="11"/>
      <c r="AG17" s="11"/>
      <c r="AH17" s="11"/>
      <c r="AI17" s="11"/>
      <c r="AJ17" s="11"/>
      <c r="AK17" s="11"/>
      <c r="AL17" s="11"/>
    </row>
    <row r="18" spans="1:38" x14ac:dyDescent="0.25">
      <c r="A18" s="38">
        <f>+Données!A18</f>
        <v>5413</v>
      </c>
      <c r="B18" s="249" t="str">
        <f>+Données!B18</f>
        <v>Roche</v>
      </c>
      <c r="C18" s="237">
        <f>+Ecrêtage!C18</f>
        <v>43141.688749999994</v>
      </c>
      <c r="D18" s="235"/>
      <c r="E18" s="237">
        <f>Données!AF18+Données!AG18+Données!AH18</f>
        <v>452942</v>
      </c>
      <c r="F18" s="235">
        <f t="shared" si="3"/>
        <v>345133.50999999995</v>
      </c>
      <c r="G18" s="8">
        <f t="shared" si="4"/>
        <v>107808.49000000005</v>
      </c>
      <c r="H18" s="316">
        <f t="shared" si="5"/>
        <v>-80856.367500000037</v>
      </c>
      <c r="J18" s="8">
        <f>Données!AN18</f>
        <v>17454</v>
      </c>
      <c r="K18" s="215">
        <f t="shared" si="6"/>
        <v>43141.688749999994</v>
      </c>
      <c r="L18" s="12">
        <f t="shared" si="7"/>
        <v>0</v>
      </c>
      <c r="M18" s="316">
        <f t="shared" si="8"/>
        <v>0</v>
      </c>
      <c r="O18" s="42">
        <f t="shared" si="9"/>
        <v>-80856.367500000037</v>
      </c>
      <c r="P18" s="273"/>
      <c r="Q18" s="228"/>
      <c r="R18" s="228"/>
      <c r="S18" s="228"/>
      <c r="T18" s="228"/>
      <c r="U18" s="228"/>
      <c r="AF18" s="11"/>
      <c r="AG18" s="11"/>
      <c r="AH18" s="11"/>
      <c r="AI18" s="11"/>
      <c r="AJ18" s="11"/>
      <c r="AK18" s="11"/>
      <c r="AL18" s="11"/>
    </row>
    <row r="19" spans="1:38" x14ac:dyDescent="0.25">
      <c r="A19" s="38">
        <f>+Données!A19</f>
        <v>5414</v>
      </c>
      <c r="B19" s="249" t="str">
        <f>+Données!B19</f>
        <v>Villeneuve</v>
      </c>
      <c r="C19" s="237">
        <f>+Ecrêtage!C19</f>
        <v>185623.95377777779</v>
      </c>
      <c r="D19" s="235"/>
      <c r="E19" s="237">
        <f>Données!AF19+Données!AG19+Données!AH19</f>
        <v>4415937</v>
      </c>
      <c r="F19" s="235">
        <f t="shared" si="3"/>
        <v>1484991.6302222223</v>
      </c>
      <c r="G19" s="8">
        <f t="shared" si="4"/>
        <v>2930945.3697777777</v>
      </c>
      <c r="H19" s="316">
        <f t="shared" si="5"/>
        <v>-2198209.0273333332</v>
      </c>
      <c r="J19" s="8">
        <f>Données!AN19</f>
        <v>376784</v>
      </c>
      <c r="K19" s="215">
        <f t="shared" si="6"/>
        <v>185623.95377777779</v>
      </c>
      <c r="L19" s="12">
        <f t="shared" si="7"/>
        <v>191160.04622222221</v>
      </c>
      <c r="M19" s="316">
        <f t="shared" si="8"/>
        <v>-143370.03466666664</v>
      </c>
      <c r="O19" s="42">
        <f t="shared" si="9"/>
        <v>-2341579.0619999999</v>
      </c>
      <c r="P19" s="273"/>
      <c r="Q19" s="228"/>
      <c r="R19" s="228"/>
      <c r="S19" s="228"/>
      <c r="T19" s="228"/>
      <c r="U19" s="228"/>
      <c r="AF19" s="11"/>
      <c r="AG19" s="11"/>
      <c r="AH19" s="11"/>
      <c r="AI19" s="11"/>
      <c r="AJ19" s="11"/>
      <c r="AK19" s="11"/>
      <c r="AL19" s="11"/>
    </row>
    <row r="20" spans="1:38" x14ac:dyDescent="0.25">
      <c r="A20" s="38">
        <f>+Données!A20</f>
        <v>5415</v>
      </c>
      <c r="B20" s="249" t="str">
        <f>+Données!B20</f>
        <v>Yvorne</v>
      </c>
      <c r="C20" s="237">
        <f>+Ecrêtage!C20</f>
        <v>35904.669044289032</v>
      </c>
      <c r="D20" s="235"/>
      <c r="E20" s="237">
        <f>Données!AF20+Données!AG20+Données!AH20</f>
        <v>550290</v>
      </c>
      <c r="F20" s="235">
        <f t="shared" si="3"/>
        <v>287237.35235431226</v>
      </c>
      <c r="G20" s="8">
        <f t="shared" si="4"/>
        <v>263052.64764568774</v>
      </c>
      <c r="H20" s="316">
        <f t="shared" si="5"/>
        <v>-197289.48573426582</v>
      </c>
      <c r="J20" s="8">
        <f>Données!AN20</f>
        <v>71814</v>
      </c>
      <c r="K20" s="215">
        <f t="shared" si="6"/>
        <v>35904.669044289032</v>
      </c>
      <c r="L20" s="12">
        <f t="shared" si="7"/>
        <v>35909.330955710968</v>
      </c>
      <c r="M20" s="316">
        <f t="shared" si="8"/>
        <v>-26931.998216783228</v>
      </c>
      <c r="O20" s="42">
        <f t="shared" si="9"/>
        <v>-224221.48395104904</v>
      </c>
      <c r="P20" s="273"/>
      <c r="Q20" s="228"/>
      <c r="R20" s="228"/>
      <c r="S20" s="228"/>
      <c r="T20" s="228"/>
      <c r="U20" s="228"/>
      <c r="AF20" s="11"/>
      <c r="AG20" s="11"/>
      <c r="AH20" s="11"/>
      <c r="AI20" s="11"/>
      <c r="AJ20" s="11"/>
      <c r="AK20" s="11"/>
      <c r="AL20" s="11"/>
    </row>
    <row r="21" spans="1:38" s="219" customFormat="1" x14ac:dyDescent="0.25">
      <c r="A21" s="38">
        <f>+Données!A21</f>
        <v>5422</v>
      </c>
      <c r="B21" s="249" t="str">
        <f>+Données!B21</f>
        <v>Aubonne</v>
      </c>
      <c r="C21" s="237">
        <f>+Ecrêtage!C21</f>
        <v>307027.61800000002</v>
      </c>
      <c r="D21" s="235"/>
      <c r="E21" s="237">
        <f>Données!AF21+Données!AG21+Données!AH21</f>
        <v>2083993</v>
      </c>
      <c r="F21" s="235">
        <f t="shared" si="3"/>
        <v>2456220.9440000001</v>
      </c>
      <c r="G21" s="8">
        <f t="shared" si="4"/>
        <v>0</v>
      </c>
      <c r="H21" s="316">
        <f t="shared" si="5"/>
        <v>0</v>
      </c>
      <c r="I21" s="238"/>
      <c r="J21" s="8">
        <f>Données!AN21</f>
        <v>18703</v>
      </c>
      <c r="K21" s="215">
        <f t="shared" si="6"/>
        <v>307027.61800000002</v>
      </c>
      <c r="L21" s="238">
        <f t="shared" si="7"/>
        <v>0</v>
      </c>
      <c r="M21" s="316">
        <f t="shared" si="8"/>
        <v>0</v>
      </c>
      <c r="N21" s="238"/>
      <c r="O21" s="42">
        <f t="shared" si="9"/>
        <v>0</v>
      </c>
      <c r="P21" s="273"/>
      <c r="Q21" s="228"/>
      <c r="R21" s="228"/>
      <c r="S21" s="228"/>
      <c r="T21" s="228"/>
      <c r="U21" s="228"/>
    </row>
    <row r="22" spans="1:38" x14ac:dyDescent="0.25">
      <c r="A22" s="38">
        <f>+Données!A22</f>
        <v>5423</v>
      </c>
      <c r="B22" s="249" t="str">
        <f>+Données!B22</f>
        <v>Ballens</v>
      </c>
      <c r="C22" s="237">
        <f>+Ecrêtage!C22</f>
        <v>16194.081232876708</v>
      </c>
      <c r="D22" s="235"/>
      <c r="E22" s="237">
        <f>Données!AF22+Données!AG22+Données!AH22</f>
        <v>240221</v>
      </c>
      <c r="F22" s="235">
        <f t="shared" si="3"/>
        <v>129552.64986301366</v>
      </c>
      <c r="G22" s="8">
        <f t="shared" si="4"/>
        <v>110668.35013698634</v>
      </c>
      <c r="H22" s="316">
        <f t="shared" si="5"/>
        <v>-83001.262602739749</v>
      </c>
      <c r="J22" s="8">
        <f>Données!AN22</f>
        <v>13821</v>
      </c>
      <c r="K22" s="215">
        <f t="shared" si="6"/>
        <v>16194.081232876708</v>
      </c>
      <c r="L22" s="12">
        <f t="shared" si="7"/>
        <v>0</v>
      </c>
      <c r="M22" s="316">
        <f t="shared" si="8"/>
        <v>0</v>
      </c>
      <c r="O22" s="42">
        <f t="shared" si="9"/>
        <v>-83001.262602739749</v>
      </c>
      <c r="P22" s="273"/>
      <c r="Q22" s="228"/>
      <c r="R22" s="228"/>
      <c r="S22" s="228"/>
      <c r="T22" s="228"/>
      <c r="U22" s="228"/>
      <c r="AF22" s="11"/>
      <c r="AG22" s="11"/>
      <c r="AH22" s="11"/>
      <c r="AI22" s="11"/>
      <c r="AJ22" s="11"/>
      <c r="AK22" s="11"/>
      <c r="AL22" s="11"/>
    </row>
    <row r="23" spans="1:38" x14ac:dyDescent="0.25">
      <c r="A23" s="38">
        <f>+Données!A23</f>
        <v>5424</v>
      </c>
      <c r="B23" s="249" t="str">
        <f>+Données!B23</f>
        <v>Berolle</v>
      </c>
      <c r="C23" s="237">
        <f>+Ecrêtage!C23</f>
        <v>8301.7307284768212</v>
      </c>
      <c r="D23" s="235"/>
      <c r="E23" s="237">
        <f>Données!AF23+Données!AG23+Données!AH23</f>
        <v>143460</v>
      </c>
      <c r="F23" s="235">
        <f t="shared" si="3"/>
        <v>66413.84582781457</v>
      </c>
      <c r="G23" s="8">
        <f t="shared" si="4"/>
        <v>77046.15417218543</v>
      </c>
      <c r="H23" s="316">
        <f t="shared" si="5"/>
        <v>-57784.615629139073</v>
      </c>
      <c r="J23" s="8">
        <f>Données!AN23</f>
        <v>30899</v>
      </c>
      <c r="K23" s="215">
        <f t="shared" si="6"/>
        <v>8301.7307284768212</v>
      </c>
      <c r="L23" s="12">
        <f t="shared" si="7"/>
        <v>22597.269271523179</v>
      </c>
      <c r="M23" s="316">
        <f t="shared" si="8"/>
        <v>-16947.951953642383</v>
      </c>
      <c r="O23" s="42">
        <f t="shared" si="9"/>
        <v>-74732.567582781456</v>
      </c>
      <c r="P23" s="273"/>
      <c r="Q23" s="228"/>
      <c r="R23" s="228"/>
      <c r="S23" s="228"/>
      <c r="T23" s="228"/>
      <c r="U23" s="228"/>
      <c r="AF23" s="11"/>
      <c r="AG23" s="11"/>
      <c r="AH23" s="11"/>
      <c r="AI23" s="11"/>
      <c r="AJ23" s="11"/>
      <c r="AK23" s="11"/>
      <c r="AL23" s="11"/>
    </row>
    <row r="24" spans="1:38" x14ac:dyDescent="0.25">
      <c r="A24" s="38">
        <f>+Données!A24</f>
        <v>5425</v>
      </c>
      <c r="B24" s="249" t="str">
        <f>+Données!B24</f>
        <v>Bière</v>
      </c>
      <c r="C24" s="237">
        <f>+Ecrêtage!C24</f>
        <v>44215.914072963518</v>
      </c>
      <c r="D24" s="235"/>
      <c r="E24" s="237">
        <f>Données!AF24+Données!AG24+Données!AH24</f>
        <v>1198117</v>
      </c>
      <c r="F24" s="235">
        <f t="shared" si="3"/>
        <v>353727.31258370815</v>
      </c>
      <c r="G24" s="8">
        <f t="shared" si="4"/>
        <v>844389.6874162918</v>
      </c>
      <c r="H24" s="316">
        <f t="shared" si="5"/>
        <v>-633292.26556221885</v>
      </c>
      <c r="J24" s="8">
        <f>Données!AN24</f>
        <v>194792</v>
      </c>
      <c r="K24" s="215">
        <f t="shared" si="6"/>
        <v>44215.914072963518</v>
      </c>
      <c r="L24" s="12">
        <f t="shared" si="7"/>
        <v>150576.08592703647</v>
      </c>
      <c r="M24" s="316">
        <f t="shared" si="8"/>
        <v>-112932.06444527736</v>
      </c>
      <c r="O24" s="42">
        <f t="shared" si="9"/>
        <v>-746224.33000749617</v>
      </c>
      <c r="P24" s="273"/>
      <c r="Q24" s="228"/>
      <c r="R24" s="228"/>
      <c r="S24" s="228"/>
      <c r="T24" s="228"/>
      <c r="U24" s="228"/>
      <c r="AF24" s="11"/>
      <c r="AG24" s="11"/>
      <c r="AH24" s="11"/>
      <c r="AI24" s="11"/>
      <c r="AJ24" s="11"/>
      <c r="AK24" s="11"/>
      <c r="AL24" s="11"/>
    </row>
    <row r="25" spans="1:38" x14ac:dyDescent="0.25">
      <c r="A25" s="38">
        <f>+Données!A25</f>
        <v>5426</v>
      </c>
      <c r="B25" s="249" t="str">
        <f>+Données!B25</f>
        <v>Bougy-Villars</v>
      </c>
      <c r="C25" s="237">
        <f>+Ecrêtage!C25</f>
        <v>53043.343074935401</v>
      </c>
      <c r="D25" s="235"/>
      <c r="E25" s="237">
        <f>Données!AF25+Données!AG25+Données!AH25</f>
        <v>0</v>
      </c>
      <c r="F25" s="235">
        <f t="shared" si="3"/>
        <v>424346.74459948321</v>
      </c>
      <c r="G25" s="8">
        <f t="shared" si="4"/>
        <v>0</v>
      </c>
      <c r="H25" s="316">
        <f t="shared" si="5"/>
        <v>0</v>
      </c>
      <c r="J25" s="8">
        <f>Données!AN25</f>
        <v>0</v>
      </c>
      <c r="K25" s="215">
        <f t="shared" si="6"/>
        <v>53043.343074935401</v>
      </c>
      <c r="L25" s="12">
        <f t="shared" si="7"/>
        <v>0</v>
      </c>
      <c r="M25" s="316">
        <f t="shared" si="8"/>
        <v>0</v>
      </c>
      <c r="O25" s="42">
        <f t="shared" si="9"/>
        <v>0</v>
      </c>
      <c r="P25" s="273"/>
      <c r="Q25" s="228"/>
      <c r="R25" s="228"/>
      <c r="S25" s="228"/>
      <c r="T25" s="228"/>
      <c r="U25" s="228"/>
      <c r="AF25" s="11"/>
      <c r="AG25" s="11"/>
      <c r="AH25" s="11"/>
      <c r="AI25" s="11"/>
      <c r="AJ25" s="11"/>
      <c r="AK25" s="11"/>
      <c r="AL25" s="11"/>
    </row>
    <row r="26" spans="1:38" x14ac:dyDescent="0.25">
      <c r="A26" s="38">
        <f>+Données!A26</f>
        <v>5427</v>
      </c>
      <c r="B26" s="249" t="str">
        <f>+Données!B26</f>
        <v>Féchy</v>
      </c>
      <c r="C26" s="237">
        <f>+Ecrêtage!C26</f>
        <v>88211.829663461554</v>
      </c>
      <c r="D26" s="235"/>
      <c r="E26" s="237">
        <f>Données!AF26+Données!AG26+Données!AH26</f>
        <v>0</v>
      </c>
      <c r="F26" s="235">
        <f t="shared" si="3"/>
        <v>705694.63730769244</v>
      </c>
      <c r="G26" s="8">
        <f t="shared" si="4"/>
        <v>0</v>
      </c>
      <c r="H26" s="316">
        <f t="shared" si="5"/>
        <v>0</v>
      </c>
      <c r="J26" s="8">
        <f>Données!AN26</f>
        <v>0</v>
      </c>
      <c r="K26" s="215">
        <f t="shared" si="6"/>
        <v>88211.829663461554</v>
      </c>
      <c r="L26" s="12">
        <f t="shared" si="7"/>
        <v>0</v>
      </c>
      <c r="M26" s="316">
        <f t="shared" si="8"/>
        <v>0</v>
      </c>
      <c r="O26" s="42">
        <f t="shared" si="9"/>
        <v>0</v>
      </c>
      <c r="P26" s="273"/>
      <c r="Q26" s="228"/>
      <c r="R26" s="228"/>
      <c r="S26" s="228"/>
      <c r="T26" s="228"/>
      <c r="U26" s="228"/>
      <c r="AF26" s="11"/>
      <c r="AG26" s="11"/>
      <c r="AH26" s="11"/>
      <c r="AI26" s="11"/>
      <c r="AJ26" s="11"/>
      <c r="AK26" s="11"/>
      <c r="AL26" s="11"/>
    </row>
    <row r="27" spans="1:38" x14ac:dyDescent="0.25">
      <c r="A27" s="38">
        <f>+Données!A27</f>
        <v>5428</v>
      </c>
      <c r="B27" s="249" t="str">
        <f>+Données!B27</f>
        <v>Gimel</v>
      </c>
      <c r="C27" s="237">
        <f>+Ecrêtage!C27</f>
        <v>70557.620626398202</v>
      </c>
      <c r="D27" s="235"/>
      <c r="E27" s="237">
        <f>Données!AF27+Données!AG27+Données!AH27</f>
        <v>1138693</v>
      </c>
      <c r="F27" s="235">
        <f t="shared" si="3"/>
        <v>564460.96501118562</v>
      </c>
      <c r="G27" s="8">
        <f t="shared" si="4"/>
        <v>574232.03498881438</v>
      </c>
      <c r="H27" s="316">
        <f t="shared" si="5"/>
        <v>-430674.02624161076</v>
      </c>
      <c r="J27" s="8">
        <f>Données!AN27</f>
        <v>253604</v>
      </c>
      <c r="K27" s="215">
        <f t="shared" si="6"/>
        <v>70557.620626398202</v>
      </c>
      <c r="L27" s="12">
        <f t="shared" si="7"/>
        <v>183046.37937360181</v>
      </c>
      <c r="M27" s="316">
        <f t="shared" si="8"/>
        <v>-137284.78453020134</v>
      </c>
      <c r="O27" s="42">
        <f t="shared" si="9"/>
        <v>-567958.8107718121</v>
      </c>
      <c r="P27" s="273"/>
      <c r="Q27" s="228"/>
      <c r="R27" s="228"/>
      <c r="S27" s="228"/>
      <c r="T27" s="228"/>
      <c r="U27" s="228"/>
      <c r="AF27" s="11"/>
      <c r="AG27" s="11"/>
      <c r="AH27" s="11"/>
      <c r="AI27" s="11"/>
      <c r="AJ27" s="11"/>
      <c r="AK27" s="11"/>
      <c r="AL27" s="11"/>
    </row>
    <row r="28" spans="1:38" x14ac:dyDescent="0.25">
      <c r="A28" s="38">
        <f>+Données!A28</f>
        <v>5429</v>
      </c>
      <c r="B28" s="249" t="str">
        <f>+Données!B28</f>
        <v>Longirod</v>
      </c>
      <c r="C28" s="237">
        <f>+Ecrêtage!C28</f>
        <v>18573.92709677419</v>
      </c>
      <c r="D28" s="235"/>
      <c r="E28" s="237">
        <f>Données!AF28+Données!AG28+Données!AH28</f>
        <v>259302</v>
      </c>
      <c r="F28" s="235">
        <f t="shared" si="3"/>
        <v>148591.41677419352</v>
      </c>
      <c r="G28" s="8">
        <f t="shared" si="4"/>
        <v>110710.58322580648</v>
      </c>
      <c r="H28" s="316">
        <f t="shared" si="5"/>
        <v>-83032.937419354857</v>
      </c>
      <c r="J28" s="8">
        <f>Données!AN28</f>
        <v>26814</v>
      </c>
      <c r="K28" s="215">
        <f t="shared" si="6"/>
        <v>18573.92709677419</v>
      </c>
      <c r="L28" s="12">
        <f t="shared" si="7"/>
        <v>8240.0729032258096</v>
      </c>
      <c r="M28" s="316">
        <f t="shared" si="8"/>
        <v>-6180.0546774193572</v>
      </c>
      <c r="O28" s="42">
        <f t="shared" si="9"/>
        <v>-89212.992096774222</v>
      </c>
      <c r="P28" s="273"/>
      <c r="Q28" s="228"/>
      <c r="R28" s="228"/>
      <c r="S28" s="228"/>
      <c r="T28" s="228"/>
      <c r="U28" s="228"/>
      <c r="AF28" s="11"/>
      <c r="AG28" s="11"/>
      <c r="AH28" s="11"/>
      <c r="AI28" s="11"/>
      <c r="AJ28" s="11"/>
      <c r="AK28" s="11"/>
      <c r="AL28" s="11"/>
    </row>
    <row r="29" spans="1:38" x14ac:dyDescent="0.25">
      <c r="A29" s="38">
        <f>+Données!A29</f>
        <v>5430</v>
      </c>
      <c r="B29" s="249" t="str">
        <f>+Données!B29</f>
        <v>Marchissy</v>
      </c>
      <c r="C29" s="237">
        <f>+Ecrêtage!C29</f>
        <v>15580.605290322583</v>
      </c>
      <c r="D29" s="235"/>
      <c r="E29" s="237">
        <f>Données!AF29+Données!AG29+Données!AH29</f>
        <v>205220</v>
      </c>
      <c r="F29" s="235">
        <f t="shared" si="3"/>
        <v>124644.84232258066</v>
      </c>
      <c r="G29" s="8">
        <f t="shared" si="4"/>
        <v>80575.157677419338</v>
      </c>
      <c r="H29" s="316">
        <f t="shared" si="5"/>
        <v>-60431.368258064504</v>
      </c>
      <c r="J29" s="8">
        <f>Données!AN29</f>
        <v>-1255</v>
      </c>
      <c r="K29" s="215">
        <f t="shared" si="6"/>
        <v>15580.605290322583</v>
      </c>
      <c r="L29" s="12">
        <f t="shared" si="7"/>
        <v>0</v>
      </c>
      <c r="M29" s="316">
        <f t="shared" si="8"/>
        <v>0</v>
      </c>
      <c r="O29" s="42">
        <f t="shared" si="9"/>
        <v>-60431.368258064504</v>
      </c>
      <c r="P29" s="273"/>
      <c r="Q29" s="228"/>
      <c r="R29" s="228"/>
      <c r="S29" s="228"/>
      <c r="T29" s="228"/>
      <c r="U29" s="228"/>
      <c r="AF29" s="11"/>
      <c r="AG29" s="11"/>
      <c r="AH29" s="11"/>
      <c r="AI29" s="11"/>
      <c r="AJ29" s="11"/>
      <c r="AK29" s="11"/>
      <c r="AL29" s="11"/>
    </row>
    <row r="30" spans="1:38" x14ac:dyDescent="0.25">
      <c r="A30" s="38">
        <f>+Données!A30</f>
        <v>5431</v>
      </c>
      <c r="B30" s="249" t="str">
        <f>+Données!B30</f>
        <v>Mollens</v>
      </c>
      <c r="C30" s="237">
        <f>+Ecrêtage!C30</f>
        <v>10464.936351351351</v>
      </c>
      <c r="D30" s="235"/>
      <c r="E30" s="237">
        <f>Données!AF30+Données!AG30+Données!AH30</f>
        <v>99782</v>
      </c>
      <c r="F30" s="235">
        <f t="shared" si="3"/>
        <v>83719.490810810807</v>
      </c>
      <c r="G30" s="8">
        <f t="shared" si="4"/>
        <v>16062.509189189193</v>
      </c>
      <c r="H30" s="316">
        <f t="shared" si="5"/>
        <v>-12046.881891891895</v>
      </c>
      <c r="J30" s="8">
        <f>Données!AN30</f>
        <v>45701</v>
      </c>
      <c r="K30" s="215">
        <f t="shared" si="6"/>
        <v>10464.936351351351</v>
      </c>
      <c r="L30" s="12">
        <f t="shared" si="7"/>
        <v>35236.063648648647</v>
      </c>
      <c r="M30" s="316">
        <f t="shared" si="8"/>
        <v>-26427.047736486486</v>
      </c>
      <c r="O30" s="42">
        <f t="shared" si="9"/>
        <v>-38473.929628378377</v>
      </c>
      <c r="P30" s="273"/>
      <c r="Q30" s="228"/>
      <c r="R30" s="228"/>
      <c r="S30" s="228"/>
      <c r="T30" s="228"/>
      <c r="U30" s="228"/>
      <c r="AF30" s="11"/>
      <c r="AG30" s="11"/>
      <c r="AH30" s="11"/>
      <c r="AI30" s="11"/>
      <c r="AJ30" s="11"/>
      <c r="AK30" s="11"/>
      <c r="AL30" s="11"/>
    </row>
    <row r="31" spans="1:38" x14ac:dyDescent="0.25">
      <c r="A31" s="38">
        <f>+Données!A31</f>
        <v>5434</v>
      </c>
      <c r="B31" s="249" t="str">
        <f>+Données!B31</f>
        <v>Saint-George</v>
      </c>
      <c r="C31" s="237">
        <f>+Ecrêtage!C31</f>
        <v>43543.93829736211</v>
      </c>
      <c r="D31" s="235"/>
      <c r="E31" s="237">
        <f>Données!AF31+Données!AG31+Données!AH31</f>
        <v>444847</v>
      </c>
      <c r="F31" s="235">
        <f t="shared" si="3"/>
        <v>348351.50637889688</v>
      </c>
      <c r="G31" s="8">
        <f t="shared" si="4"/>
        <v>96495.493621103116</v>
      </c>
      <c r="H31" s="316">
        <f t="shared" si="5"/>
        <v>-72371.620215827337</v>
      </c>
      <c r="J31" s="8">
        <f>Données!AN31</f>
        <v>37134</v>
      </c>
      <c r="K31" s="215">
        <f t="shared" si="6"/>
        <v>43543.93829736211</v>
      </c>
      <c r="L31" s="12">
        <f t="shared" si="7"/>
        <v>0</v>
      </c>
      <c r="M31" s="316">
        <f t="shared" si="8"/>
        <v>0</v>
      </c>
      <c r="O31" s="42">
        <f t="shared" si="9"/>
        <v>-72371.620215827337</v>
      </c>
      <c r="P31" s="273"/>
      <c r="Q31" s="228"/>
      <c r="R31" s="228"/>
      <c r="S31" s="228"/>
      <c r="T31" s="228"/>
      <c r="U31" s="228"/>
      <c r="AF31" s="11"/>
      <c r="AG31" s="11"/>
      <c r="AH31" s="11"/>
      <c r="AI31" s="11"/>
      <c r="AJ31" s="11"/>
      <c r="AK31" s="11"/>
      <c r="AL31" s="11"/>
    </row>
    <row r="32" spans="1:38" x14ac:dyDescent="0.25">
      <c r="A32" s="38">
        <f>+Données!A32</f>
        <v>5435</v>
      </c>
      <c r="B32" s="249" t="str">
        <f>+Données!B32</f>
        <v>Saint-Livres</v>
      </c>
      <c r="C32" s="237">
        <f>+Ecrêtage!C32</f>
        <v>25853.824637681166</v>
      </c>
      <c r="D32" s="235"/>
      <c r="E32" s="237">
        <f>Données!AF32+Données!AG32+Données!AH32</f>
        <v>208754</v>
      </c>
      <c r="F32" s="235">
        <f t="shared" si="3"/>
        <v>206830.59710144933</v>
      </c>
      <c r="G32" s="8">
        <f t="shared" si="4"/>
        <v>1923.4028985506739</v>
      </c>
      <c r="H32" s="316">
        <f t="shared" si="5"/>
        <v>-1442.5521739130054</v>
      </c>
      <c r="J32" s="8">
        <f>Données!AN32</f>
        <v>17893</v>
      </c>
      <c r="K32" s="215">
        <f t="shared" si="6"/>
        <v>25853.824637681166</v>
      </c>
      <c r="L32" s="12">
        <f t="shared" si="7"/>
        <v>0</v>
      </c>
      <c r="M32" s="316">
        <f t="shared" si="8"/>
        <v>0</v>
      </c>
      <c r="O32" s="42">
        <f t="shared" si="9"/>
        <v>-1442.5521739130054</v>
      </c>
      <c r="P32" s="273"/>
      <c r="Q32" s="228"/>
      <c r="R32" s="228"/>
      <c r="S32" s="228"/>
      <c r="T32" s="228"/>
      <c r="U32" s="228"/>
      <c r="AF32" s="11"/>
      <c r="AG32" s="11"/>
      <c r="AH32" s="11"/>
      <c r="AI32" s="11"/>
      <c r="AJ32" s="11"/>
      <c r="AK32" s="11"/>
      <c r="AL32" s="11"/>
    </row>
    <row r="33" spans="1:38" x14ac:dyDescent="0.25">
      <c r="A33" s="38">
        <f>+Données!A33</f>
        <v>5436</v>
      </c>
      <c r="B33" s="249" t="str">
        <f>+Données!B33</f>
        <v>Saint-Oyens</v>
      </c>
      <c r="C33" s="237">
        <f>+Ecrêtage!C33</f>
        <v>16868.155185185187</v>
      </c>
      <c r="D33" s="235"/>
      <c r="E33" s="237">
        <f>Données!AF33+Données!AG33+Données!AH33</f>
        <v>0</v>
      </c>
      <c r="F33" s="235">
        <f t="shared" si="3"/>
        <v>134945.2414814815</v>
      </c>
      <c r="G33" s="8">
        <f t="shared" si="4"/>
        <v>0</v>
      </c>
      <c r="H33" s="316">
        <f t="shared" si="5"/>
        <v>0</v>
      </c>
      <c r="J33" s="8">
        <f>Données!AN33</f>
        <v>0</v>
      </c>
      <c r="K33" s="215">
        <f t="shared" si="6"/>
        <v>16868.155185185187</v>
      </c>
      <c r="L33" s="12">
        <f t="shared" si="7"/>
        <v>0</v>
      </c>
      <c r="M33" s="316">
        <f t="shared" si="8"/>
        <v>0</v>
      </c>
      <c r="O33" s="42">
        <f t="shared" si="9"/>
        <v>0</v>
      </c>
      <c r="P33" s="273"/>
      <c r="Q33" s="228"/>
      <c r="R33" s="228"/>
      <c r="S33" s="228"/>
      <c r="T33" s="228"/>
      <c r="U33" s="228"/>
      <c r="AF33" s="11"/>
      <c r="AG33" s="11"/>
      <c r="AH33" s="11"/>
      <c r="AI33" s="11"/>
      <c r="AJ33" s="11"/>
      <c r="AK33" s="11"/>
      <c r="AL33" s="11"/>
    </row>
    <row r="34" spans="1:38" x14ac:dyDescent="0.25">
      <c r="A34" s="38">
        <f>+Données!A34</f>
        <v>5437</v>
      </c>
      <c r="B34" s="249" t="str">
        <f>+Données!B34</f>
        <v>Saubraz</v>
      </c>
      <c r="C34" s="237">
        <f>+Ecrêtage!C34</f>
        <v>13551.123374999999</v>
      </c>
      <c r="D34" s="235"/>
      <c r="E34" s="237">
        <f>Données!AF34+Données!AG34+Données!AH34</f>
        <v>584145</v>
      </c>
      <c r="F34" s="235">
        <f t="shared" si="3"/>
        <v>108408.98699999999</v>
      </c>
      <c r="G34" s="8">
        <f t="shared" si="4"/>
        <v>475736.01300000004</v>
      </c>
      <c r="H34" s="316">
        <f t="shared" si="5"/>
        <v>-356802.00975000003</v>
      </c>
      <c r="J34" s="8">
        <f>Données!AN34</f>
        <v>9707</v>
      </c>
      <c r="K34" s="215">
        <f t="shared" si="6"/>
        <v>13551.123374999999</v>
      </c>
      <c r="L34" s="12">
        <f t="shared" si="7"/>
        <v>0</v>
      </c>
      <c r="M34" s="316">
        <f t="shared" si="8"/>
        <v>0</v>
      </c>
      <c r="O34" s="42">
        <f t="shared" si="9"/>
        <v>-356802.00975000003</v>
      </c>
      <c r="P34" s="273"/>
      <c r="Q34" s="228"/>
      <c r="R34" s="228"/>
      <c r="S34" s="228"/>
      <c r="T34" s="228"/>
      <c r="U34" s="228"/>
      <c r="AF34" s="11"/>
      <c r="AG34" s="11"/>
      <c r="AH34" s="11"/>
      <c r="AI34" s="11"/>
      <c r="AJ34" s="11"/>
      <c r="AK34" s="11"/>
      <c r="AL34" s="11"/>
    </row>
    <row r="35" spans="1:38" x14ac:dyDescent="0.25">
      <c r="A35" s="38">
        <f>+Données!A35</f>
        <v>5451</v>
      </c>
      <c r="B35" s="249" t="str">
        <f>+Données!B35</f>
        <v>Avenches</v>
      </c>
      <c r="C35" s="237">
        <f>+Ecrêtage!C35</f>
        <v>137788.88576441104</v>
      </c>
      <c r="D35" s="235"/>
      <c r="E35" s="237">
        <f>Données!AF35+Données!AG35+Données!AH35</f>
        <v>3005895</v>
      </c>
      <c r="F35" s="235">
        <f t="shared" si="3"/>
        <v>1102311.0861152883</v>
      </c>
      <c r="G35" s="8">
        <f t="shared" si="4"/>
        <v>1903583.9138847117</v>
      </c>
      <c r="H35" s="316">
        <f t="shared" si="5"/>
        <v>-1427687.9354135338</v>
      </c>
      <c r="J35" s="8">
        <f>Données!AN35</f>
        <v>78927</v>
      </c>
      <c r="K35" s="215">
        <f t="shared" si="6"/>
        <v>137788.88576441104</v>
      </c>
      <c r="L35" s="12">
        <f t="shared" si="7"/>
        <v>0</v>
      </c>
      <c r="M35" s="316">
        <f t="shared" si="8"/>
        <v>0</v>
      </c>
      <c r="O35" s="42">
        <f t="shared" si="9"/>
        <v>-1427687.9354135338</v>
      </c>
      <c r="P35" s="273"/>
      <c r="Q35" s="228"/>
      <c r="R35" s="228"/>
      <c r="S35" s="228"/>
      <c r="T35" s="228"/>
      <c r="U35" s="228"/>
      <c r="AF35" s="11"/>
      <c r="AG35" s="11"/>
      <c r="AH35" s="11"/>
      <c r="AI35" s="11"/>
      <c r="AJ35" s="11"/>
      <c r="AK35" s="11"/>
      <c r="AL35" s="11"/>
    </row>
    <row r="36" spans="1:38" x14ac:dyDescent="0.25">
      <c r="A36" s="38">
        <f>+Données!A36</f>
        <v>5456</v>
      </c>
      <c r="B36" s="249" t="str">
        <f>+Données!B36</f>
        <v>Cudrefin</v>
      </c>
      <c r="C36" s="237">
        <f>+Ecrêtage!C36</f>
        <v>64142.52694915254</v>
      </c>
      <c r="D36" s="235"/>
      <c r="E36" s="237">
        <f>Données!AF36+Données!AG36+Données!AH36</f>
        <v>888728</v>
      </c>
      <c r="F36" s="235">
        <f t="shared" si="3"/>
        <v>513140.21559322032</v>
      </c>
      <c r="G36" s="8">
        <f t="shared" si="4"/>
        <v>375587.78440677968</v>
      </c>
      <c r="H36" s="316">
        <f t="shared" si="5"/>
        <v>-281690.83830508473</v>
      </c>
      <c r="J36" s="8">
        <f>Données!AN36</f>
        <v>28239</v>
      </c>
      <c r="K36" s="215">
        <f t="shared" si="6"/>
        <v>64142.52694915254</v>
      </c>
      <c r="L36" s="12">
        <f t="shared" si="7"/>
        <v>0</v>
      </c>
      <c r="M36" s="316">
        <f t="shared" si="8"/>
        <v>0</v>
      </c>
      <c r="O36" s="42">
        <f t="shared" si="9"/>
        <v>-281690.83830508473</v>
      </c>
      <c r="P36" s="273"/>
      <c r="Q36" s="228"/>
      <c r="R36" s="228"/>
      <c r="S36" s="228"/>
      <c r="T36" s="228"/>
      <c r="U36" s="228"/>
      <c r="AF36" s="11"/>
      <c r="AG36" s="11"/>
      <c r="AH36" s="11"/>
      <c r="AI36" s="11"/>
      <c r="AJ36" s="11"/>
      <c r="AK36" s="11"/>
      <c r="AL36" s="11"/>
    </row>
    <row r="37" spans="1:38" x14ac:dyDescent="0.25">
      <c r="A37" s="38">
        <f>+Données!A37</f>
        <v>5458</v>
      </c>
      <c r="B37" s="249" t="str">
        <f>+Données!B37</f>
        <v>Faoug</v>
      </c>
      <c r="C37" s="237">
        <f>+Ecrêtage!C37</f>
        <v>34719.981076923075</v>
      </c>
      <c r="D37" s="235"/>
      <c r="E37" s="237">
        <f>Données!AF37+Données!AG37+Données!AH37</f>
        <v>453700</v>
      </c>
      <c r="F37" s="235">
        <f t="shared" si="3"/>
        <v>277759.8486153846</v>
      </c>
      <c r="G37" s="8">
        <f t="shared" si="4"/>
        <v>175940.1513846154</v>
      </c>
      <c r="H37" s="316">
        <f t="shared" si="5"/>
        <v>-131955.11353846156</v>
      </c>
      <c r="J37" s="8">
        <f>Données!AN37</f>
        <v>17512</v>
      </c>
      <c r="K37" s="215">
        <f t="shared" si="6"/>
        <v>34719.981076923075</v>
      </c>
      <c r="L37" s="12">
        <f t="shared" si="7"/>
        <v>0</v>
      </c>
      <c r="M37" s="316">
        <f t="shared" si="8"/>
        <v>0</v>
      </c>
      <c r="O37" s="42">
        <f t="shared" si="9"/>
        <v>-131955.11353846156</v>
      </c>
      <c r="P37" s="273"/>
      <c r="Q37" s="228"/>
      <c r="R37" s="228"/>
      <c r="S37" s="228"/>
      <c r="T37" s="228"/>
      <c r="U37" s="228"/>
      <c r="AF37" s="11"/>
      <c r="AG37" s="11"/>
      <c r="AH37" s="11"/>
      <c r="AI37" s="11"/>
      <c r="AJ37" s="11"/>
      <c r="AK37" s="11"/>
      <c r="AL37" s="11"/>
    </row>
    <row r="38" spans="1:38" x14ac:dyDescent="0.25">
      <c r="A38" s="38">
        <f>+Données!A38</f>
        <v>5464</v>
      </c>
      <c r="B38" s="249" t="str">
        <f>+Données!B38</f>
        <v>Vully-les-Lacs</v>
      </c>
      <c r="C38" s="237">
        <f>+Ecrêtage!C38</f>
        <v>119166.87835820897</v>
      </c>
      <c r="D38" s="235"/>
      <c r="E38" s="237">
        <f>Données!AF38+Données!AG38+Données!AH38</f>
        <v>1353250</v>
      </c>
      <c r="F38" s="235">
        <f t="shared" si="3"/>
        <v>953335.02686567174</v>
      </c>
      <c r="G38" s="8">
        <f t="shared" si="4"/>
        <v>399914.97313432826</v>
      </c>
      <c r="H38" s="316">
        <f t="shared" si="5"/>
        <v>-299936.22985074623</v>
      </c>
      <c r="J38" s="8">
        <f>Données!AN38</f>
        <v>31212</v>
      </c>
      <c r="K38" s="215">
        <f t="shared" si="6"/>
        <v>119166.87835820897</v>
      </c>
      <c r="L38" s="12">
        <f t="shared" si="7"/>
        <v>0</v>
      </c>
      <c r="M38" s="316">
        <f t="shared" si="8"/>
        <v>0</v>
      </c>
      <c r="O38" s="42">
        <f t="shared" si="9"/>
        <v>-299936.22985074623</v>
      </c>
      <c r="P38" s="273"/>
      <c r="Q38" s="228"/>
      <c r="R38" s="228"/>
      <c r="S38" s="228"/>
      <c r="T38" s="228"/>
      <c r="U38" s="228"/>
      <c r="AF38" s="11"/>
      <c r="AG38" s="11"/>
      <c r="AH38" s="11"/>
      <c r="AI38" s="11"/>
      <c r="AJ38" s="11"/>
      <c r="AK38" s="11"/>
      <c r="AL38" s="11"/>
    </row>
    <row r="39" spans="1:38" x14ac:dyDescent="0.25">
      <c r="A39" s="38">
        <f>+Données!A39</f>
        <v>5471</v>
      </c>
      <c r="B39" s="249" t="str">
        <f>+Données!B39</f>
        <v>Bettens</v>
      </c>
      <c r="C39" s="237">
        <f>+Ecrêtage!C39</f>
        <v>22887.22226984127</v>
      </c>
      <c r="D39" s="235"/>
      <c r="E39" s="237">
        <f>Données!AF39+Données!AG39+Données!AH39</f>
        <v>218261</v>
      </c>
      <c r="F39" s="235">
        <f t="shared" si="3"/>
        <v>183097.77815873016</v>
      </c>
      <c r="G39" s="8">
        <f t="shared" si="4"/>
        <v>35163.221841269842</v>
      </c>
      <c r="H39" s="316">
        <f t="shared" si="5"/>
        <v>-26372.416380952382</v>
      </c>
      <c r="J39" s="8">
        <f>Données!AN39</f>
        <v>396</v>
      </c>
      <c r="K39" s="215">
        <f t="shared" si="6"/>
        <v>22887.22226984127</v>
      </c>
      <c r="L39" s="12">
        <f t="shared" si="7"/>
        <v>0</v>
      </c>
      <c r="M39" s="316">
        <f t="shared" si="8"/>
        <v>0</v>
      </c>
      <c r="O39" s="42">
        <f t="shared" si="9"/>
        <v>-26372.416380952382</v>
      </c>
      <c r="P39" s="273"/>
      <c r="Q39" s="228"/>
      <c r="R39" s="228"/>
      <c r="S39" s="228"/>
      <c r="T39" s="228"/>
      <c r="U39" s="228"/>
      <c r="AF39" s="11"/>
      <c r="AG39" s="11"/>
      <c r="AH39" s="11"/>
      <c r="AI39" s="11"/>
      <c r="AJ39" s="11"/>
      <c r="AK39" s="11"/>
      <c r="AL39" s="11"/>
    </row>
    <row r="40" spans="1:38" x14ac:dyDescent="0.25">
      <c r="A40" s="38">
        <f>+Données!A40</f>
        <v>5472</v>
      </c>
      <c r="B40" s="249" t="str">
        <f>+Données!B40</f>
        <v>Bournens</v>
      </c>
      <c r="C40" s="237">
        <f>+Ecrêtage!C40</f>
        <v>22175.50986111111</v>
      </c>
      <c r="D40" s="235"/>
      <c r="E40" s="237">
        <f>Données!AF40+Données!AG40+Données!AH40</f>
        <v>151627</v>
      </c>
      <c r="F40" s="235">
        <f t="shared" si="3"/>
        <v>177404.07888888888</v>
      </c>
      <c r="G40" s="8">
        <f t="shared" si="4"/>
        <v>0</v>
      </c>
      <c r="H40" s="316">
        <f t="shared" si="5"/>
        <v>0</v>
      </c>
      <c r="J40" s="8">
        <f>Données!AN40</f>
        <v>45347</v>
      </c>
      <c r="K40" s="215">
        <f t="shared" si="6"/>
        <v>22175.50986111111</v>
      </c>
      <c r="L40" s="12">
        <f t="shared" si="7"/>
        <v>23171.49013888889</v>
      </c>
      <c r="M40" s="316">
        <f t="shared" si="8"/>
        <v>-17378.617604166669</v>
      </c>
      <c r="O40" s="42">
        <f t="shared" si="9"/>
        <v>-17378.617604166669</v>
      </c>
      <c r="P40" s="273"/>
      <c r="Q40" s="228"/>
      <c r="R40" s="228"/>
      <c r="S40" s="228"/>
      <c r="T40" s="228"/>
      <c r="U40" s="228"/>
      <c r="AF40" s="11"/>
      <c r="AG40" s="11"/>
      <c r="AH40" s="11"/>
      <c r="AI40" s="11"/>
      <c r="AJ40" s="11"/>
      <c r="AK40" s="11"/>
      <c r="AL40" s="11"/>
    </row>
    <row r="41" spans="1:38" x14ac:dyDescent="0.25">
      <c r="A41" s="38">
        <f>+Données!A41</f>
        <v>5473</v>
      </c>
      <c r="B41" s="249" t="str">
        <f>+Données!B41</f>
        <v>Boussens</v>
      </c>
      <c r="C41" s="237">
        <f>+Ecrêtage!C41</f>
        <v>37058.091851851859</v>
      </c>
      <c r="D41" s="235"/>
      <c r="E41" s="237">
        <f>Données!AF41+Données!AG41+Données!AH41</f>
        <v>0</v>
      </c>
      <c r="F41" s="235">
        <f t="shared" si="3"/>
        <v>296464.73481481487</v>
      </c>
      <c r="G41" s="8">
        <f t="shared" si="4"/>
        <v>0</v>
      </c>
      <c r="H41" s="316">
        <f t="shared" si="5"/>
        <v>0</v>
      </c>
      <c r="J41" s="8">
        <f>Données!AN41</f>
        <v>0</v>
      </c>
      <c r="K41" s="215">
        <f t="shared" si="6"/>
        <v>37058.091851851859</v>
      </c>
      <c r="L41" s="12">
        <f t="shared" si="7"/>
        <v>0</v>
      </c>
      <c r="M41" s="316">
        <f t="shared" si="8"/>
        <v>0</v>
      </c>
      <c r="O41" s="42">
        <f t="shared" si="9"/>
        <v>0</v>
      </c>
      <c r="P41" s="273"/>
      <c r="Q41" s="228"/>
      <c r="R41" s="228"/>
      <c r="S41" s="228"/>
      <c r="T41" s="228"/>
      <c r="U41" s="228"/>
      <c r="AF41" s="11"/>
      <c r="AG41" s="11"/>
      <c r="AH41" s="11"/>
      <c r="AI41" s="11"/>
      <c r="AJ41" s="11"/>
      <c r="AK41" s="11"/>
      <c r="AL41" s="11"/>
    </row>
    <row r="42" spans="1:38" x14ac:dyDescent="0.25">
      <c r="A42" s="38">
        <f>+Données!A42</f>
        <v>5474</v>
      </c>
      <c r="B42" s="249" t="str">
        <f>+Données!B42</f>
        <v>La Chaux (Cossonay)</v>
      </c>
      <c r="C42" s="237">
        <f>+Ecrêtage!C42</f>
        <v>12904.367324561405</v>
      </c>
      <c r="D42" s="235"/>
      <c r="E42" s="237">
        <f>Données!AF42+Données!AG42+Données!AH42</f>
        <v>409598</v>
      </c>
      <c r="F42" s="235">
        <f t="shared" si="3"/>
        <v>103234.93859649124</v>
      </c>
      <c r="G42" s="8">
        <f t="shared" si="4"/>
        <v>306363.06140350876</v>
      </c>
      <c r="H42" s="316">
        <f t="shared" si="5"/>
        <v>-229772.29605263157</v>
      </c>
      <c r="J42" s="8">
        <f>Données!AN42</f>
        <v>5981</v>
      </c>
      <c r="K42" s="215">
        <f t="shared" si="6"/>
        <v>12904.367324561405</v>
      </c>
      <c r="L42" s="12">
        <f t="shared" si="7"/>
        <v>0</v>
      </c>
      <c r="M42" s="316">
        <f t="shared" si="8"/>
        <v>0</v>
      </c>
      <c r="O42" s="42">
        <f t="shared" si="9"/>
        <v>-229772.29605263157</v>
      </c>
      <c r="P42" s="273"/>
      <c r="Q42" s="228"/>
      <c r="R42" s="228"/>
      <c r="S42" s="228"/>
      <c r="T42" s="228"/>
      <c r="U42" s="228"/>
      <c r="AF42" s="11"/>
      <c r="AG42" s="11"/>
      <c r="AH42" s="11"/>
      <c r="AI42" s="11"/>
      <c r="AJ42" s="11"/>
      <c r="AK42" s="11"/>
      <c r="AL42" s="11"/>
    </row>
    <row r="43" spans="1:38" x14ac:dyDescent="0.25">
      <c r="A43" s="38">
        <f>+Données!A43</f>
        <v>5475</v>
      </c>
      <c r="B43" s="249" t="str">
        <f>+Données!B43</f>
        <v>Chavannes-le-Veyron</v>
      </c>
      <c r="C43" s="237">
        <f>+Ecrêtage!C43</f>
        <v>4277.2565333333332</v>
      </c>
      <c r="D43" s="235"/>
      <c r="E43" s="237">
        <f>Données!AF43+Données!AG43+Données!AH43</f>
        <v>47792</v>
      </c>
      <c r="F43" s="235">
        <f t="shared" si="3"/>
        <v>34218.052266666666</v>
      </c>
      <c r="G43" s="8">
        <f t="shared" si="4"/>
        <v>13573.947733333334</v>
      </c>
      <c r="H43" s="316">
        <f t="shared" si="5"/>
        <v>-10180.460800000001</v>
      </c>
      <c r="J43" s="8">
        <f>Données!AN43</f>
        <v>27749</v>
      </c>
      <c r="K43" s="215">
        <f t="shared" si="6"/>
        <v>4277.2565333333332</v>
      </c>
      <c r="L43" s="12">
        <f t="shared" si="7"/>
        <v>23471.743466666667</v>
      </c>
      <c r="M43" s="316">
        <f t="shared" si="8"/>
        <v>-17603.8076</v>
      </c>
      <c r="O43" s="42">
        <f t="shared" si="9"/>
        <v>-27784.268400000001</v>
      </c>
      <c r="P43" s="273"/>
      <c r="Q43" s="228"/>
      <c r="R43" s="228"/>
      <c r="S43" s="228"/>
      <c r="T43" s="228"/>
      <c r="U43" s="228"/>
      <c r="AF43" s="11"/>
      <c r="AG43" s="11"/>
      <c r="AH43" s="11"/>
      <c r="AI43" s="11"/>
      <c r="AJ43" s="11"/>
      <c r="AK43" s="11"/>
      <c r="AL43" s="11"/>
    </row>
    <row r="44" spans="1:38" x14ac:dyDescent="0.25">
      <c r="A44" s="38">
        <f>+Données!A44</f>
        <v>5476</v>
      </c>
      <c r="B44" s="249" t="str">
        <f>+Données!B44</f>
        <v>Chevilly</v>
      </c>
      <c r="C44" s="237">
        <f>+Ecrêtage!C44</f>
        <v>12081.593793103451</v>
      </c>
      <c r="D44" s="235"/>
      <c r="E44" s="237">
        <f>Données!AF44+Données!AG44+Données!AH44</f>
        <v>108515</v>
      </c>
      <c r="F44" s="235">
        <f t="shared" si="3"/>
        <v>96652.750344827611</v>
      </c>
      <c r="G44" s="8">
        <f t="shared" si="4"/>
        <v>11862.249655172389</v>
      </c>
      <c r="H44" s="316">
        <f t="shared" si="5"/>
        <v>-8896.6872413792917</v>
      </c>
      <c r="J44" s="8">
        <f>Données!AN44</f>
        <v>-3940</v>
      </c>
      <c r="K44" s="215">
        <f t="shared" si="6"/>
        <v>12081.593793103451</v>
      </c>
      <c r="L44" s="12">
        <f t="shared" si="7"/>
        <v>0</v>
      </c>
      <c r="M44" s="316">
        <f t="shared" si="8"/>
        <v>0</v>
      </c>
      <c r="O44" s="42">
        <f t="shared" si="9"/>
        <v>-8896.6872413792917</v>
      </c>
      <c r="P44" s="273"/>
      <c r="Q44" s="228"/>
      <c r="R44" s="228"/>
      <c r="S44" s="228"/>
      <c r="T44" s="228"/>
      <c r="U44" s="228"/>
      <c r="AF44" s="11"/>
      <c r="AG44" s="11"/>
      <c r="AH44" s="11"/>
      <c r="AI44" s="11"/>
      <c r="AJ44" s="11"/>
      <c r="AK44" s="11"/>
      <c r="AL44" s="11"/>
    </row>
    <row r="45" spans="1:38" x14ac:dyDescent="0.25">
      <c r="A45" s="38">
        <f>+Données!A45</f>
        <v>5477</v>
      </c>
      <c r="B45" s="249" t="str">
        <f>+Données!B45</f>
        <v>Cossonay</v>
      </c>
      <c r="C45" s="237">
        <f>+Ecrêtage!C45</f>
        <v>142576.66388489207</v>
      </c>
      <c r="D45" s="235"/>
      <c r="E45" s="237">
        <f>Données!AF45+Données!AG45+Données!AH45</f>
        <v>2228239</v>
      </c>
      <c r="F45" s="235">
        <f t="shared" si="3"/>
        <v>1140613.3110791366</v>
      </c>
      <c r="G45" s="8">
        <f t="shared" si="4"/>
        <v>1087625.6889208634</v>
      </c>
      <c r="H45" s="316">
        <f t="shared" si="5"/>
        <v>-815719.26669064758</v>
      </c>
      <c r="J45" s="8">
        <f>Données!AN45</f>
        <v>24663</v>
      </c>
      <c r="K45" s="215">
        <f t="shared" si="6"/>
        <v>142576.66388489207</v>
      </c>
      <c r="L45" s="12">
        <f t="shared" si="7"/>
        <v>0</v>
      </c>
      <c r="M45" s="316">
        <f t="shared" si="8"/>
        <v>0</v>
      </c>
      <c r="O45" s="42">
        <f t="shared" si="9"/>
        <v>-815719.26669064758</v>
      </c>
      <c r="P45" s="273"/>
      <c r="Q45" s="228"/>
      <c r="R45" s="228"/>
      <c r="S45" s="228"/>
      <c r="T45" s="228"/>
      <c r="U45" s="228"/>
      <c r="AF45" s="11"/>
      <c r="AG45" s="11"/>
      <c r="AH45" s="11"/>
      <c r="AI45" s="11"/>
      <c r="AJ45" s="11"/>
      <c r="AK45" s="11"/>
      <c r="AL45" s="11"/>
    </row>
    <row r="46" spans="1:38" x14ac:dyDescent="0.25">
      <c r="A46" s="38">
        <f>+Données!A46</f>
        <v>5479</v>
      </c>
      <c r="B46" s="249" t="str">
        <f>+Données!B46</f>
        <v>Cuarnens</v>
      </c>
      <c r="C46" s="237">
        <f>+Ecrêtage!C46</f>
        <v>17984.468961038958</v>
      </c>
      <c r="D46" s="235"/>
      <c r="E46" s="237">
        <f>Données!AF46+Données!AG46+Données!AH46</f>
        <v>223413</v>
      </c>
      <c r="F46" s="235">
        <f t="shared" si="3"/>
        <v>143875.75168831166</v>
      </c>
      <c r="G46" s="8">
        <f t="shared" si="4"/>
        <v>79537.248311688338</v>
      </c>
      <c r="H46" s="316">
        <f t="shared" si="5"/>
        <v>-59652.936233766253</v>
      </c>
      <c r="J46" s="8">
        <f>Données!AN46</f>
        <v>67769</v>
      </c>
      <c r="K46" s="215">
        <f t="shared" si="6"/>
        <v>17984.468961038958</v>
      </c>
      <c r="L46" s="12">
        <f t="shared" si="7"/>
        <v>49784.531038961039</v>
      </c>
      <c r="M46" s="316">
        <f t="shared" si="8"/>
        <v>-37338.398279220783</v>
      </c>
      <c r="O46" s="42">
        <f t="shared" si="9"/>
        <v>-96991.334512987029</v>
      </c>
      <c r="P46" s="273"/>
      <c r="Q46" s="228"/>
      <c r="R46" s="228"/>
      <c r="S46" s="228"/>
      <c r="T46" s="228"/>
      <c r="U46" s="228"/>
      <c r="AF46" s="11"/>
      <c r="AG46" s="11"/>
      <c r="AH46" s="11"/>
      <c r="AI46" s="11"/>
      <c r="AJ46" s="11"/>
      <c r="AK46" s="11"/>
      <c r="AL46" s="11"/>
    </row>
    <row r="47" spans="1:38" x14ac:dyDescent="0.25">
      <c r="A47" s="38">
        <f>+Données!A47</f>
        <v>5480</v>
      </c>
      <c r="B47" s="249" t="str">
        <f>+Données!B47</f>
        <v>Daillens</v>
      </c>
      <c r="C47" s="237">
        <f>+Ecrêtage!C47</f>
        <v>41328.998989898995</v>
      </c>
      <c r="D47" s="235"/>
      <c r="E47" s="237">
        <f>Données!AF47+Données!AG47+Données!AH47</f>
        <v>515418</v>
      </c>
      <c r="F47" s="235">
        <f t="shared" si="3"/>
        <v>330631.99191919196</v>
      </c>
      <c r="G47" s="8">
        <f t="shared" si="4"/>
        <v>184786.00808080804</v>
      </c>
      <c r="H47" s="316">
        <f t="shared" si="5"/>
        <v>-138589.50606060604</v>
      </c>
      <c r="J47" s="8">
        <f>Données!AN47</f>
        <v>23523</v>
      </c>
      <c r="K47" s="215">
        <f t="shared" si="6"/>
        <v>41328.998989898995</v>
      </c>
      <c r="L47" s="12">
        <f t="shared" si="7"/>
        <v>0</v>
      </c>
      <c r="M47" s="316">
        <f t="shared" si="8"/>
        <v>0</v>
      </c>
      <c r="O47" s="42">
        <f t="shared" si="9"/>
        <v>-138589.50606060604</v>
      </c>
      <c r="P47" s="273"/>
      <c r="Q47" s="228"/>
      <c r="R47" s="228"/>
      <c r="S47" s="228"/>
      <c r="T47" s="228"/>
      <c r="U47" s="228"/>
      <c r="AF47" s="11"/>
      <c r="AG47" s="11"/>
      <c r="AH47" s="11"/>
      <c r="AI47" s="11"/>
      <c r="AJ47" s="11"/>
      <c r="AK47" s="11"/>
      <c r="AL47" s="11"/>
    </row>
    <row r="48" spans="1:38" x14ac:dyDescent="0.25">
      <c r="A48" s="38">
        <f>+Données!A48</f>
        <v>5481</v>
      </c>
      <c r="B48" s="249" t="str">
        <f>+Données!B48</f>
        <v>Dizy</v>
      </c>
      <c r="C48" s="237">
        <f>+Ecrêtage!C48</f>
        <v>8120.2678666666679</v>
      </c>
      <c r="D48" s="235"/>
      <c r="E48" s="237">
        <f>Données!AF48+Données!AG48+Données!AH48</f>
        <v>87997</v>
      </c>
      <c r="F48" s="235">
        <f t="shared" si="3"/>
        <v>64962.142933333344</v>
      </c>
      <c r="G48" s="8">
        <f t="shared" si="4"/>
        <v>23034.857066666656</v>
      </c>
      <c r="H48" s="316">
        <f t="shared" si="5"/>
        <v>-17276.142799999994</v>
      </c>
      <c r="J48" s="8">
        <f>Données!AN48</f>
        <v>3091</v>
      </c>
      <c r="K48" s="215">
        <f t="shared" si="6"/>
        <v>8120.2678666666679</v>
      </c>
      <c r="L48" s="12">
        <f t="shared" si="7"/>
        <v>0</v>
      </c>
      <c r="M48" s="316">
        <f t="shared" si="8"/>
        <v>0</v>
      </c>
      <c r="O48" s="42">
        <f t="shared" si="9"/>
        <v>-17276.142799999994</v>
      </c>
      <c r="P48" s="273"/>
      <c r="Q48" s="228"/>
      <c r="R48" s="228"/>
      <c r="S48" s="228"/>
      <c r="T48" s="228"/>
      <c r="U48" s="228"/>
      <c r="AF48" s="11"/>
      <c r="AG48" s="11"/>
      <c r="AH48" s="11"/>
      <c r="AI48" s="11"/>
      <c r="AJ48" s="11"/>
      <c r="AK48" s="11"/>
      <c r="AL48" s="11"/>
    </row>
    <row r="49" spans="1:38" x14ac:dyDescent="0.25">
      <c r="A49" s="38">
        <f>+Données!A49</f>
        <v>5482</v>
      </c>
      <c r="B49" s="249" t="str">
        <f>+Données!B49</f>
        <v>Eclépens</v>
      </c>
      <c r="C49" s="237">
        <f>+Ecrêtage!C49</f>
        <v>54169.31369565217</v>
      </c>
      <c r="D49" s="235"/>
      <c r="E49" s="237">
        <f>Données!AF49+Données!AG49+Données!AH49</f>
        <v>531142</v>
      </c>
      <c r="F49" s="235">
        <f t="shared" si="3"/>
        <v>433354.50956521736</v>
      </c>
      <c r="G49" s="8">
        <f t="shared" si="4"/>
        <v>97787.490434782638</v>
      </c>
      <c r="H49" s="316">
        <f t="shared" si="5"/>
        <v>-73340.617826086978</v>
      </c>
      <c r="J49" s="8">
        <f>Données!AN49</f>
        <v>52271</v>
      </c>
      <c r="K49" s="215">
        <f t="shared" si="6"/>
        <v>54169.31369565217</v>
      </c>
      <c r="L49" s="12">
        <f t="shared" si="7"/>
        <v>0</v>
      </c>
      <c r="M49" s="316">
        <f t="shared" si="8"/>
        <v>0</v>
      </c>
      <c r="O49" s="42">
        <f t="shared" si="9"/>
        <v>-73340.617826086978</v>
      </c>
      <c r="P49" s="273"/>
      <c r="Q49" s="228"/>
      <c r="R49" s="228"/>
      <c r="S49" s="228"/>
      <c r="T49" s="228"/>
      <c r="U49" s="228"/>
      <c r="AF49" s="11"/>
      <c r="AG49" s="11"/>
      <c r="AH49" s="11"/>
      <c r="AI49" s="11"/>
      <c r="AJ49" s="11"/>
      <c r="AK49" s="11"/>
      <c r="AL49" s="11"/>
    </row>
    <row r="50" spans="1:38" x14ac:dyDescent="0.25">
      <c r="A50" s="38">
        <f>+Données!A50</f>
        <v>5483</v>
      </c>
      <c r="B50" s="249" t="str">
        <f>+Données!B50</f>
        <v>Ferreyres</v>
      </c>
      <c r="C50" s="237">
        <f>+Ecrêtage!C50</f>
        <v>10537.013684210528</v>
      </c>
      <c r="D50" s="235"/>
      <c r="E50" s="237">
        <f>Données!AF50+Données!AG50+Données!AH50</f>
        <v>76884</v>
      </c>
      <c r="F50" s="235">
        <f t="shared" si="3"/>
        <v>84296.109473684221</v>
      </c>
      <c r="G50" s="8">
        <f t="shared" si="4"/>
        <v>0</v>
      </c>
      <c r="H50" s="316">
        <f t="shared" si="5"/>
        <v>0</v>
      </c>
      <c r="J50" s="8">
        <f>Données!AN50</f>
        <v>3977</v>
      </c>
      <c r="K50" s="215">
        <f t="shared" si="6"/>
        <v>10537.013684210528</v>
      </c>
      <c r="L50" s="12">
        <f t="shared" si="7"/>
        <v>0</v>
      </c>
      <c r="M50" s="316">
        <f t="shared" si="8"/>
        <v>0</v>
      </c>
      <c r="O50" s="42">
        <f t="shared" si="9"/>
        <v>0</v>
      </c>
      <c r="P50" s="273"/>
      <c r="Q50" s="228"/>
      <c r="R50" s="228"/>
      <c r="S50" s="228"/>
      <c r="T50" s="228"/>
      <c r="U50" s="228"/>
      <c r="AF50" s="11"/>
      <c r="AG50" s="11"/>
      <c r="AH50" s="11"/>
      <c r="AI50" s="11"/>
      <c r="AJ50" s="11"/>
      <c r="AK50" s="11"/>
      <c r="AL50" s="11"/>
    </row>
    <row r="51" spans="1:38" x14ac:dyDescent="0.25">
      <c r="A51" s="38">
        <f>+Données!A51</f>
        <v>5484</v>
      </c>
      <c r="B51" s="249" t="str">
        <f>+Données!B51</f>
        <v>Gollion</v>
      </c>
      <c r="C51" s="237">
        <f>+Ecrêtage!C51</f>
        <v>35949.064324324332</v>
      </c>
      <c r="D51" s="235"/>
      <c r="E51" s="237">
        <f>Données!AF51+Données!AG51+Données!AH51</f>
        <v>458830</v>
      </c>
      <c r="F51" s="235">
        <f t="shared" si="3"/>
        <v>287592.51459459466</v>
      </c>
      <c r="G51" s="8">
        <f t="shared" si="4"/>
        <v>171237.48540540534</v>
      </c>
      <c r="H51" s="316">
        <f t="shared" si="5"/>
        <v>-128428.11405405401</v>
      </c>
      <c r="J51" s="8">
        <f>Données!AN51</f>
        <v>82152</v>
      </c>
      <c r="K51" s="215">
        <f t="shared" si="6"/>
        <v>35949.064324324332</v>
      </c>
      <c r="L51" s="12">
        <f t="shared" si="7"/>
        <v>46202.935675675668</v>
      </c>
      <c r="M51" s="316">
        <f t="shared" si="8"/>
        <v>-34652.201756756753</v>
      </c>
      <c r="O51" s="42">
        <f t="shared" si="9"/>
        <v>-163080.31581081077</v>
      </c>
      <c r="P51" s="273"/>
      <c r="Q51" s="228"/>
      <c r="R51" s="228"/>
      <c r="S51" s="228"/>
      <c r="T51" s="228"/>
      <c r="U51" s="228"/>
      <c r="AF51" s="11"/>
      <c r="AG51" s="11"/>
      <c r="AH51" s="11"/>
      <c r="AI51" s="11"/>
      <c r="AJ51" s="11"/>
      <c r="AK51" s="11"/>
      <c r="AL51" s="11"/>
    </row>
    <row r="52" spans="1:38" x14ac:dyDescent="0.25">
      <c r="A52" s="38">
        <f>+Données!A52</f>
        <v>5485</v>
      </c>
      <c r="B52" s="249" t="str">
        <f>+Données!B52</f>
        <v>Grancy</v>
      </c>
      <c r="C52" s="237">
        <f>+Ecrêtage!C52</f>
        <v>24486.752</v>
      </c>
      <c r="D52" s="235"/>
      <c r="E52" s="237">
        <f>Données!AF52+Données!AG52+Données!AH52</f>
        <v>135295</v>
      </c>
      <c r="F52" s="235">
        <f t="shared" si="3"/>
        <v>195894.016</v>
      </c>
      <c r="G52" s="8">
        <f t="shared" si="4"/>
        <v>0</v>
      </c>
      <c r="H52" s="316">
        <f t="shared" si="5"/>
        <v>0</v>
      </c>
      <c r="J52" s="8">
        <f>Données!AN52</f>
        <v>78815</v>
      </c>
      <c r="K52" s="215">
        <f t="shared" si="6"/>
        <v>24486.752</v>
      </c>
      <c r="L52" s="12">
        <f t="shared" si="7"/>
        <v>54328.248</v>
      </c>
      <c r="M52" s="316">
        <f t="shared" si="8"/>
        <v>-40746.186000000002</v>
      </c>
      <c r="O52" s="42">
        <f t="shared" si="9"/>
        <v>-40746.186000000002</v>
      </c>
      <c r="P52" s="273"/>
      <c r="Q52" s="228"/>
      <c r="R52" s="228"/>
      <c r="S52" s="228"/>
      <c r="T52" s="228"/>
      <c r="U52" s="228"/>
      <c r="AF52" s="11"/>
      <c r="AG52" s="11"/>
      <c r="AH52" s="11"/>
      <c r="AI52" s="11"/>
      <c r="AJ52" s="11"/>
      <c r="AK52" s="11"/>
      <c r="AL52" s="11"/>
    </row>
    <row r="53" spans="1:38" x14ac:dyDescent="0.25">
      <c r="A53" s="38">
        <f>+Données!A53</f>
        <v>5486</v>
      </c>
      <c r="B53" s="249" t="str">
        <f>+Données!B53</f>
        <v>L'Isle</v>
      </c>
      <c r="C53" s="237">
        <f>+Ecrêtage!C53</f>
        <v>29228.321066666667</v>
      </c>
      <c r="D53" s="235"/>
      <c r="E53" s="237">
        <f>Données!AF53+Données!AG53+Données!AH53</f>
        <v>620706</v>
      </c>
      <c r="F53" s="235">
        <f t="shared" si="3"/>
        <v>233826.56853333334</v>
      </c>
      <c r="G53" s="8">
        <f t="shared" si="4"/>
        <v>386879.43146666663</v>
      </c>
      <c r="H53" s="316">
        <f t="shared" si="5"/>
        <v>-290159.5736</v>
      </c>
      <c r="J53" s="8">
        <f>Données!AN53</f>
        <v>112778</v>
      </c>
      <c r="K53" s="215">
        <f t="shared" si="6"/>
        <v>29228.321066666667</v>
      </c>
      <c r="L53" s="12">
        <f t="shared" si="7"/>
        <v>83549.678933333329</v>
      </c>
      <c r="M53" s="316">
        <f t="shared" si="8"/>
        <v>-62662.2592</v>
      </c>
      <c r="O53" s="42">
        <f t="shared" si="9"/>
        <v>-352821.83279999997</v>
      </c>
      <c r="P53" s="273"/>
      <c r="Q53" s="228"/>
      <c r="R53" s="228"/>
      <c r="S53" s="228"/>
      <c r="T53" s="228"/>
      <c r="U53" s="228"/>
      <c r="AF53" s="11"/>
      <c r="AG53" s="11"/>
      <c r="AH53" s="11"/>
      <c r="AI53" s="11"/>
      <c r="AJ53" s="11"/>
      <c r="AK53" s="11"/>
      <c r="AL53" s="11"/>
    </row>
    <row r="54" spans="1:38" x14ac:dyDescent="0.25">
      <c r="A54" s="38">
        <f>+Données!A54</f>
        <v>5487</v>
      </c>
      <c r="B54" s="249" t="str">
        <f>+Données!B54</f>
        <v>Lussery-Villars</v>
      </c>
      <c r="C54" s="237">
        <f>+Ecrêtage!C54</f>
        <v>16622.186533333337</v>
      </c>
      <c r="D54" s="235"/>
      <c r="E54" s="237">
        <f>Données!AF54+Données!AG54+Données!AH54</f>
        <v>164653</v>
      </c>
      <c r="F54" s="235">
        <f t="shared" si="3"/>
        <v>132977.4922666667</v>
      </c>
      <c r="G54" s="8">
        <f t="shared" si="4"/>
        <v>31675.507733333303</v>
      </c>
      <c r="H54" s="316">
        <f t="shared" si="5"/>
        <v>-23756.630799999977</v>
      </c>
      <c r="J54" s="8">
        <f>Données!AN54</f>
        <v>1490</v>
      </c>
      <c r="K54" s="215">
        <f t="shared" si="6"/>
        <v>16622.186533333337</v>
      </c>
      <c r="L54" s="12">
        <f t="shared" si="7"/>
        <v>0</v>
      </c>
      <c r="M54" s="316">
        <f t="shared" si="8"/>
        <v>0</v>
      </c>
      <c r="O54" s="42">
        <f t="shared" si="9"/>
        <v>-23756.630799999977</v>
      </c>
      <c r="P54" s="273"/>
      <c r="Q54" s="228"/>
      <c r="R54" s="228"/>
      <c r="S54" s="228"/>
      <c r="T54" s="228"/>
      <c r="U54" s="228"/>
      <c r="AF54" s="11"/>
      <c r="AG54" s="11"/>
      <c r="AH54" s="11"/>
      <c r="AI54" s="11"/>
      <c r="AJ54" s="11"/>
      <c r="AK54" s="11"/>
      <c r="AL54" s="11"/>
    </row>
    <row r="55" spans="1:38" x14ac:dyDescent="0.25">
      <c r="A55" s="38">
        <f>+Données!A55</f>
        <v>5488</v>
      </c>
      <c r="B55" s="249" t="str">
        <f>+Données!B55</f>
        <v>Mauraz</v>
      </c>
      <c r="C55" s="237">
        <f>+Ecrêtage!C55</f>
        <v>1729.1580519480517</v>
      </c>
      <c r="D55" s="235"/>
      <c r="E55" s="237">
        <f>Données!AF55+Données!AG55+Données!AH55</f>
        <v>4741</v>
      </c>
      <c r="F55" s="235">
        <f t="shared" si="3"/>
        <v>13833.264415584414</v>
      </c>
      <c r="G55" s="8">
        <f t="shared" si="4"/>
        <v>0</v>
      </c>
      <c r="H55" s="316">
        <f t="shared" si="5"/>
        <v>0</v>
      </c>
      <c r="J55" s="8">
        <f>Données!AN55</f>
        <v>0</v>
      </c>
      <c r="K55" s="215">
        <f t="shared" si="6"/>
        <v>1729.1580519480517</v>
      </c>
      <c r="L55" s="12">
        <f t="shared" si="7"/>
        <v>0</v>
      </c>
      <c r="M55" s="316">
        <f t="shared" si="8"/>
        <v>0</v>
      </c>
      <c r="O55" s="42">
        <f t="shared" si="9"/>
        <v>0</v>
      </c>
      <c r="P55" s="273"/>
      <c r="Q55" s="228"/>
      <c r="R55" s="228"/>
      <c r="S55" s="228"/>
      <c r="T55" s="228"/>
      <c r="U55" s="228"/>
      <c r="AF55" s="11"/>
      <c r="AG55" s="11"/>
      <c r="AH55" s="11"/>
      <c r="AI55" s="11"/>
      <c r="AJ55" s="11"/>
      <c r="AK55" s="11"/>
      <c r="AL55" s="11"/>
    </row>
    <row r="56" spans="1:38" x14ac:dyDescent="0.25">
      <c r="A56" s="38">
        <f>+Données!A56</f>
        <v>5489</v>
      </c>
      <c r="B56" s="249" t="str">
        <f>+Données!B56</f>
        <v>Mex</v>
      </c>
      <c r="C56" s="237">
        <f>+Ecrêtage!C56</f>
        <v>50433.121512605037</v>
      </c>
      <c r="D56" s="235"/>
      <c r="E56" s="237">
        <f>Données!AF56+Données!AG56+Données!AH56</f>
        <v>240040</v>
      </c>
      <c r="F56" s="235">
        <f t="shared" si="3"/>
        <v>403464.9721008403</v>
      </c>
      <c r="G56" s="8">
        <f t="shared" si="4"/>
        <v>0</v>
      </c>
      <c r="H56" s="316">
        <f t="shared" si="5"/>
        <v>0</v>
      </c>
      <c r="J56" s="8">
        <f>Données!AN56</f>
        <v>37608</v>
      </c>
      <c r="K56" s="215">
        <f t="shared" si="6"/>
        <v>50433.121512605037</v>
      </c>
      <c r="L56" s="12">
        <f t="shared" si="7"/>
        <v>0</v>
      </c>
      <c r="M56" s="316">
        <f t="shared" si="8"/>
        <v>0</v>
      </c>
      <c r="O56" s="42">
        <f t="shared" si="9"/>
        <v>0</v>
      </c>
      <c r="P56" s="273"/>
      <c r="Q56" s="228"/>
      <c r="R56" s="228"/>
      <c r="S56" s="228"/>
      <c r="T56" s="228"/>
      <c r="U56" s="228"/>
      <c r="AF56" s="11"/>
      <c r="AG56" s="11"/>
      <c r="AH56" s="11"/>
      <c r="AI56" s="11"/>
      <c r="AJ56" s="11"/>
      <c r="AK56" s="11"/>
      <c r="AL56" s="11"/>
    </row>
    <row r="57" spans="1:38" x14ac:dyDescent="0.25">
      <c r="A57" s="38">
        <f>+Données!A57</f>
        <v>5490</v>
      </c>
      <c r="B57" s="249" t="str">
        <f>+Données!B57</f>
        <v>Moiry</v>
      </c>
      <c r="C57" s="237">
        <f>+Ecrêtage!C57</f>
        <v>9056.7353548387091</v>
      </c>
      <c r="D57" s="235"/>
      <c r="E57" s="237">
        <f>Données!AF57+Données!AG57+Données!AH57</f>
        <v>89962</v>
      </c>
      <c r="F57" s="235">
        <f t="shared" si="3"/>
        <v>72453.882838709673</v>
      </c>
      <c r="G57" s="8">
        <f t="shared" si="4"/>
        <v>17508.117161290327</v>
      </c>
      <c r="H57" s="316">
        <f t="shared" si="5"/>
        <v>-13131.087870967745</v>
      </c>
      <c r="J57" s="8">
        <f>Données!AN57</f>
        <v>584</v>
      </c>
      <c r="K57" s="215">
        <f t="shared" si="6"/>
        <v>9056.7353548387091</v>
      </c>
      <c r="L57" s="12">
        <f t="shared" si="7"/>
        <v>0</v>
      </c>
      <c r="M57" s="316">
        <f t="shared" si="8"/>
        <v>0</v>
      </c>
      <c r="O57" s="42">
        <f t="shared" si="9"/>
        <v>-13131.087870967745</v>
      </c>
      <c r="P57" s="273"/>
      <c r="Q57" s="228"/>
      <c r="R57" s="228"/>
      <c r="S57" s="228"/>
      <c r="T57" s="228"/>
      <c r="U57" s="228"/>
      <c r="AF57" s="11"/>
      <c r="AG57" s="11"/>
      <c r="AH57" s="11"/>
      <c r="AI57" s="11"/>
      <c r="AJ57" s="11"/>
      <c r="AK57" s="11"/>
      <c r="AL57" s="11"/>
    </row>
    <row r="58" spans="1:38" x14ac:dyDescent="0.25">
      <c r="A58" s="38">
        <f>+Données!A58</f>
        <v>5491</v>
      </c>
      <c r="B58" s="249" t="str">
        <f>+Données!B58</f>
        <v>Mont-la-Ville</v>
      </c>
      <c r="C58" s="237">
        <f>+Ecrêtage!C58</f>
        <v>13648.672236842105</v>
      </c>
      <c r="D58" s="235"/>
      <c r="E58" s="237">
        <f>Données!AF58+Données!AG58+Données!AH58</f>
        <v>340651</v>
      </c>
      <c r="F58" s="235">
        <f t="shared" si="3"/>
        <v>109189.37789473684</v>
      </c>
      <c r="G58" s="8">
        <f t="shared" si="4"/>
        <v>231461.62210526317</v>
      </c>
      <c r="H58" s="316">
        <f t="shared" si="5"/>
        <v>-173596.21657894738</v>
      </c>
      <c r="J58" s="8">
        <f>Données!AN58</f>
        <v>-60973</v>
      </c>
      <c r="K58" s="215">
        <f t="shared" si="6"/>
        <v>13648.672236842105</v>
      </c>
      <c r="L58" s="12">
        <f t="shared" si="7"/>
        <v>0</v>
      </c>
      <c r="M58" s="316">
        <f t="shared" si="8"/>
        <v>0</v>
      </c>
      <c r="O58" s="42">
        <f t="shared" si="9"/>
        <v>-173596.21657894738</v>
      </c>
      <c r="P58" s="273"/>
      <c r="Q58" s="228"/>
      <c r="R58" s="228"/>
      <c r="S58" s="228"/>
      <c r="T58" s="228"/>
      <c r="U58" s="228"/>
      <c r="AF58" s="11"/>
      <c r="AG58" s="11"/>
      <c r="AH58" s="11"/>
      <c r="AI58" s="11"/>
      <c r="AJ58" s="11"/>
      <c r="AK58" s="11"/>
      <c r="AL58" s="11"/>
    </row>
    <row r="59" spans="1:38" x14ac:dyDescent="0.25">
      <c r="A59" s="38">
        <f>+Données!A59</f>
        <v>5492</v>
      </c>
      <c r="B59" s="249" t="str">
        <f>+Données!B59</f>
        <v>Montricher</v>
      </c>
      <c r="C59" s="237">
        <f>+Ecrêtage!C59</f>
        <v>175265.155</v>
      </c>
      <c r="D59" s="235"/>
      <c r="E59" s="237">
        <f>Données!AF59+Données!AG59+Données!AH59</f>
        <v>402621</v>
      </c>
      <c r="F59" s="235">
        <f t="shared" si="3"/>
        <v>1402121.24</v>
      </c>
      <c r="G59" s="8">
        <f t="shared" si="4"/>
        <v>0</v>
      </c>
      <c r="H59" s="316">
        <f t="shared" si="5"/>
        <v>0</v>
      </c>
      <c r="J59" s="8">
        <f>Données!AN59</f>
        <v>402325</v>
      </c>
      <c r="K59" s="215">
        <f t="shared" si="6"/>
        <v>175265.155</v>
      </c>
      <c r="L59" s="12">
        <f t="shared" si="7"/>
        <v>227059.845</v>
      </c>
      <c r="M59" s="316">
        <f t="shared" si="8"/>
        <v>-170294.88375000001</v>
      </c>
      <c r="O59" s="42">
        <f t="shared" si="9"/>
        <v>-170294.88375000001</v>
      </c>
      <c r="P59" s="273"/>
      <c r="Q59" s="228"/>
      <c r="R59" s="228"/>
      <c r="S59" s="228"/>
      <c r="T59" s="228"/>
      <c r="U59" s="228"/>
      <c r="AF59" s="11"/>
      <c r="AG59" s="11"/>
      <c r="AH59" s="11"/>
      <c r="AI59" s="11"/>
      <c r="AJ59" s="11"/>
      <c r="AK59" s="11"/>
      <c r="AL59" s="11"/>
    </row>
    <row r="60" spans="1:38" x14ac:dyDescent="0.25">
      <c r="A60" s="38">
        <f>+Données!A60</f>
        <v>5493</v>
      </c>
      <c r="B60" s="249" t="str">
        <f>+Données!B60</f>
        <v>Orny</v>
      </c>
      <c r="C60" s="237">
        <f>+Ecrêtage!C60</f>
        <v>13489.645489989463</v>
      </c>
      <c r="D60" s="235"/>
      <c r="E60" s="237">
        <f>Données!AF60+Données!AG60+Données!AH60</f>
        <v>106485</v>
      </c>
      <c r="F60" s="235">
        <f t="shared" si="3"/>
        <v>107917.16391991571</v>
      </c>
      <c r="G60" s="8">
        <f t="shared" si="4"/>
        <v>0</v>
      </c>
      <c r="H60" s="316">
        <f t="shared" si="5"/>
        <v>0</v>
      </c>
      <c r="J60" s="8">
        <f>Données!AN60</f>
        <v>10141</v>
      </c>
      <c r="K60" s="215">
        <f t="shared" si="6"/>
        <v>13489.645489989463</v>
      </c>
      <c r="L60" s="12">
        <f t="shared" si="7"/>
        <v>0</v>
      </c>
      <c r="M60" s="316">
        <f t="shared" si="8"/>
        <v>0</v>
      </c>
      <c r="O60" s="42">
        <f t="shared" si="9"/>
        <v>0</v>
      </c>
      <c r="P60" s="273"/>
      <c r="Q60" s="228"/>
      <c r="R60" s="228"/>
      <c r="S60" s="228"/>
      <c r="T60" s="228"/>
      <c r="U60" s="228"/>
      <c r="AF60" s="11"/>
      <c r="AG60" s="11"/>
      <c r="AH60" s="11"/>
      <c r="AI60" s="11"/>
      <c r="AJ60" s="11"/>
      <c r="AK60" s="11"/>
      <c r="AL60" s="11"/>
    </row>
    <row r="61" spans="1:38" x14ac:dyDescent="0.25">
      <c r="A61" s="38">
        <f>+Données!A61</f>
        <v>5495</v>
      </c>
      <c r="B61" s="249" t="str">
        <f>+Données!B61</f>
        <v>Penthalaz</v>
      </c>
      <c r="C61" s="237">
        <f>+Ecrêtage!C61</f>
        <v>95307.914324324302</v>
      </c>
      <c r="D61" s="235"/>
      <c r="E61" s="237">
        <f>Données!AF61+Données!AG61+Données!AH61</f>
        <v>1622820</v>
      </c>
      <c r="F61" s="235">
        <f t="shared" si="3"/>
        <v>762463.31459459441</v>
      </c>
      <c r="G61" s="8">
        <f t="shared" si="4"/>
        <v>860356.68540540559</v>
      </c>
      <c r="H61" s="316">
        <f t="shared" si="5"/>
        <v>-645267.51405405416</v>
      </c>
      <c r="J61" s="8">
        <f>Données!AN61</f>
        <v>89458</v>
      </c>
      <c r="K61" s="215">
        <f t="shared" si="6"/>
        <v>95307.914324324302</v>
      </c>
      <c r="L61" s="12">
        <f t="shared" si="7"/>
        <v>0</v>
      </c>
      <c r="M61" s="316">
        <f t="shared" si="8"/>
        <v>0</v>
      </c>
      <c r="O61" s="42">
        <f t="shared" si="9"/>
        <v>-645267.51405405416</v>
      </c>
      <c r="P61" s="273"/>
      <c r="Q61" s="228"/>
      <c r="R61" s="228"/>
      <c r="S61" s="228"/>
      <c r="T61" s="228"/>
      <c r="U61" s="228"/>
      <c r="AF61" s="11"/>
      <c r="AG61" s="11"/>
      <c r="AH61" s="11"/>
      <c r="AI61" s="11"/>
      <c r="AJ61" s="11"/>
      <c r="AK61" s="11"/>
      <c r="AL61" s="11"/>
    </row>
    <row r="62" spans="1:38" x14ac:dyDescent="0.25">
      <c r="A62" s="38">
        <f>+Données!A62</f>
        <v>5496</v>
      </c>
      <c r="B62" s="249" t="str">
        <f>+Données!B62</f>
        <v>Penthaz</v>
      </c>
      <c r="C62" s="237">
        <f>+Ecrêtage!C62</f>
        <v>56262.398705035986</v>
      </c>
      <c r="D62" s="235"/>
      <c r="E62" s="237">
        <f>Données!AF62+Données!AG62+Données!AH62</f>
        <v>825636</v>
      </c>
      <c r="F62" s="235">
        <f t="shared" si="3"/>
        <v>450099.18964028789</v>
      </c>
      <c r="G62" s="8">
        <f t="shared" si="4"/>
        <v>375536.81035971211</v>
      </c>
      <c r="H62" s="316">
        <f t="shared" si="5"/>
        <v>-281652.60776978405</v>
      </c>
      <c r="J62" s="8">
        <f>Données!AN62</f>
        <v>13939</v>
      </c>
      <c r="K62" s="215">
        <f t="shared" si="6"/>
        <v>56262.398705035986</v>
      </c>
      <c r="L62" s="12">
        <f t="shared" si="7"/>
        <v>0</v>
      </c>
      <c r="M62" s="316">
        <f t="shared" si="8"/>
        <v>0</v>
      </c>
      <c r="O62" s="42">
        <f t="shared" si="9"/>
        <v>-281652.60776978405</v>
      </c>
      <c r="P62" s="273"/>
      <c r="Q62" s="228"/>
      <c r="R62" s="228"/>
      <c r="S62" s="228"/>
      <c r="T62" s="228"/>
      <c r="U62" s="228"/>
      <c r="AF62" s="11"/>
      <c r="AG62" s="11"/>
      <c r="AH62" s="11"/>
      <c r="AI62" s="11"/>
      <c r="AJ62" s="11"/>
      <c r="AK62" s="11"/>
      <c r="AL62" s="11"/>
    </row>
    <row r="63" spans="1:38" x14ac:dyDescent="0.25">
      <c r="A63" s="38">
        <f>+Données!A63</f>
        <v>5497</v>
      </c>
      <c r="B63" s="249" t="str">
        <f>+Données!B63</f>
        <v>Pompaples</v>
      </c>
      <c r="C63" s="237">
        <f>+Ecrêtage!C63</f>
        <v>22253.218787878792</v>
      </c>
      <c r="D63" s="235"/>
      <c r="E63" s="237">
        <f>Données!AF63+Données!AG63+Données!AH63</f>
        <v>340062</v>
      </c>
      <c r="F63" s="235">
        <f t="shared" si="3"/>
        <v>178025.75030303033</v>
      </c>
      <c r="G63" s="8">
        <f t="shared" si="4"/>
        <v>162036.24969696967</v>
      </c>
      <c r="H63" s="316">
        <f t="shared" si="5"/>
        <v>-121527.18727272726</v>
      </c>
      <c r="J63" s="8">
        <f>Données!AN63</f>
        <v>11133</v>
      </c>
      <c r="K63" s="215">
        <f t="shared" si="6"/>
        <v>22253.218787878792</v>
      </c>
      <c r="L63" s="12">
        <f t="shared" si="7"/>
        <v>0</v>
      </c>
      <c r="M63" s="316">
        <f t="shared" si="8"/>
        <v>0</v>
      </c>
      <c r="O63" s="42">
        <f t="shared" si="9"/>
        <v>-121527.18727272726</v>
      </c>
      <c r="P63" s="273"/>
      <c r="Q63" s="228"/>
      <c r="R63" s="228"/>
      <c r="S63" s="228"/>
      <c r="T63" s="228"/>
      <c r="U63" s="228"/>
      <c r="AF63" s="11"/>
      <c r="AG63" s="11"/>
      <c r="AH63" s="11"/>
      <c r="AI63" s="11"/>
      <c r="AJ63" s="11"/>
      <c r="AK63" s="11"/>
      <c r="AL63" s="11"/>
    </row>
    <row r="64" spans="1:38" x14ac:dyDescent="0.25">
      <c r="A64" s="38">
        <f>+Données!A64</f>
        <v>5498</v>
      </c>
      <c r="B64" s="249" t="str">
        <f>+Données!B64</f>
        <v>La Sarraz</v>
      </c>
      <c r="C64" s="237">
        <f>+Ecrêtage!C64</f>
        <v>74676.731060606064</v>
      </c>
      <c r="D64" s="235"/>
      <c r="E64" s="237">
        <f>Données!AF64+Données!AG64+Données!AH64</f>
        <v>1308579</v>
      </c>
      <c r="F64" s="235">
        <f t="shared" si="3"/>
        <v>597413.84848484851</v>
      </c>
      <c r="G64" s="8">
        <f t="shared" si="4"/>
        <v>711165.15151515149</v>
      </c>
      <c r="H64" s="316">
        <f t="shared" si="5"/>
        <v>-533373.86363636365</v>
      </c>
      <c r="J64" s="8">
        <f>Données!AN64</f>
        <v>32308</v>
      </c>
      <c r="K64" s="215">
        <f t="shared" si="6"/>
        <v>74676.731060606064</v>
      </c>
      <c r="L64" s="12">
        <f t="shared" si="7"/>
        <v>0</v>
      </c>
      <c r="M64" s="316">
        <f t="shared" si="8"/>
        <v>0</v>
      </c>
      <c r="O64" s="42">
        <f t="shared" si="9"/>
        <v>-533373.86363636365</v>
      </c>
      <c r="P64" s="273"/>
      <c r="Q64" s="228"/>
      <c r="R64" s="228"/>
      <c r="S64" s="228"/>
      <c r="T64" s="228"/>
      <c r="U64" s="228"/>
      <c r="AF64" s="11"/>
      <c r="AG64" s="11"/>
      <c r="AH64" s="11"/>
      <c r="AI64" s="11"/>
      <c r="AJ64" s="11"/>
      <c r="AK64" s="11"/>
      <c r="AL64" s="11"/>
    </row>
    <row r="65" spans="1:38" x14ac:dyDescent="0.25">
      <c r="A65" s="38">
        <f>+Données!A65</f>
        <v>5499</v>
      </c>
      <c r="B65" s="249" t="str">
        <f>+Données!B65</f>
        <v>Senarclens</v>
      </c>
      <c r="C65" s="237">
        <f>+Ecrêtage!C65</f>
        <v>18237.495182481751</v>
      </c>
      <c r="D65" s="235"/>
      <c r="E65" s="237">
        <f>Données!AF65+Données!AG65+Données!AH65</f>
        <v>371099</v>
      </c>
      <c r="F65" s="235">
        <f t="shared" si="3"/>
        <v>145899.96145985401</v>
      </c>
      <c r="G65" s="8">
        <f t="shared" si="4"/>
        <v>225199.03854014599</v>
      </c>
      <c r="H65" s="316">
        <f t="shared" si="5"/>
        <v>-168899.2789051095</v>
      </c>
      <c r="J65" s="8">
        <f>Données!AN65</f>
        <v>8306</v>
      </c>
      <c r="K65" s="215">
        <f t="shared" si="6"/>
        <v>18237.495182481751</v>
      </c>
      <c r="L65" s="12">
        <f t="shared" si="7"/>
        <v>0</v>
      </c>
      <c r="M65" s="316">
        <f t="shared" si="8"/>
        <v>0</v>
      </c>
      <c r="O65" s="42">
        <f t="shared" si="9"/>
        <v>-168899.2789051095</v>
      </c>
      <c r="P65" s="273"/>
      <c r="Q65" s="228"/>
      <c r="R65" s="228"/>
      <c r="S65" s="228"/>
      <c r="T65" s="228"/>
      <c r="U65" s="228"/>
      <c r="AF65" s="11"/>
      <c r="AG65" s="11"/>
      <c r="AH65" s="11"/>
      <c r="AI65" s="11"/>
      <c r="AJ65" s="11"/>
      <c r="AK65" s="11"/>
      <c r="AL65" s="11"/>
    </row>
    <row r="66" spans="1:38" x14ac:dyDescent="0.25">
      <c r="A66" s="38">
        <f>+Données!A66</f>
        <v>5501</v>
      </c>
      <c r="B66" s="249" t="str">
        <f>+Données!B66</f>
        <v>Sullens</v>
      </c>
      <c r="C66" s="237">
        <f>+Ecrêtage!C66</f>
        <v>43189.9197080292</v>
      </c>
      <c r="D66" s="235"/>
      <c r="E66" s="237">
        <f>Données!AF66+Données!AG66+Données!AH66</f>
        <v>378602</v>
      </c>
      <c r="F66" s="235">
        <f t="shared" si="3"/>
        <v>345519.3576642336</v>
      </c>
      <c r="G66" s="8">
        <f t="shared" si="4"/>
        <v>33082.642335766403</v>
      </c>
      <c r="H66" s="316">
        <f t="shared" si="5"/>
        <v>-24811.981751824802</v>
      </c>
      <c r="J66" s="8">
        <f>Données!AN66</f>
        <v>53251</v>
      </c>
      <c r="K66" s="215">
        <f t="shared" si="6"/>
        <v>43189.9197080292</v>
      </c>
      <c r="L66" s="12">
        <f t="shared" si="7"/>
        <v>10061.0802919708</v>
      </c>
      <c r="M66" s="316">
        <f t="shared" si="8"/>
        <v>-7545.8102189781002</v>
      </c>
      <c r="O66" s="42">
        <f t="shared" si="9"/>
        <v>-32357.7919708029</v>
      </c>
      <c r="P66" s="273"/>
      <c r="Q66" s="228"/>
      <c r="R66" s="228"/>
      <c r="S66" s="228"/>
      <c r="T66" s="228"/>
      <c r="U66" s="228"/>
      <c r="AF66" s="11"/>
      <c r="AG66" s="11"/>
      <c r="AH66" s="11"/>
      <c r="AI66" s="11"/>
      <c r="AJ66" s="11"/>
      <c r="AK66" s="11"/>
      <c r="AL66" s="11"/>
    </row>
    <row r="67" spans="1:38" x14ac:dyDescent="0.25">
      <c r="A67" s="38">
        <f>+Données!A67</f>
        <v>5503</v>
      </c>
      <c r="B67" s="249" t="str">
        <f>+Données!B67</f>
        <v>Vufflens-la-Ville</v>
      </c>
      <c r="C67" s="237">
        <f>+Ecrêtage!C67</f>
        <v>79644.71771144279</v>
      </c>
      <c r="D67" s="235"/>
      <c r="E67" s="237">
        <f>Données!AF67+Données!AG67+Données!AH67</f>
        <v>404784</v>
      </c>
      <c r="F67" s="235">
        <f t="shared" si="3"/>
        <v>637157.74169154232</v>
      </c>
      <c r="G67" s="8">
        <f t="shared" si="4"/>
        <v>0</v>
      </c>
      <c r="H67" s="316">
        <f t="shared" si="5"/>
        <v>0</v>
      </c>
      <c r="J67" s="8">
        <f>Données!AN67</f>
        <v>47207</v>
      </c>
      <c r="K67" s="215">
        <f t="shared" si="6"/>
        <v>79644.71771144279</v>
      </c>
      <c r="L67" s="12">
        <f t="shared" si="7"/>
        <v>0</v>
      </c>
      <c r="M67" s="316">
        <f t="shared" si="8"/>
        <v>0</v>
      </c>
      <c r="O67" s="42">
        <f t="shared" si="9"/>
        <v>0</v>
      </c>
      <c r="P67" s="273"/>
      <c r="Q67" s="228"/>
      <c r="R67" s="228"/>
      <c r="S67" s="228"/>
      <c r="T67" s="228"/>
      <c r="U67" s="228"/>
      <c r="AF67" s="11"/>
      <c r="AG67" s="11"/>
      <c r="AH67" s="11"/>
      <c r="AI67" s="11"/>
      <c r="AJ67" s="11"/>
      <c r="AK67" s="11"/>
      <c r="AL67" s="11"/>
    </row>
    <row r="68" spans="1:38" x14ac:dyDescent="0.25">
      <c r="A68" s="38">
        <f>+Données!A68</f>
        <v>5511</v>
      </c>
      <c r="B68" s="249" t="str">
        <f>+Données!B68</f>
        <v>Assens</v>
      </c>
      <c r="C68" s="237">
        <f>+Ecrêtage!C68</f>
        <v>70063.08636788046</v>
      </c>
      <c r="D68" s="235"/>
      <c r="E68" s="237">
        <f>Données!AF68+Données!AG68+Données!AH68</f>
        <v>1285612</v>
      </c>
      <c r="F68" s="235">
        <f t="shared" si="3"/>
        <v>560504.69094304368</v>
      </c>
      <c r="G68" s="8">
        <f t="shared" si="4"/>
        <v>725107.30905695632</v>
      </c>
      <c r="H68" s="316">
        <f t="shared" si="5"/>
        <v>-543830.48179271724</v>
      </c>
      <c r="J68" s="8">
        <f>Données!AN68</f>
        <v>44781</v>
      </c>
      <c r="K68" s="215">
        <f t="shared" si="6"/>
        <v>70063.08636788046</v>
      </c>
      <c r="L68" s="12">
        <f t="shared" si="7"/>
        <v>0</v>
      </c>
      <c r="M68" s="316">
        <f t="shared" si="8"/>
        <v>0</v>
      </c>
      <c r="O68" s="42">
        <f t="shared" si="9"/>
        <v>-543830.48179271724</v>
      </c>
      <c r="P68" s="273"/>
      <c r="Q68" s="228"/>
      <c r="R68" s="228"/>
      <c r="S68" s="228"/>
      <c r="T68" s="228"/>
      <c r="U68" s="228"/>
      <c r="AF68" s="11"/>
      <c r="AG68" s="11"/>
      <c r="AH68" s="11"/>
      <c r="AI68" s="11"/>
      <c r="AJ68" s="11"/>
      <c r="AK68" s="11"/>
      <c r="AL68" s="11"/>
    </row>
    <row r="69" spans="1:38" x14ac:dyDescent="0.25">
      <c r="A69" s="38">
        <f>+Données!A69</f>
        <v>5512</v>
      </c>
      <c r="B69" s="249" t="str">
        <f>+Données!B69</f>
        <v>Bercher</v>
      </c>
      <c r="C69" s="237">
        <f>+Ecrêtage!C69</f>
        <v>40760.724050632911</v>
      </c>
      <c r="D69" s="235"/>
      <c r="E69" s="237">
        <f>Données!AF69+Données!AG69+Données!AH69</f>
        <v>633830</v>
      </c>
      <c r="F69" s="235">
        <f t="shared" si="3"/>
        <v>326085.79240506329</v>
      </c>
      <c r="G69" s="8">
        <f t="shared" si="4"/>
        <v>307744.20759493671</v>
      </c>
      <c r="H69" s="316">
        <f t="shared" si="5"/>
        <v>-230808.15569620254</v>
      </c>
      <c r="J69" s="8">
        <f>Données!AN69</f>
        <v>16074</v>
      </c>
      <c r="K69" s="215">
        <f t="shared" si="6"/>
        <v>40760.724050632911</v>
      </c>
      <c r="L69" s="12">
        <f t="shared" si="7"/>
        <v>0</v>
      </c>
      <c r="M69" s="316">
        <f t="shared" si="8"/>
        <v>0</v>
      </c>
      <c r="O69" s="42">
        <f t="shared" si="9"/>
        <v>-230808.15569620254</v>
      </c>
      <c r="P69" s="273"/>
      <c r="Q69" s="228"/>
      <c r="R69" s="228"/>
      <c r="S69" s="228"/>
      <c r="T69" s="228"/>
      <c r="U69" s="228"/>
      <c r="AF69" s="11"/>
      <c r="AG69" s="11"/>
      <c r="AH69" s="11"/>
      <c r="AI69" s="11"/>
      <c r="AJ69" s="11"/>
      <c r="AK69" s="11"/>
      <c r="AL69" s="11"/>
    </row>
    <row r="70" spans="1:38" x14ac:dyDescent="0.25">
      <c r="A70" s="38">
        <f>+Données!A70</f>
        <v>5514</v>
      </c>
      <c r="B70" s="249" t="str">
        <f>+Données!B70</f>
        <v>Bottens</v>
      </c>
      <c r="C70" s="237">
        <f>+Ecrêtage!C70</f>
        <v>44222.939448275865</v>
      </c>
      <c r="D70" s="235"/>
      <c r="E70" s="237">
        <f>Données!AF70+Données!AG70+Données!AH70</f>
        <v>410220</v>
      </c>
      <c r="F70" s="235">
        <f t="shared" si="3"/>
        <v>353783.51558620692</v>
      </c>
      <c r="G70" s="8">
        <f t="shared" si="4"/>
        <v>56436.484413793078</v>
      </c>
      <c r="H70" s="316">
        <f t="shared" si="5"/>
        <v>-42327.363310344808</v>
      </c>
      <c r="J70" s="8">
        <f>Données!AN70</f>
        <v>13006</v>
      </c>
      <c r="K70" s="215">
        <f t="shared" si="6"/>
        <v>44222.939448275865</v>
      </c>
      <c r="L70" s="12">
        <f t="shared" si="7"/>
        <v>0</v>
      </c>
      <c r="M70" s="316">
        <f t="shared" si="8"/>
        <v>0</v>
      </c>
      <c r="O70" s="42">
        <f t="shared" si="9"/>
        <v>-42327.363310344808</v>
      </c>
      <c r="P70" s="273"/>
      <c r="Q70" s="228"/>
      <c r="R70" s="228"/>
      <c r="S70" s="228"/>
      <c r="T70" s="228"/>
      <c r="U70" s="228"/>
      <c r="AF70" s="11"/>
      <c r="AG70" s="11"/>
      <c r="AH70" s="11"/>
      <c r="AI70" s="11"/>
      <c r="AJ70" s="11"/>
      <c r="AK70" s="11"/>
      <c r="AL70" s="11"/>
    </row>
    <row r="71" spans="1:38" x14ac:dyDescent="0.25">
      <c r="A71" s="38">
        <f>+Données!A71</f>
        <v>5515</v>
      </c>
      <c r="B71" s="249" t="str">
        <f>+Données!B71</f>
        <v>Bretigny-sur-Morrens</v>
      </c>
      <c r="C71" s="237">
        <f>+Ecrêtage!C71</f>
        <v>32347.747307692302</v>
      </c>
      <c r="D71" s="235"/>
      <c r="E71" s="237">
        <f>Données!AF71+Données!AG71+Données!AH71</f>
        <v>536786</v>
      </c>
      <c r="F71" s="235">
        <f t="shared" ref="F71:F134" si="10">+C71*$G$5</f>
        <v>258781.97846153841</v>
      </c>
      <c r="G71" s="8">
        <f t="shared" ref="G71:G134" si="11">IF(E71&gt;F71,E71-F71,0)</f>
        <v>278004.02153846156</v>
      </c>
      <c r="H71" s="316">
        <f t="shared" ref="H71:H134" si="12">-G71*H$5</f>
        <v>-208503.01615384617</v>
      </c>
      <c r="J71" s="8">
        <f>Données!AN71</f>
        <v>128373</v>
      </c>
      <c r="K71" s="215">
        <f t="shared" ref="K71:K134" si="13">C71*L$5</f>
        <v>32347.747307692302</v>
      </c>
      <c r="L71" s="12">
        <f t="shared" ref="L71:L134" si="14">IF(J71&gt;K71,J71-K71,0)</f>
        <v>96025.252692307695</v>
      </c>
      <c r="M71" s="316">
        <f t="shared" ref="M71:M134" si="15">-L71*M$5</f>
        <v>-72018.939519230771</v>
      </c>
      <c r="O71" s="42">
        <f t="shared" ref="O71:O134" si="16">M71+H71</f>
        <v>-280521.95567307691</v>
      </c>
      <c r="P71" s="273"/>
      <c r="Q71" s="228"/>
      <c r="R71" s="228"/>
      <c r="S71" s="228"/>
      <c r="T71" s="228"/>
      <c r="U71" s="228"/>
      <c r="AF71" s="11"/>
      <c r="AG71" s="11"/>
      <c r="AH71" s="11"/>
      <c r="AI71" s="11"/>
      <c r="AJ71" s="11"/>
      <c r="AK71" s="11"/>
      <c r="AL71" s="11"/>
    </row>
    <row r="72" spans="1:38" x14ac:dyDescent="0.25">
      <c r="A72" s="38">
        <f>+Données!A72</f>
        <v>5516</v>
      </c>
      <c r="B72" s="249" t="str">
        <f>+Données!B72</f>
        <v>Cugy</v>
      </c>
      <c r="C72" s="237">
        <f>+Ecrêtage!C72</f>
        <v>111596.10185897433</v>
      </c>
      <c r="D72" s="235"/>
      <c r="E72" s="237">
        <f>Données!AF72+Données!AG72+Données!AH72</f>
        <v>1246243</v>
      </c>
      <c r="F72" s="235">
        <f t="shared" si="10"/>
        <v>892768.81487179466</v>
      </c>
      <c r="G72" s="8">
        <f t="shared" si="11"/>
        <v>353474.18512820534</v>
      </c>
      <c r="H72" s="316">
        <f t="shared" si="12"/>
        <v>-265105.63884615398</v>
      </c>
      <c r="J72" s="8">
        <f>Données!AN72</f>
        <v>9396</v>
      </c>
      <c r="K72" s="215">
        <f t="shared" si="13"/>
        <v>111596.10185897433</v>
      </c>
      <c r="L72" s="12">
        <f t="shared" si="14"/>
        <v>0</v>
      </c>
      <c r="M72" s="316">
        <f t="shared" si="15"/>
        <v>0</v>
      </c>
      <c r="O72" s="42">
        <f t="shared" si="16"/>
        <v>-265105.63884615398</v>
      </c>
      <c r="P72" s="273"/>
      <c r="Q72" s="228"/>
      <c r="R72" s="228"/>
      <c r="S72" s="228"/>
      <c r="T72" s="228"/>
      <c r="U72" s="228"/>
      <c r="AF72" s="11"/>
      <c r="AG72" s="11"/>
      <c r="AH72" s="11"/>
      <c r="AI72" s="11"/>
      <c r="AJ72" s="11"/>
      <c r="AK72" s="11"/>
      <c r="AL72" s="11"/>
    </row>
    <row r="73" spans="1:38" x14ac:dyDescent="0.25">
      <c r="A73" s="38">
        <f>+Données!A73</f>
        <v>5518</v>
      </c>
      <c r="B73" s="249" t="str">
        <f>+Données!B73</f>
        <v>Echallens</v>
      </c>
      <c r="C73" s="237">
        <f>+Ecrêtage!C73</f>
        <v>183008.89172413788</v>
      </c>
      <c r="D73" s="235"/>
      <c r="E73" s="237">
        <f>Données!AF73+Données!AG73+Données!AH73</f>
        <v>3332553</v>
      </c>
      <c r="F73" s="235">
        <f t="shared" si="10"/>
        <v>1464071.133793103</v>
      </c>
      <c r="G73" s="8">
        <f t="shared" si="11"/>
        <v>1868481.866206897</v>
      </c>
      <c r="H73" s="316">
        <f t="shared" si="12"/>
        <v>-1401361.3996551726</v>
      </c>
      <c r="J73" s="8">
        <f>Données!AN73</f>
        <v>89832</v>
      </c>
      <c r="K73" s="215">
        <f t="shared" si="13"/>
        <v>183008.89172413788</v>
      </c>
      <c r="L73" s="12">
        <f t="shared" si="14"/>
        <v>0</v>
      </c>
      <c r="M73" s="316">
        <f t="shared" si="15"/>
        <v>0</v>
      </c>
      <c r="O73" s="42">
        <f t="shared" si="16"/>
        <v>-1401361.3996551726</v>
      </c>
      <c r="P73" s="273"/>
      <c r="Q73" s="228"/>
      <c r="R73" s="228"/>
      <c r="S73" s="228"/>
      <c r="T73" s="228"/>
      <c r="U73" s="228"/>
      <c r="AF73" s="11"/>
      <c r="AG73" s="11"/>
      <c r="AH73" s="11"/>
      <c r="AI73" s="11"/>
      <c r="AJ73" s="11"/>
      <c r="AK73" s="11"/>
      <c r="AL73" s="11"/>
    </row>
    <row r="74" spans="1:38" x14ac:dyDescent="0.25">
      <c r="A74" s="38">
        <f>+Données!A74</f>
        <v>5520</v>
      </c>
      <c r="B74" s="249" t="str">
        <f>+Données!B74</f>
        <v>Essertines-sur-Yverdon</v>
      </c>
      <c r="C74" s="237">
        <f>+Ecrêtage!C74</f>
        <v>31695.423698630133</v>
      </c>
      <c r="D74" s="235"/>
      <c r="E74" s="237">
        <f>Données!AF74+Données!AG74+Données!AH74</f>
        <v>509644</v>
      </c>
      <c r="F74" s="235">
        <f t="shared" si="10"/>
        <v>253563.38958904106</v>
      </c>
      <c r="G74" s="8">
        <f t="shared" si="11"/>
        <v>256080.61041095894</v>
      </c>
      <c r="H74" s="316">
        <f t="shared" si="12"/>
        <v>-192060.45780821919</v>
      </c>
      <c r="J74" s="8">
        <f>Données!AN74</f>
        <v>74299</v>
      </c>
      <c r="K74" s="215">
        <f t="shared" si="13"/>
        <v>31695.423698630133</v>
      </c>
      <c r="L74" s="12">
        <f t="shared" si="14"/>
        <v>42603.576301369867</v>
      </c>
      <c r="M74" s="316">
        <f t="shared" si="15"/>
        <v>-31952.682226027398</v>
      </c>
      <c r="O74" s="42">
        <f t="shared" si="16"/>
        <v>-224013.14003424658</v>
      </c>
      <c r="P74" s="273"/>
      <c r="Q74" s="228"/>
      <c r="R74" s="228"/>
      <c r="S74" s="228"/>
      <c r="T74" s="228"/>
      <c r="U74" s="228"/>
      <c r="AF74" s="11"/>
      <c r="AG74" s="11"/>
      <c r="AH74" s="11"/>
      <c r="AI74" s="11"/>
      <c r="AJ74" s="11"/>
      <c r="AK74" s="11"/>
      <c r="AL74" s="11"/>
    </row>
    <row r="75" spans="1:38" x14ac:dyDescent="0.25">
      <c r="A75" s="38">
        <f>+Données!A75</f>
        <v>5521</v>
      </c>
      <c r="B75" s="249" t="str">
        <f>+Données!B75</f>
        <v>Etagnières</v>
      </c>
      <c r="C75" s="237">
        <f>+Ecrêtage!C75</f>
        <v>42637.34945205479</v>
      </c>
      <c r="D75" s="235"/>
      <c r="E75" s="237">
        <f>Données!AF75+Données!AG75+Données!AH75</f>
        <v>470541</v>
      </c>
      <c r="F75" s="235">
        <f t="shared" si="10"/>
        <v>341098.79561643832</v>
      </c>
      <c r="G75" s="8">
        <f t="shared" si="11"/>
        <v>129442.20438356168</v>
      </c>
      <c r="H75" s="316">
        <f t="shared" si="12"/>
        <v>-97081.653287671259</v>
      </c>
      <c r="J75" s="8">
        <f>Données!AN75</f>
        <v>15286</v>
      </c>
      <c r="K75" s="215">
        <f t="shared" si="13"/>
        <v>42637.34945205479</v>
      </c>
      <c r="L75" s="12">
        <f t="shared" si="14"/>
        <v>0</v>
      </c>
      <c r="M75" s="316">
        <f t="shared" si="15"/>
        <v>0</v>
      </c>
      <c r="O75" s="42">
        <f t="shared" si="16"/>
        <v>-97081.653287671259</v>
      </c>
      <c r="P75" s="273"/>
      <c r="Q75" s="228"/>
      <c r="R75" s="228"/>
      <c r="S75" s="228"/>
      <c r="T75" s="228"/>
      <c r="U75" s="228"/>
      <c r="AF75" s="11"/>
      <c r="AG75" s="11"/>
      <c r="AH75" s="11"/>
      <c r="AI75" s="11"/>
      <c r="AJ75" s="11"/>
      <c r="AK75" s="11"/>
      <c r="AL75" s="11"/>
    </row>
    <row r="76" spans="1:38" x14ac:dyDescent="0.25">
      <c r="A76" s="38">
        <f>+Données!A76</f>
        <v>5522</v>
      </c>
      <c r="B76" s="249" t="str">
        <f>+Données!B76</f>
        <v>Fey</v>
      </c>
      <c r="C76" s="237">
        <f>+Ecrêtage!C76</f>
        <v>23923.447333333334</v>
      </c>
      <c r="D76" s="235"/>
      <c r="E76" s="237">
        <f>Données!AF76+Données!AG76+Données!AH76</f>
        <v>237715</v>
      </c>
      <c r="F76" s="235">
        <f t="shared" si="10"/>
        <v>191387.57866666667</v>
      </c>
      <c r="G76" s="8">
        <f t="shared" si="11"/>
        <v>46327.421333333332</v>
      </c>
      <c r="H76" s="316">
        <f t="shared" si="12"/>
        <v>-34745.565999999999</v>
      </c>
      <c r="J76" s="8">
        <f>Données!AN76</f>
        <v>20481</v>
      </c>
      <c r="K76" s="215">
        <f t="shared" si="13"/>
        <v>23923.447333333334</v>
      </c>
      <c r="L76" s="12">
        <f t="shared" si="14"/>
        <v>0</v>
      </c>
      <c r="M76" s="316">
        <f t="shared" si="15"/>
        <v>0</v>
      </c>
      <c r="O76" s="42">
        <f t="shared" si="16"/>
        <v>-34745.565999999999</v>
      </c>
      <c r="P76" s="273"/>
      <c r="Q76" s="228"/>
      <c r="R76" s="228"/>
      <c r="S76" s="228"/>
      <c r="T76" s="228"/>
      <c r="U76" s="228"/>
      <c r="AF76" s="11"/>
      <c r="AG76" s="11"/>
      <c r="AH76" s="11"/>
      <c r="AI76" s="11"/>
      <c r="AJ76" s="11"/>
      <c r="AK76" s="11"/>
      <c r="AL76" s="11"/>
    </row>
    <row r="77" spans="1:38" x14ac:dyDescent="0.25">
      <c r="A77" s="38">
        <f>+Données!A77</f>
        <v>5523</v>
      </c>
      <c r="B77" s="249" t="str">
        <f>+Données!B77</f>
        <v>Froideville</v>
      </c>
      <c r="C77" s="237">
        <f>+Ecrêtage!C77</f>
        <v>93735.809027777781</v>
      </c>
      <c r="D77" s="235"/>
      <c r="E77" s="237">
        <f>Données!AF77+Données!AG77+Données!AH77</f>
        <v>977291</v>
      </c>
      <c r="F77" s="235">
        <f t="shared" si="10"/>
        <v>749886.47222222225</v>
      </c>
      <c r="G77" s="8">
        <f t="shared" si="11"/>
        <v>227404.52777777775</v>
      </c>
      <c r="H77" s="316">
        <f t="shared" si="12"/>
        <v>-170553.39583333331</v>
      </c>
      <c r="J77" s="8">
        <f>Données!AN77</f>
        <v>25055</v>
      </c>
      <c r="K77" s="215">
        <f t="shared" si="13"/>
        <v>93735.809027777781</v>
      </c>
      <c r="L77" s="12">
        <f t="shared" si="14"/>
        <v>0</v>
      </c>
      <c r="M77" s="316">
        <f t="shared" si="15"/>
        <v>0</v>
      </c>
      <c r="O77" s="42">
        <f t="shared" si="16"/>
        <v>-170553.39583333331</v>
      </c>
      <c r="P77" s="273"/>
      <c r="Q77" s="228"/>
      <c r="R77" s="228"/>
      <c r="S77" s="228"/>
      <c r="T77" s="228"/>
      <c r="U77" s="228"/>
      <c r="AF77" s="11"/>
      <c r="AG77" s="11"/>
      <c r="AH77" s="11"/>
      <c r="AI77" s="11"/>
      <c r="AJ77" s="11"/>
      <c r="AK77" s="11"/>
      <c r="AL77" s="11"/>
    </row>
    <row r="78" spans="1:38" x14ac:dyDescent="0.25">
      <c r="A78" s="38">
        <f>+Données!A78</f>
        <v>5527</v>
      </c>
      <c r="B78" s="249" t="str">
        <f>+Données!B78</f>
        <v>Morrens</v>
      </c>
      <c r="C78" s="237">
        <f>+Ecrêtage!C78</f>
        <v>39310.034189189188</v>
      </c>
      <c r="D78" s="235"/>
      <c r="E78" s="237">
        <f>Données!AF78+Données!AG78+Données!AH78</f>
        <v>346752</v>
      </c>
      <c r="F78" s="235">
        <f t="shared" si="10"/>
        <v>314480.2735135135</v>
      </c>
      <c r="G78" s="8">
        <f t="shared" si="11"/>
        <v>32271.726486486499</v>
      </c>
      <c r="H78" s="316">
        <f t="shared" si="12"/>
        <v>-24203.794864864874</v>
      </c>
      <c r="J78" s="8">
        <f>Données!AN78</f>
        <v>37967</v>
      </c>
      <c r="K78" s="215">
        <f t="shared" si="13"/>
        <v>39310.034189189188</v>
      </c>
      <c r="L78" s="12">
        <f t="shared" si="14"/>
        <v>0</v>
      </c>
      <c r="M78" s="316">
        <f t="shared" si="15"/>
        <v>0</v>
      </c>
      <c r="O78" s="42">
        <f t="shared" si="16"/>
        <v>-24203.794864864874</v>
      </c>
      <c r="P78" s="273"/>
      <c r="Q78" s="228"/>
      <c r="R78" s="228"/>
      <c r="S78" s="228"/>
      <c r="T78" s="228"/>
      <c r="U78" s="228"/>
      <c r="AF78" s="11"/>
      <c r="AG78" s="11"/>
      <c r="AH78" s="11"/>
      <c r="AI78" s="11"/>
      <c r="AJ78" s="11"/>
      <c r="AK78" s="11"/>
      <c r="AL78" s="11"/>
    </row>
    <row r="79" spans="1:38" x14ac:dyDescent="0.25">
      <c r="A79" s="38">
        <f>+Données!A79</f>
        <v>5529</v>
      </c>
      <c r="B79" s="249" t="str">
        <f>+Données!B79</f>
        <v>Oulens-sous-Echallens</v>
      </c>
      <c r="C79" s="237">
        <f>+Ecrêtage!C79</f>
        <v>21162.073571428573</v>
      </c>
      <c r="D79" s="235"/>
      <c r="E79" s="237">
        <f>Données!AF79+Données!AG79+Données!AH79</f>
        <v>353233</v>
      </c>
      <c r="F79" s="235">
        <f t="shared" si="10"/>
        <v>169296.58857142858</v>
      </c>
      <c r="G79" s="8">
        <f t="shared" si="11"/>
        <v>183936.41142857142</v>
      </c>
      <c r="H79" s="316">
        <f t="shared" si="12"/>
        <v>-137952.30857142856</v>
      </c>
      <c r="J79" s="8">
        <f>Données!AN79</f>
        <v>-43936</v>
      </c>
      <c r="K79" s="215">
        <f t="shared" si="13"/>
        <v>21162.073571428573</v>
      </c>
      <c r="L79" s="12">
        <f t="shared" si="14"/>
        <v>0</v>
      </c>
      <c r="M79" s="316">
        <f t="shared" si="15"/>
        <v>0</v>
      </c>
      <c r="O79" s="42">
        <f t="shared" si="16"/>
        <v>-137952.30857142856</v>
      </c>
      <c r="P79" s="273"/>
      <c r="Q79" s="228"/>
      <c r="R79" s="228"/>
      <c r="S79" s="228"/>
      <c r="T79" s="228"/>
      <c r="U79" s="228"/>
      <c r="AF79" s="11"/>
      <c r="AG79" s="11"/>
      <c r="AH79" s="11"/>
      <c r="AI79" s="11"/>
      <c r="AJ79" s="11"/>
      <c r="AK79" s="11"/>
      <c r="AL79" s="11"/>
    </row>
    <row r="80" spans="1:38" x14ac:dyDescent="0.25">
      <c r="A80" s="38">
        <f>+Données!A80</f>
        <v>5530</v>
      </c>
      <c r="B80" s="249" t="str">
        <f>+Données!B80</f>
        <v>Pailly</v>
      </c>
      <c r="C80" s="237">
        <f>+Ecrêtage!C80</f>
        <v>19308.365285087715</v>
      </c>
      <c r="D80" s="235"/>
      <c r="E80" s="237">
        <f>Données!AF80+Données!AG80+Données!AH80</f>
        <v>1178898</v>
      </c>
      <c r="F80" s="235">
        <f t="shared" si="10"/>
        <v>154466.92228070172</v>
      </c>
      <c r="G80" s="8">
        <f t="shared" si="11"/>
        <v>1024431.0777192983</v>
      </c>
      <c r="H80" s="316">
        <f t="shared" si="12"/>
        <v>-768323.30828947376</v>
      </c>
      <c r="J80" s="8">
        <f>Données!AN80</f>
        <v>50738</v>
      </c>
      <c r="K80" s="215">
        <f t="shared" si="13"/>
        <v>19308.365285087715</v>
      </c>
      <c r="L80" s="12">
        <f t="shared" si="14"/>
        <v>31429.634714912285</v>
      </c>
      <c r="M80" s="316">
        <f t="shared" si="15"/>
        <v>-23572.226036184213</v>
      </c>
      <c r="O80" s="42">
        <f t="shared" si="16"/>
        <v>-791895.53432565799</v>
      </c>
      <c r="P80" s="273"/>
      <c r="Q80" s="228"/>
      <c r="R80" s="228"/>
      <c r="S80" s="228"/>
      <c r="T80" s="228"/>
      <c r="U80" s="228"/>
      <c r="AF80" s="11"/>
      <c r="AG80" s="11"/>
      <c r="AH80" s="11"/>
      <c r="AI80" s="11"/>
      <c r="AJ80" s="11"/>
      <c r="AK80" s="11"/>
      <c r="AL80" s="11"/>
    </row>
    <row r="81" spans="1:38" x14ac:dyDescent="0.25">
      <c r="A81" s="38">
        <f>+Données!A81</f>
        <v>5531</v>
      </c>
      <c r="B81" s="249" t="str">
        <f>+Données!B81</f>
        <v>Penthéréaz</v>
      </c>
      <c r="C81" s="237">
        <f>+Ecrêtage!C81</f>
        <v>14300.520945945947</v>
      </c>
      <c r="D81" s="235"/>
      <c r="E81" s="237">
        <f>Données!AF81+Données!AG81+Données!AH81</f>
        <v>216504</v>
      </c>
      <c r="F81" s="235">
        <f t="shared" si="10"/>
        <v>114404.16756756758</v>
      </c>
      <c r="G81" s="8">
        <f t="shared" si="11"/>
        <v>102099.83243243242</v>
      </c>
      <c r="H81" s="316">
        <f t="shared" si="12"/>
        <v>-76574.874324324308</v>
      </c>
      <c r="J81" s="8">
        <f>Données!AN81</f>
        <v>27285</v>
      </c>
      <c r="K81" s="215">
        <f t="shared" si="13"/>
        <v>14300.520945945947</v>
      </c>
      <c r="L81" s="12">
        <f t="shared" si="14"/>
        <v>12984.479054054053</v>
      </c>
      <c r="M81" s="316">
        <f t="shared" si="15"/>
        <v>-9738.3592905405385</v>
      </c>
      <c r="O81" s="42">
        <f t="shared" si="16"/>
        <v>-86313.233614864846</v>
      </c>
      <c r="P81" s="273"/>
      <c r="Q81" s="228"/>
      <c r="R81" s="228"/>
      <c r="S81" s="228"/>
      <c r="T81" s="228"/>
      <c r="U81" s="228"/>
      <c r="AF81" s="11"/>
      <c r="AG81" s="11"/>
      <c r="AH81" s="11"/>
      <c r="AI81" s="11"/>
      <c r="AJ81" s="11"/>
      <c r="AK81" s="11"/>
      <c r="AL81" s="11"/>
    </row>
    <row r="82" spans="1:38" x14ac:dyDescent="0.25">
      <c r="A82" s="38">
        <f>+Données!A82</f>
        <v>5533</v>
      </c>
      <c r="B82" s="249" t="str">
        <f>+Données!B82</f>
        <v>Poliez-Pittet</v>
      </c>
      <c r="C82" s="237">
        <f>+Ecrêtage!C82</f>
        <v>27495.737397260269</v>
      </c>
      <c r="D82" s="235"/>
      <c r="E82" s="237">
        <f>Données!AF82+Données!AG82+Données!AH82</f>
        <v>265404</v>
      </c>
      <c r="F82" s="235">
        <f t="shared" si="10"/>
        <v>219965.89917808215</v>
      </c>
      <c r="G82" s="8">
        <f t="shared" si="11"/>
        <v>45438.100821917847</v>
      </c>
      <c r="H82" s="316">
        <f t="shared" si="12"/>
        <v>-34078.575616438386</v>
      </c>
      <c r="J82" s="8">
        <f>Données!AN82</f>
        <v>79449</v>
      </c>
      <c r="K82" s="215">
        <f t="shared" si="13"/>
        <v>27495.737397260269</v>
      </c>
      <c r="L82" s="12">
        <f t="shared" si="14"/>
        <v>51953.262602739735</v>
      </c>
      <c r="M82" s="316">
        <f t="shared" si="15"/>
        <v>-38964.946952054801</v>
      </c>
      <c r="O82" s="42">
        <f t="shared" si="16"/>
        <v>-73043.522568493179</v>
      </c>
      <c r="P82" s="273"/>
      <c r="Q82" s="228"/>
      <c r="R82" s="228"/>
      <c r="S82" s="228"/>
      <c r="T82" s="228"/>
      <c r="U82" s="228"/>
      <c r="AF82" s="11"/>
      <c r="AG82" s="11"/>
      <c r="AH82" s="11"/>
      <c r="AI82" s="11"/>
      <c r="AJ82" s="11"/>
      <c r="AK82" s="11"/>
      <c r="AL82" s="11"/>
    </row>
    <row r="83" spans="1:38" x14ac:dyDescent="0.25">
      <c r="A83" s="38">
        <f>+Données!A83</f>
        <v>5534</v>
      </c>
      <c r="B83" s="249" t="str">
        <f>+Données!B83</f>
        <v>Rueyres</v>
      </c>
      <c r="C83" s="237">
        <f>+Ecrêtage!C83</f>
        <v>13098.988310502282</v>
      </c>
      <c r="D83" s="235"/>
      <c r="E83" s="237">
        <f>Données!AF83+Données!AG83+Données!AH83</f>
        <v>79096</v>
      </c>
      <c r="F83" s="235">
        <f t="shared" si="10"/>
        <v>104791.90648401825</v>
      </c>
      <c r="G83" s="8">
        <f t="shared" si="11"/>
        <v>0</v>
      </c>
      <c r="H83" s="316">
        <f t="shared" si="12"/>
        <v>0</v>
      </c>
      <c r="J83" s="8">
        <f>Données!AN83</f>
        <v>18081</v>
      </c>
      <c r="K83" s="215">
        <f t="shared" si="13"/>
        <v>13098.988310502282</v>
      </c>
      <c r="L83" s="12">
        <f t="shared" si="14"/>
        <v>4982.0116894977182</v>
      </c>
      <c r="M83" s="316">
        <f t="shared" si="15"/>
        <v>-3736.5087671232886</v>
      </c>
      <c r="O83" s="42">
        <f t="shared" si="16"/>
        <v>-3736.5087671232886</v>
      </c>
      <c r="P83" s="273"/>
      <c r="Q83" s="228"/>
      <c r="R83" s="228"/>
      <c r="S83" s="228"/>
      <c r="T83" s="228"/>
      <c r="U83" s="228"/>
      <c r="AF83" s="11"/>
      <c r="AG83" s="11"/>
      <c r="AH83" s="11"/>
      <c r="AI83" s="11"/>
      <c r="AJ83" s="11"/>
      <c r="AK83" s="11"/>
      <c r="AL83" s="11"/>
    </row>
    <row r="84" spans="1:38" x14ac:dyDescent="0.25">
      <c r="A84" s="38">
        <f>+Données!A84</f>
        <v>5535</v>
      </c>
      <c r="B84" s="249" t="str">
        <f>+Données!B84</f>
        <v>Saint-Barthélemy</v>
      </c>
      <c r="C84" s="237">
        <f>+Ecrêtage!C84</f>
        <v>25080.037866666662</v>
      </c>
      <c r="D84" s="235"/>
      <c r="E84" s="237">
        <f>Données!AF84+Données!AG84+Données!AH84</f>
        <v>253645</v>
      </c>
      <c r="F84" s="235">
        <f t="shared" si="10"/>
        <v>200640.3029333333</v>
      </c>
      <c r="G84" s="8">
        <f t="shared" si="11"/>
        <v>53004.697066666704</v>
      </c>
      <c r="H84" s="316">
        <f t="shared" si="12"/>
        <v>-39753.522800000028</v>
      </c>
      <c r="J84" s="8">
        <f>Données!AN84</f>
        <v>4553</v>
      </c>
      <c r="K84" s="215">
        <f t="shared" si="13"/>
        <v>25080.037866666662</v>
      </c>
      <c r="L84" s="12">
        <f t="shared" si="14"/>
        <v>0</v>
      </c>
      <c r="M84" s="316">
        <f t="shared" si="15"/>
        <v>0</v>
      </c>
      <c r="O84" s="42">
        <f t="shared" si="16"/>
        <v>-39753.522800000028</v>
      </c>
      <c r="P84" s="273"/>
      <c r="Q84" s="228"/>
      <c r="R84" s="228"/>
      <c r="S84" s="228"/>
      <c r="T84" s="228"/>
      <c r="U84" s="228"/>
      <c r="AF84" s="11"/>
      <c r="AG84" s="11"/>
      <c r="AH84" s="11"/>
      <c r="AI84" s="11"/>
      <c r="AJ84" s="11"/>
      <c r="AK84" s="11"/>
      <c r="AL84" s="11"/>
    </row>
    <row r="85" spans="1:38" x14ac:dyDescent="0.25">
      <c r="A85" s="38">
        <f>+Données!A85</f>
        <v>5537</v>
      </c>
      <c r="B85" s="249" t="str">
        <f>+Données!B85</f>
        <v>Villars-le-Terroir</v>
      </c>
      <c r="C85" s="237">
        <f>+Ecrêtage!C85</f>
        <v>42917.111184210531</v>
      </c>
      <c r="D85" s="235"/>
      <c r="E85" s="237">
        <f>Données!AF85+Données!AG85+Données!AH85</f>
        <v>396343</v>
      </c>
      <c r="F85" s="235">
        <f t="shared" si="10"/>
        <v>343336.88947368425</v>
      </c>
      <c r="G85" s="8">
        <f t="shared" si="11"/>
        <v>53006.110526315751</v>
      </c>
      <c r="H85" s="316">
        <f t="shared" si="12"/>
        <v>-39754.582894736814</v>
      </c>
      <c r="J85" s="8">
        <f>Données!AN85</f>
        <v>4494</v>
      </c>
      <c r="K85" s="215">
        <f t="shared" si="13"/>
        <v>42917.111184210531</v>
      </c>
      <c r="L85" s="12">
        <f t="shared" si="14"/>
        <v>0</v>
      </c>
      <c r="M85" s="316">
        <f t="shared" si="15"/>
        <v>0</v>
      </c>
      <c r="O85" s="42">
        <f t="shared" si="16"/>
        <v>-39754.582894736814</v>
      </c>
      <c r="P85" s="273"/>
      <c r="Q85" s="228"/>
      <c r="R85" s="228"/>
      <c r="S85" s="228"/>
      <c r="T85" s="228"/>
      <c r="U85" s="228"/>
      <c r="AF85" s="11"/>
      <c r="AG85" s="11"/>
      <c r="AH85" s="11"/>
      <c r="AI85" s="11"/>
      <c r="AJ85" s="11"/>
      <c r="AK85" s="11"/>
      <c r="AL85" s="11"/>
    </row>
    <row r="86" spans="1:38" x14ac:dyDescent="0.25">
      <c r="A86" s="38">
        <f>+Données!A86</f>
        <v>5539</v>
      </c>
      <c r="B86" s="249" t="str">
        <f>+Données!B86</f>
        <v>Vuarrens</v>
      </c>
      <c r="C86" s="237">
        <f>+Ecrêtage!C86</f>
        <v>34556.836734693868</v>
      </c>
      <c r="D86" s="235"/>
      <c r="E86" s="237">
        <f>Données!AF86+Données!AG86+Données!AH86</f>
        <v>289911</v>
      </c>
      <c r="F86" s="235">
        <f t="shared" si="10"/>
        <v>276454.69387755095</v>
      </c>
      <c r="G86" s="8">
        <f t="shared" si="11"/>
        <v>13456.306122449052</v>
      </c>
      <c r="H86" s="316">
        <f t="shared" si="12"/>
        <v>-10092.229591836789</v>
      </c>
      <c r="J86" s="8">
        <f>Données!AN86</f>
        <v>67006</v>
      </c>
      <c r="K86" s="215">
        <f t="shared" si="13"/>
        <v>34556.836734693868</v>
      </c>
      <c r="L86" s="12">
        <f t="shared" si="14"/>
        <v>32449.163265306132</v>
      </c>
      <c r="M86" s="316">
        <f t="shared" si="15"/>
        <v>-24336.8724489796</v>
      </c>
      <c r="O86" s="42">
        <f t="shared" si="16"/>
        <v>-34429.102040816389</v>
      </c>
      <c r="P86" s="273"/>
      <c r="Q86" s="228"/>
      <c r="R86" s="228"/>
      <c r="S86" s="228"/>
      <c r="T86" s="228"/>
      <c r="U86" s="228"/>
      <c r="AF86" s="11"/>
      <c r="AG86" s="11"/>
      <c r="AH86" s="11"/>
      <c r="AI86" s="11"/>
      <c r="AJ86" s="11"/>
      <c r="AK86" s="11"/>
      <c r="AL86" s="11"/>
    </row>
    <row r="87" spans="1:38" x14ac:dyDescent="0.25">
      <c r="A87" s="38">
        <f>+Données!A87</f>
        <v>5540</v>
      </c>
      <c r="B87" s="249" t="str">
        <f>+Données!B87</f>
        <v>Montilliez</v>
      </c>
      <c r="C87" s="237">
        <f>+Ecrêtage!C87</f>
        <v>63309.453137931036</v>
      </c>
      <c r="D87" s="235"/>
      <c r="E87" s="237">
        <f>Données!AF87+Données!AG87+Données!AH87</f>
        <v>656301</v>
      </c>
      <c r="F87" s="235">
        <f t="shared" si="10"/>
        <v>506475.62510344828</v>
      </c>
      <c r="G87" s="8">
        <f t="shared" si="11"/>
        <v>149825.37489655172</v>
      </c>
      <c r="H87" s="316">
        <f t="shared" si="12"/>
        <v>-112369.03117241379</v>
      </c>
      <c r="J87" s="8">
        <f>Données!AN87</f>
        <v>69447</v>
      </c>
      <c r="K87" s="215">
        <f t="shared" si="13"/>
        <v>63309.453137931036</v>
      </c>
      <c r="L87" s="12">
        <f t="shared" si="14"/>
        <v>6137.5468620689644</v>
      </c>
      <c r="M87" s="316">
        <f t="shared" si="15"/>
        <v>-4603.1601465517233</v>
      </c>
      <c r="O87" s="42">
        <f t="shared" si="16"/>
        <v>-116972.19131896552</v>
      </c>
      <c r="P87" s="273"/>
      <c r="Q87" s="228"/>
      <c r="R87" s="228"/>
      <c r="S87" s="228"/>
      <c r="T87" s="228"/>
      <c r="U87" s="228"/>
      <c r="AF87" s="11"/>
      <c r="AG87" s="11"/>
      <c r="AH87" s="11"/>
      <c r="AI87" s="11"/>
      <c r="AJ87" s="11"/>
      <c r="AK87" s="11"/>
      <c r="AL87" s="11"/>
    </row>
    <row r="88" spans="1:38" x14ac:dyDescent="0.25">
      <c r="A88" s="38">
        <f>+Données!A88</f>
        <v>5541</v>
      </c>
      <c r="B88" s="249" t="str">
        <f>+Données!B88</f>
        <v>Goumoëns</v>
      </c>
      <c r="C88" s="237">
        <f>+Ecrêtage!C88</f>
        <v>41276.409536423838</v>
      </c>
      <c r="D88" s="235"/>
      <c r="E88" s="237">
        <f>Données!AF88+Données!AG88+Données!AH88</f>
        <v>369611</v>
      </c>
      <c r="F88" s="235">
        <f t="shared" si="10"/>
        <v>330211.27629139071</v>
      </c>
      <c r="G88" s="8">
        <f t="shared" si="11"/>
        <v>39399.723708609294</v>
      </c>
      <c r="H88" s="316">
        <f t="shared" si="12"/>
        <v>-29549.79278145697</v>
      </c>
      <c r="J88" s="8">
        <f>Données!AN88</f>
        <v>10563</v>
      </c>
      <c r="K88" s="215">
        <f t="shared" si="13"/>
        <v>41276.409536423838</v>
      </c>
      <c r="L88" s="12">
        <f t="shared" si="14"/>
        <v>0</v>
      </c>
      <c r="M88" s="316">
        <f t="shared" si="15"/>
        <v>0</v>
      </c>
      <c r="O88" s="42">
        <f t="shared" si="16"/>
        <v>-29549.79278145697</v>
      </c>
      <c r="P88" s="273"/>
      <c r="Q88" s="228"/>
      <c r="R88" s="228"/>
      <c r="S88" s="228"/>
      <c r="T88" s="228"/>
      <c r="U88" s="228"/>
      <c r="AF88" s="11"/>
      <c r="AG88" s="11"/>
      <c r="AH88" s="11"/>
      <c r="AI88" s="11"/>
      <c r="AJ88" s="11"/>
      <c r="AK88" s="11"/>
      <c r="AL88" s="11"/>
    </row>
    <row r="89" spans="1:38" x14ac:dyDescent="0.25">
      <c r="A89" s="38">
        <f>+Données!A89</f>
        <v>5551</v>
      </c>
      <c r="B89" s="249" t="str">
        <f>+Données!B89</f>
        <v>Bonvillars</v>
      </c>
      <c r="C89" s="237">
        <f>+Ecrêtage!C89</f>
        <v>18704.487454545451</v>
      </c>
      <c r="D89" s="235"/>
      <c r="E89" s="237">
        <f>Données!AF89+Données!AG89+Données!AH89</f>
        <v>279856</v>
      </c>
      <c r="F89" s="235">
        <f t="shared" si="10"/>
        <v>149635.89963636361</v>
      </c>
      <c r="G89" s="8">
        <f t="shared" si="11"/>
        <v>130220.10036363639</v>
      </c>
      <c r="H89" s="316">
        <f t="shared" si="12"/>
        <v>-97665.075272727292</v>
      </c>
      <c r="J89" s="8">
        <f>Données!AN89</f>
        <v>55175</v>
      </c>
      <c r="K89" s="215">
        <f t="shared" si="13"/>
        <v>18704.487454545451</v>
      </c>
      <c r="L89" s="12">
        <f t="shared" si="14"/>
        <v>36470.512545454549</v>
      </c>
      <c r="M89" s="316">
        <f t="shared" si="15"/>
        <v>-27352.884409090912</v>
      </c>
      <c r="O89" s="42">
        <f t="shared" si="16"/>
        <v>-125017.9596818182</v>
      </c>
      <c r="P89" s="273"/>
      <c r="Q89" s="228"/>
      <c r="R89" s="228"/>
      <c r="S89" s="228"/>
      <c r="T89" s="228"/>
      <c r="U89" s="228"/>
      <c r="AF89" s="11"/>
      <c r="AG89" s="11"/>
      <c r="AH89" s="11"/>
      <c r="AI89" s="11"/>
      <c r="AJ89" s="11"/>
      <c r="AK89" s="11"/>
      <c r="AL89" s="11"/>
    </row>
    <row r="90" spans="1:38" x14ac:dyDescent="0.25">
      <c r="A90" s="38">
        <f>+Données!A90</f>
        <v>5552</v>
      </c>
      <c r="B90" s="249" t="str">
        <f>+Données!B90</f>
        <v>Bullet</v>
      </c>
      <c r="C90" s="237">
        <f>+Ecrêtage!C90</f>
        <v>19598.576923076926</v>
      </c>
      <c r="D90" s="235"/>
      <c r="E90" s="237">
        <f>Données!AF90+Données!AG90+Données!AH90</f>
        <v>389287</v>
      </c>
      <c r="F90" s="235">
        <f t="shared" si="10"/>
        <v>156788.6153846154</v>
      </c>
      <c r="G90" s="8">
        <f t="shared" si="11"/>
        <v>232498.3846153846</v>
      </c>
      <c r="H90" s="316">
        <f t="shared" si="12"/>
        <v>-174373.78846153844</v>
      </c>
      <c r="J90" s="8">
        <f>Données!AN90</f>
        <v>63331</v>
      </c>
      <c r="K90" s="215">
        <f t="shared" si="13"/>
        <v>19598.576923076926</v>
      </c>
      <c r="L90" s="12">
        <f t="shared" si="14"/>
        <v>43732.423076923078</v>
      </c>
      <c r="M90" s="316">
        <f t="shared" si="15"/>
        <v>-32799.317307692312</v>
      </c>
      <c r="O90" s="42">
        <f t="shared" si="16"/>
        <v>-207173.10576923075</v>
      </c>
      <c r="P90" s="273"/>
      <c r="Q90" s="228"/>
      <c r="R90" s="228"/>
      <c r="S90" s="228"/>
      <c r="T90" s="228"/>
      <c r="U90" s="228"/>
      <c r="AF90" s="11"/>
      <c r="AG90" s="11"/>
      <c r="AH90" s="11"/>
      <c r="AI90" s="11"/>
      <c r="AJ90" s="11"/>
      <c r="AK90" s="11"/>
      <c r="AL90" s="11"/>
    </row>
    <row r="91" spans="1:38" x14ac:dyDescent="0.25">
      <c r="A91" s="38">
        <f>+Données!A91</f>
        <v>5553</v>
      </c>
      <c r="B91" s="249" t="str">
        <f>+Données!B91</f>
        <v>Champagne</v>
      </c>
      <c r="C91" s="237">
        <f>+Ecrêtage!C91</f>
        <v>40077.283076923086</v>
      </c>
      <c r="D91" s="235"/>
      <c r="E91" s="237">
        <f>Données!AF91+Données!AG91+Données!AH91</f>
        <v>635835</v>
      </c>
      <c r="F91" s="235">
        <f t="shared" si="10"/>
        <v>320618.26461538469</v>
      </c>
      <c r="G91" s="8">
        <f t="shared" si="11"/>
        <v>315216.73538461531</v>
      </c>
      <c r="H91" s="316">
        <f t="shared" si="12"/>
        <v>-236412.55153846147</v>
      </c>
      <c r="J91" s="8">
        <f>Données!AN91</f>
        <v>43049</v>
      </c>
      <c r="K91" s="215">
        <f t="shared" si="13"/>
        <v>40077.283076923086</v>
      </c>
      <c r="L91" s="12">
        <f t="shared" si="14"/>
        <v>2971.7169230769141</v>
      </c>
      <c r="M91" s="316">
        <f t="shared" si="15"/>
        <v>-2228.7876923076856</v>
      </c>
      <c r="O91" s="42">
        <f t="shared" si="16"/>
        <v>-238641.33923076917</v>
      </c>
      <c r="P91" s="273"/>
      <c r="Q91" s="228"/>
      <c r="R91" s="228"/>
      <c r="S91" s="228"/>
      <c r="T91" s="228"/>
      <c r="U91" s="228"/>
      <c r="AF91" s="11"/>
      <c r="AG91" s="11"/>
      <c r="AH91" s="11"/>
      <c r="AI91" s="11"/>
      <c r="AJ91" s="11"/>
      <c r="AK91" s="11"/>
      <c r="AL91" s="11"/>
    </row>
    <row r="92" spans="1:38" x14ac:dyDescent="0.25">
      <c r="A92" s="38">
        <f>+Données!A92</f>
        <v>5554</v>
      </c>
      <c r="B92" s="249" t="str">
        <f>+Données!B92</f>
        <v>Concise</v>
      </c>
      <c r="C92" s="237">
        <f>+Ecrêtage!C92</f>
        <v>31499.25106666666</v>
      </c>
      <c r="D92" s="235"/>
      <c r="E92" s="237">
        <f>Données!AF92+Données!AG92+Données!AH92</f>
        <v>578299</v>
      </c>
      <c r="F92" s="235">
        <f t="shared" si="10"/>
        <v>251994.00853333328</v>
      </c>
      <c r="G92" s="8">
        <f t="shared" si="11"/>
        <v>326304.99146666669</v>
      </c>
      <c r="H92" s="316">
        <f t="shared" si="12"/>
        <v>-244728.74360000002</v>
      </c>
      <c r="J92" s="8">
        <f>Données!AN92</f>
        <v>-26746</v>
      </c>
      <c r="K92" s="215">
        <f t="shared" si="13"/>
        <v>31499.25106666666</v>
      </c>
      <c r="L92" s="12">
        <f t="shared" si="14"/>
        <v>0</v>
      </c>
      <c r="M92" s="316">
        <f t="shared" si="15"/>
        <v>0</v>
      </c>
      <c r="O92" s="42">
        <f t="shared" si="16"/>
        <v>-244728.74360000002</v>
      </c>
      <c r="P92" s="273"/>
      <c r="Q92" s="228"/>
      <c r="R92" s="228"/>
      <c r="S92" s="228"/>
      <c r="T92" s="228"/>
      <c r="U92" s="228"/>
      <c r="AF92" s="11"/>
      <c r="AG92" s="11"/>
      <c r="AH92" s="11"/>
      <c r="AI92" s="11"/>
      <c r="AJ92" s="11"/>
      <c r="AK92" s="11"/>
      <c r="AL92" s="11"/>
    </row>
    <row r="93" spans="1:38" x14ac:dyDescent="0.25">
      <c r="A93" s="38">
        <f>+Données!A93</f>
        <v>5555</v>
      </c>
      <c r="B93" s="249" t="str">
        <f>+Données!B93</f>
        <v>Corcelles-près-Concise</v>
      </c>
      <c r="C93" s="237">
        <f>+Ecrêtage!C93</f>
        <v>13877.681159420288</v>
      </c>
      <c r="D93" s="235"/>
      <c r="E93" s="237">
        <f>Données!AF93+Données!AG93+Données!AH93</f>
        <v>364647</v>
      </c>
      <c r="F93" s="235">
        <f t="shared" si="10"/>
        <v>111021.44927536231</v>
      </c>
      <c r="G93" s="8">
        <f t="shared" si="11"/>
        <v>253625.55072463769</v>
      </c>
      <c r="H93" s="316">
        <f t="shared" si="12"/>
        <v>-190219.16304347827</v>
      </c>
      <c r="J93" s="8">
        <f>Données!AN93</f>
        <v>38393</v>
      </c>
      <c r="K93" s="215">
        <f t="shared" si="13"/>
        <v>13877.681159420288</v>
      </c>
      <c r="L93" s="12">
        <f t="shared" si="14"/>
        <v>24515.318840579712</v>
      </c>
      <c r="M93" s="316">
        <f t="shared" si="15"/>
        <v>-18386.489130434784</v>
      </c>
      <c r="O93" s="42">
        <f t="shared" si="16"/>
        <v>-208605.65217391305</v>
      </c>
      <c r="P93" s="273"/>
      <c r="Q93" s="228"/>
      <c r="R93" s="228"/>
      <c r="S93" s="228"/>
      <c r="T93" s="228"/>
      <c r="U93" s="228"/>
      <c r="AF93" s="11"/>
      <c r="AG93" s="11"/>
      <c r="AH93" s="11"/>
      <c r="AI93" s="11"/>
      <c r="AJ93" s="11"/>
      <c r="AK93" s="11"/>
      <c r="AL93" s="11"/>
    </row>
    <row r="94" spans="1:38" x14ac:dyDescent="0.25">
      <c r="A94" s="38">
        <f>+Données!A94</f>
        <v>5556</v>
      </c>
      <c r="B94" s="249" t="str">
        <f>+Données!B94</f>
        <v>Fiez</v>
      </c>
      <c r="C94" s="237">
        <f>+Ecrêtage!C94</f>
        <v>14574.59084541063</v>
      </c>
      <c r="D94" s="235"/>
      <c r="E94" s="237">
        <f>Données!AF94+Données!AG94+Données!AH94</f>
        <v>214450</v>
      </c>
      <c r="F94" s="235">
        <f t="shared" si="10"/>
        <v>116596.72676328504</v>
      </c>
      <c r="G94" s="8">
        <f t="shared" si="11"/>
        <v>97853.273236714958</v>
      </c>
      <c r="H94" s="316">
        <f t="shared" si="12"/>
        <v>-73389.954927536222</v>
      </c>
      <c r="J94" s="8">
        <f>Données!AN94</f>
        <v>-9768</v>
      </c>
      <c r="K94" s="215">
        <f t="shared" si="13"/>
        <v>14574.59084541063</v>
      </c>
      <c r="L94" s="12">
        <f t="shared" si="14"/>
        <v>0</v>
      </c>
      <c r="M94" s="316">
        <f t="shared" si="15"/>
        <v>0</v>
      </c>
      <c r="O94" s="42">
        <f t="shared" si="16"/>
        <v>-73389.954927536222</v>
      </c>
      <c r="P94" s="273"/>
      <c r="Q94" s="228"/>
      <c r="R94" s="228"/>
      <c r="S94" s="228"/>
      <c r="T94" s="228"/>
      <c r="U94" s="228"/>
      <c r="AF94" s="11"/>
      <c r="AG94" s="11"/>
      <c r="AH94" s="11"/>
      <c r="AI94" s="11"/>
      <c r="AJ94" s="11"/>
      <c r="AK94" s="11"/>
      <c r="AL94" s="11"/>
    </row>
    <row r="95" spans="1:38" x14ac:dyDescent="0.25">
      <c r="A95" s="38">
        <f>+Données!A95</f>
        <v>5557</v>
      </c>
      <c r="B95" s="249" t="str">
        <f>+Données!B95</f>
        <v>Fontaines-sur-Grandson</v>
      </c>
      <c r="C95" s="237">
        <f>+Ecrêtage!C95</f>
        <v>4232.7078260869557</v>
      </c>
      <c r="D95" s="235"/>
      <c r="E95" s="237">
        <f>Données!AF95+Données!AG95+Données!AH95</f>
        <v>78649</v>
      </c>
      <c r="F95" s="235">
        <f t="shared" si="10"/>
        <v>33861.662608695646</v>
      </c>
      <c r="G95" s="8">
        <f t="shared" si="11"/>
        <v>44787.337391304354</v>
      </c>
      <c r="H95" s="316">
        <f t="shared" si="12"/>
        <v>-33590.503043478268</v>
      </c>
      <c r="J95" s="8">
        <f>Données!AN95</f>
        <v>1843</v>
      </c>
      <c r="K95" s="215">
        <f t="shared" si="13"/>
        <v>4232.7078260869557</v>
      </c>
      <c r="L95" s="12">
        <f t="shared" si="14"/>
        <v>0</v>
      </c>
      <c r="M95" s="316">
        <f t="shared" si="15"/>
        <v>0</v>
      </c>
      <c r="O95" s="42">
        <f t="shared" si="16"/>
        <v>-33590.503043478268</v>
      </c>
      <c r="P95" s="273"/>
      <c r="Q95" s="228"/>
      <c r="R95" s="228"/>
      <c r="S95" s="228"/>
      <c r="T95" s="228"/>
      <c r="U95" s="228"/>
      <c r="AF95" s="11"/>
      <c r="AG95" s="11"/>
      <c r="AH95" s="11"/>
      <c r="AI95" s="11"/>
      <c r="AJ95" s="11"/>
      <c r="AK95" s="11"/>
      <c r="AL95" s="11"/>
    </row>
    <row r="96" spans="1:38" x14ac:dyDescent="0.25">
      <c r="A96" s="38">
        <f>+Données!A96</f>
        <v>5559</v>
      </c>
      <c r="B96" s="249" t="str">
        <f>+Données!B96</f>
        <v>Giez</v>
      </c>
      <c r="C96" s="237">
        <f>+Ecrêtage!C96</f>
        <v>23427.520303030306</v>
      </c>
      <c r="D96" s="235"/>
      <c r="E96" s="237">
        <f>Données!AF96+Données!AG96+Données!AH96</f>
        <v>164926</v>
      </c>
      <c r="F96" s="235">
        <f t="shared" si="10"/>
        <v>187420.16242424244</v>
      </c>
      <c r="G96" s="8">
        <f t="shared" si="11"/>
        <v>0</v>
      </c>
      <c r="H96" s="316">
        <f t="shared" si="12"/>
        <v>0</v>
      </c>
      <c r="J96" s="8">
        <f>Données!AN96</f>
        <v>-1713</v>
      </c>
      <c r="K96" s="215">
        <f t="shared" si="13"/>
        <v>23427.520303030306</v>
      </c>
      <c r="L96" s="12">
        <f t="shared" si="14"/>
        <v>0</v>
      </c>
      <c r="M96" s="316">
        <f t="shared" si="15"/>
        <v>0</v>
      </c>
      <c r="O96" s="42">
        <f t="shared" si="16"/>
        <v>0</v>
      </c>
      <c r="P96" s="273"/>
      <c r="Q96" s="228"/>
      <c r="R96" s="228"/>
      <c r="S96" s="228"/>
      <c r="T96" s="228"/>
      <c r="U96" s="228"/>
      <c r="AF96" s="11"/>
      <c r="AG96" s="11"/>
      <c r="AH96" s="11"/>
      <c r="AI96" s="11"/>
      <c r="AJ96" s="11"/>
      <c r="AK96" s="11"/>
      <c r="AL96" s="11"/>
    </row>
    <row r="97" spans="1:38" x14ac:dyDescent="0.25">
      <c r="A97" s="38">
        <f>+Données!A97</f>
        <v>5560</v>
      </c>
      <c r="B97" s="249" t="str">
        <f>+Données!B97</f>
        <v>Grandevent</v>
      </c>
      <c r="C97" s="237">
        <f>+Ecrêtage!C97</f>
        <v>7003.3020588235295</v>
      </c>
      <c r="D97" s="235"/>
      <c r="E97" s="237">
        <f>Données!AF97+Données!AG97+Données!AH97</f>
        <v>62225</v>
      </c>
      <c r="F97" s="235">
        <f t="shared" si="10"/>
        <v>56026.416470588236</v>
      </c>
      <c r="G97" s="8">
        <f t="shared" si="11"/>
        <v>6198.5835294117642</v>
      </c>
      <c r="H97" s="316">
        <f t="shared" si="12"/>
        <v>-4648.9376470588231</v>
      </c>
      <c r="J97" s="8">
        <f>Données!AN97</f>
        <v>21084</v>
      </c>
      <c r="K97" s="215">
        <f t="shared" si="13"/>
        <v>7003.3020588235295</v>
      </c>
      <c r="L97" s="12">
        <f t="shared" si="14"/>
        <v>14080.69794117647</v>
      </c>
      <c r="M97" s="316">
        <f t="shared" si="15"/>
        <v>-10560.523455882352</v>
      </c>
      <c r="O97" s="42">
        <f t="shared" si="16"/>
        <v>-15209.461102941175</v>
      </c>
      <c r="P97" s="273"/>
      <c r="Q97" s="228"/>
      <c r="R97" s="228"/>
      <c r="S97" s="228"/>
      <c r="T97" s="228"/>
      <c r="U97" s="228"/>
      <c r="AF97" s="11"/>
      <c r="AG97" s="11"/>
      <c r="AH97" s="11"/>
      <c r="AI97" s="11"/>
      <c r="AJ97" s="11"/>
      <c r="AK97" s="11"/>
      <c r="AL97" s="11"/>
    </row>
    <row r="98" spans="1:38" x14ac:dyDescent="0.25">
      <c r="A98" s="38">
        <f>+Données!A98</f>
        <v>5561</v>
      </c>
      <c r="B98" s="249" t="str">
        <f>+Données!B98</f>
        <v>Grandson</v>
      </c>
      <c r="C98" s="237">
        <f>+Ecrêtage!C98</f>
        <v>114496.59724637681</v>
      </c>
      <c r="D98" s="235"/>
      <c r="E98" s="237">
        <f>Données!AF98+Données!AG98+Données!AH98</f>
        <v>2267000</v>
      </c>
      <c r="F98" s="235">
        <f t="shared" si="10"/>
        <v>915972.7779710145</v>
      </c>
      <c r="G98" s="8">
        <f t="shared" si="11"/>
        <v>1351027.2220289856</v>
      </c>
      <c r="H98" s="316">
        <f t="shared" si="12"/>
        <v>-1013270.4165217392</v>
      </c>
      <c r="J98" s="8">
        <f>Données!AN98</f>
        <v>60763</v>
      </c>
      <c r="K98" s="215">
        <f t="shared" si="13"/>
        <v>114496.59724637681</v>
      </c>
      <c r="L98" s="12">
        <f t="shared" si="14"/>
        <v>0</v>
      </c>
      <c r="M98" s="316">
        <f t="shared" si="15"/>
        <v>0</v>
      </c>
      <c r="O98" s="42">
        <f t="shared" si="16"/>
        <v>-1013270.4165217392</v>
      </c>
      <c r="P98" s="273"/>
      <c r="Q98" s="228"/>
      <c r="R98" s="228"/>
      <c r="S98" s="228"/>
      <c r="T98" s="228"/>
      <c r="U98" s="228"/>
      <c r="AF98" s="11"/>
      <c r="AG98" s="11"/>
      <c r="AH98" s="11"/>
      <c r="AI98" s="11"/>
      <c r="AJ98" s="11"/>
      <c r="AK98" s="11"/>
      <c r="AL98" s="11"/>
    </row>
    <row r="99" spans="1:38" x14ac:dyDescent="0.25">
      <c r="A99" s="38">
        <f>+Données!A99</f>
        <v>5562</v>
      </c>
      <c r="B99" s="249" t="str">
        <f>+Données!B99</f>
        <v>Mauborget</v>
      </c>
      <c r="C99" s="237">
        <f>+Ecrêtage!C99</f>
        <v>6099.4266904761898</v>
      </c>
      <c r="D99" s="235"/>
      <c r="E99" s="237">
        <f>Données!AF99+Données!AG99+Données!AH99</f>
        <v>56643</v>
      </c>
      <c r="F99" s="235">
        <f t="shared" si="10"/>
        <v>48795.413523809519</v>
      </c>
      <c r="G99" s="8">
        <f t="shared" si="11"/>
        <v>7847.5864761904813</v>
      </c>
      <c r="H99" s="316">
        <f t="shared" si="12"/>
        <v>-5885.689857142861</v>
      </c>
      <c r="J99" s="8">
        <f>Données!AN99</f>
        <v>8034</v>
      </c>
      <c r="K99" s="215">
        <f t="shared" si="13"/>
        <v>6099.4266904761898</v>
      </c>
      <c r="L99" s="12">
        <f t="shared" si="14"/>
        <v>1934.5733095238102</v>
      </c>
      <c r="M99" s="316">
        <f t="shared" si="15"/>
        <v>-1450.9299821428576</v>
      </c>
      <c r="O99" s="42">
        <f t="shared" si="16"/>
        <v>-7336.6198392857186</v>
      </c>
      <c r="P99" s="273"/>
      <c r="Q99" s="228"/>
      <c r="R99" s="228"/>
      <c r="S99" s="228"/>
      <c r="T99" s="228"/>
      <c r="U99" s="228"/>
      <c r="AF99" s="11"/>
      <c r="AG99" s="11"/>
      <c r="AH99" s="11"/>
      <c r="AI99" s="11"/>
      <c r="AJ99" s="11"/>
      <c r="AK99" s="11"/>
      <c r="AL99" s="11"/>
    </row>
    <row r="100" spans="1:38" x14ac:dyDescent="0.25">
      <c r="A100" s="38">
        <f>+Données!A100</f>
        <v>5563</v>
      </c>
      <c r="B100" s="249" t="str">
        <f>+Données!B100</f>
        <v>Mutrux</v>
      </c>
      <c r="C100" s="237">
        <f>+Ecrêtage!C100</f>
        <v>4282.2106250000006</v>
      </c>
      <c r="D100" s="235"/>
      <c r="E100" s="237">
        <f>Données!AF100+Données!AG100+Données!AH100</f>
        <v>62494</v>
      </c>
      <c r="F100" s="235">
        <f t="shared" si="10"/>
        <v>34257.685000000005</v>
      </c>
      <c r="G100" s="8">
        <f t="shared" si="11"/>
        <v>28236.314999999995</v>
      </c>
      <c r="H100" s="316">
        <f t="shared" si="12"/>
        <v>-21177.236249999994</v>
      </c>
      <c r="J100" s="8">
        <f>Données!AN100</f>
        <v>-21130</v>
      </c>
      <c r="K100" s="215">
        <f t="shared" si="13"/>
        <v>4282.2106250000006</v>
      </c>
      <c r="L100" s="12">
        <f t="shared" si="14"/>
        <v>0</v>
      </c>
      <c r="M100" s="316">
        <f t="shared" si="15"/>
        <v>0</v>
      </c>
      <c r="O100" s="42">
        <f t="shared" si="16"/>
        <v>-21177.236249999994</v>
      </c>
      <c r="P100" s="273"/>
      <c r="Q100" s="228"/>
      <c r="R100" s="228"/>
      <c r="S100" s="228"/>
      <c r="T100" s="228"/>
      <c r="U100" s="228"/>
      <c r="AF100" s="11"/>
      <c r="AG100" s="11"/>
      <c r="AH100" s="11"/>
      <c r="AI100" s="11"/>
      <c r="AJ100" s="11"/>
      <c r="AK100" s="11"/>
      <c r="AL100" s="11"/>
    </row>
    <row r="101" spans="1:38" x14ac:dyDescent="0.25">
      <c r="A101" s="38">
        <f>+Données!A101</f>
        <v>5564</v>
      </c>
      <c r="B101" s="249" t="str">
        <f>+Données!B101</f>
        <v>Novalles</v>
      </c>
      <c r="C101" s="237">
        <f>+Ecrêtage!C101</f>
        <v>2099.5443749999999</v>
      </c>
      <c r="D101" s="235"/>
      <c r="E101" s="237">
        <f>Données!AF101+Données!AG101+Données!AH101</f>
        <v>53932</v>
      </c>
      <c r="F101" s="235">
        <f t="shared" si="10"/>
        <v>16796.355</v>
      </c>
      <c r="G101" s="8">
        <f t="shared" si="11"/>
        <v>37135.645000000004</v>
      </c>
      <c r="H101" s="316">
        <f t="shared" si="12"/>
        <v>-27851.733750000003</v>
      </c>
      <c r="J101" s="8">
        <f>Données!AN101</f>
        <v>6520</v>
      </c>
      <c r="K101" s="215">
        <f t="shared" si="13"/>
        <v>2099.5443749999999</v>
      </c>
      <c r="L101" s="12">
        <f t="shared" si="14"/>
        <v>4420.4556250000005</v>
      </c>
      <c r="M101" s="316">
        <f t="shared" si="15"/>
        <v>-3315.3417187500004</v>
      </c>
      <c r="O101" s="42">
        <f t="shared" si="16"/>
        <v>-31167.075468750005</v>
      </c>
      <c r="P101" s="273"/>
      <c r="Q101" s="228"/>
      <c r="R101" s="228"/>
      <c r="S101" s="228"/>
      <c r="T101" s="228"/>
      <c r="U101" s="228"/>
      <c r="AF101" s="11"/>
      <c r="AG101" s="11"/>
      <c r="AH101" s="11"/>
      <c r="AI101" s="11"/>
      <c r="AJ101" s="11"/>
      <c r="AK101" s="11"/>
      <c r="AL101" s="11"/>
    </row>
    <row r="102" spans="1:38" x14ac:dyDescent="0.25">
      <c r="A102" s="38">
        <f>+Données!A102</f>
        <v>5565</v>
      </c>
      <c r="B102" s="249" t="str">
        <f>+Données!B102</f>
        <v>Onnens</v>
      </c>
      <c r="C102" s="237">
        <f>+Ecrêtage!C102</f>
        <v>22684.162047244088</v>
      </c>
      <c r="D102" s="235"/>
      <c r="E102" s="237">
        <f>Données!AF102+Données!AG102+Données!AH102</f>
        <v>234686</v>
      </c>
      <c r="F102" s="235">
        <f t="shared" si="10"/>
        <v>181473.29637795271</v>
      </c>
      <c r="G102" s="8">
        <f t="shared" si="11"/>
        <v>53212.703622047295</v>
      </c>
      <c r="H102" s="316">
        <f t="shared" si="12"/>
        <v>-39909.527716535471</v>
      </c>
      <c r="J102" s="8">
        <f>Données!AN102</f>
        <v>60234</v>
      </c>
      <c r="K102" s="215">
        <f t="shared" si="13"/>
        <v>22684.162047244088</v>
      </c>
      <c r="L102" s="12">
        <f t="shared" si="14"/>
        <v>37549.837952755915</v>
      </c>
      <c r="M102" s="316">
        <f t="shared" si="15"/>
        <v>-28162.378464566937</v>
      </c>
      <c r="O102" s="42">
        <f t="shared" si="16"/>
        <v>-68071.906181102415</v>
      </c>
      <c r="P102" s="273"/>
      <c r="Q102" s="228"/>
      <c r="R102" s="228"/>
      <c r="S102" s="228"/>
      <c r="T102" s="228"/>
      <c r="U102" s="228"/>
      <c r="AF102" s="11"/>
      <c r="AG102" s="11"/>
      <c r="AH102" s="11"/>
      <c r="AI102" s="11"/>
      <c r="AJ102" s="11"/>
      <c r="AK102" s="11"/>
      <c r="AL102" s="11"/>
    </row>
    <row r="103" spans="1:38" x14ac:dyDescent="0.25">
      <c r="A103" s="38">
        <f>+Données!A103</f>
        <v>5566</v>
      </c>
      <c r="B103" s="249" t="str">
        <f>+Données!B103</f>
        <v>Provence</v>
      </c>
      <c r="C103" s="237">
        <f>+Ecrêtage!C103</f>
        <v>9377.2088888888902</v>
      </c>
      <c r="D103" s="235"/>
      <c r="E103" s="237">
        <f>Données!AF103+Données!AG103+Données!AH103</f>
        <v>601845</v>
      </c>
      <c r="F103" s="235">
        <f t="shared" si="10"/>
        <v>75017.671111111122</v>
      </c>
      <c r="G103" s="8">
        <f t="shared" si="11"/>
        <v>526827.32888888894</v>
      </c>
      <c r="H103" s="316">
        <f t="shared" si="12"/>
        <v>-395120.4966666667</v>
      </c>
      <c r="J103" s="8">
        <f>Données!AN103</f>
        <v>-7155</v>
      </c>
      <c r="K103" s="215">
        <f t="shared" si="13"/>
        <v>9377.2088888888902</v>
      </c>
      <c r="L103" s="12">
        <f t="shared" si="14"/>
        <v>0</v>
      </c>
      <c r="M103" s="316">
        <f t="shared" si="15"/>
        <v>0</v>
      </c>
      <c r="O103" s="42">
        <f t="shared" si="16"/>
        <v>-395120.4966666667</v>
      </c>
      <c r="P103" s="273"/>
      <c r="Q103" s="228"/>
      <c r="R103" s="228"/>
      <c r="S103" s="228"/>
      <c r="T103" s="228"/>
      <c r="U103" s="228"/>
      <c r="AF103" s="11"/>
      <c r="AG103" s="11"/>
      <c r="AH103" s="11"/>
      <c r="AI103" s="11"/>
      <c r="AJ103" s="11"/>
      <c r="AK103" s="11"/>
      <c r="AL103" s="11"/>
    </row>
    <row r="104" spans="1:38" x14ac:dyDescent="0.25">
      <c r="A104" s="38">
        <f>+Données!A104</f>
        <v>5568</v>
      </c>
      <c r="B104" s="249" t="str">
        <f>+Données!B104</f>
        <v>Sainte-Croix</v>
      </c>
      <c r="C104" s="237">
        <f>+Ecrêtage!C104</f>
        <v>109152.09599999999</v>
      </c>
      <c r="D104" s="235"/>
      <c r="E104" s="237">
        <f>Données!AF104+Données!AG104+Données!AH104</f>
        <v>3003655</v>
      </c>
      <c r="F104" s="235">
        <f t="shared" si="10"/>
        <v>873216.76799999992</v>
      </c>
      <c r="G104" s="8">
        <f t="shared" si="11"/>
        <v>2130438.2319999998</v>
      </c>
      <c r="H104" s="316">
        <f t="shared" si="12"/>
        <v>-1597828.6739999999</v>
      </c>
      <c r="J104" s="8">
        <f>Données!AN104</f>
        <v>66001</v>
      </c>
      <c r="K104" s="215">
        <f t="shared" si="13"/>
        <v>109152.09599999999</v>
      </c>
      <c r="L104" s="12">
        <f t="shared" si="14"/>
        <v>0</v>
      </c>
      <c r="M104" s="316">
        <f t="shared" si="15"/>
        <v>0</v>
      </c>
      <c r="O104" s="42">
        <f t="shared" si="16"/>
        <v>-1597828.6739999999</v>
      </c>
      <c r="P104" s="273"/>
      <c r="Q104" s="228"/>
      <c r="R104" s="228"/>
      <c r="S104" s="228"/>
      <c r="T104" s="228"/>
      <c r="U104" s="228"/>
      <c r="AF104" s="11"/>
      <c r="AG104" s="11"/>
      <c r="AH104" s="11"/>
      <c r="AI104" s="11"/>
      <c r="AJ104" s="11"/>
      <c r="AK104" s="11"/>
      <c r="AL104" s="11"/>
    </row>
    <row r="105" spans="1:38" x14ac:dyDescent="0.25">
      <c r="A105" s="38">
        <f>+Données!A105</f>
        <v>5571</v>
      </c>
      <c r="B105" s="249" t="str">
        <f>+Données!B105</f>
        <v>Tévenon</v>
      </c>
      <c r="C105" s="237">
        <f>+Ecrêtage!C105</f>
        <v>25324.815594405594</v>
      </c>
      <c r="D105" s="235"/>
      <c r="E105" s="237">
        <f>Données!AF105+Données!AG105+Données!AH105</f>
        <v>451825</v>
      </c>
      <c r="F105" s="235">
        <f t="shared" si="10"/>
        <v>202598.52475524475</v>
      </c>
      <c r="G105" s="8">
        <f t="shared" si="11"/>
        <v>249226.47524475525</v>
      </c>
      <c r="H105" s="316">
        <f t="shared" si="12"/>
        <v>-186919.85643356643</v>
      </c>
      <c r="J105" s="8">
        <f>Données!AN105</f>
        <v>71738</v>
      </c>
      <c r="K105" s="215">
        <f t="shared" si="13"/>
        <v>25324.815594405594</v>
      </c>
      <c r="L105" s="12">
        <f t="shared" si="14"/>
        <v>46413.184405594409</v>
      </c>
      <c r="M105" s="316">
        <f t="shared" si="15"/>
        <v>-34809.888304195803</v>
      </c>
      <c r="O105" s="42">
        <f t="shared" si="16"/>
        <v>-221729.74473776223</v>
      </c>
      <c r="P105" s="273"/>
      <c r="Q105" s="228"/>
      <c r="R105" s="228"/>
      <c r="S105" s="228"/>
      <c r="T105" s="228"/>
      <c r="U105" s="228"/>
      <c r="AF105" s="11"/>
      <c r="AG105" s="11"/>
      <c r="AH105" s="11"/>
      <c r="AI105" s="11"/>
      <c r="AJ105" s="11"/>
      <c r="AK105" s="11"/>
      <c r="AL105" s="11"/>
    </row>
    <row r="106" spans="1:38" x14ac:dyDescent="0.25">
      <c r="A106" s="38">
        <f>+Données!A106</f>
        <v>5581</v>
      </c>
      <c r="B106" s="249" t="str">
        <f>+Données!B106</f>
        <v>Belmont-sur-Lausanne</v>
      </c>
      <c r="C106" s="237">
        <f>+Ecrêtage!C106</f>
        <v>215428.66976851854</v>
      </c>
      <c r="D106" s="235"/>
      <c r="E106" s="237">
        <f>Données!AF106+Données!AG106+Données!AH106</f>
        <v>2811592</v>
      </c>
      <c r="F106" s="235">
        <f t="shared" si="10"/>
        <v>1723429.3581481483</v>
      </c>
      <c r="G106" s="8">
        <f t="shared" si="11"/>
        <v>1088162.6418518517</v>
      </c>
      <c r="H106" s="316">
        <f t="shared" si="12"/>
        <v>-816121.98138888879</v>
      </c>
      <c r="J106" s="8">
        <f>Données!AN106</f>
        <v>-242</v>
      </c>
      <c r="K106" s="215">
        <f t="shared" si="13"/>
        <v>215428.66976851854</v>
      </c>
      <c r="L106" s="12">
        <f t="shared" si="14"/>
        <v>0</v>
      </c>
      <c r="M106" s="316">
        <f t="shared" si="15"/>
        <v>0</v>
      </c>
      <c r="O106" s="42">
        <f t="shared" si="16"/>
        <v>-816121.98138888879</v>
      </c>
      <c r="P106" s="273"/>
      <c r="Q106" s="228"/>
      <c r="R106" s="228"/>
      <c r="S106" s="228"/>
      <c r="T106" s="228"/>
      <c r="U106" s="228"/>
      <c r="AF106" s="11"/>
      <c r="AG106" s="11"/>
      <c r="AH106" s="11"/>
      <c r="AI106" s="11"/>
      <c r="AJ106" s="11"/>
      <c r="AK106" s="11"/>
      <c r="AL106" s="11"/>
    </row>
    <row r="107" spans="1:38" x14ac:dyDescent="0.25">
      <c r="A107" s="38">
        <f>+Données!A107</f>
        <v>5582</v>
      </c>
      <c r="B107" s="249" t="str">
        <f>+Données!B107</f>
        <v>Cheseaux-sur-Lausanne</v>
      </c>
      <c r="C107" s="237">
        <f>+Ecrêtage!C107</f>
        <v>167486.36602739722</v>
      </c>
      <c r="D107" s="235"/>
      <c r="E107" s="237">
        <f>Données!AF107+Données!AG107+Données!AH107</f>
        <v>1982069</v>
      </c>
      <c r="F107" s="235">
        <f t="shared" si="10"/>
        <v>1339890.9282191778</v>
      </c>
      <c r="G107" s="8">
        <f t="shared" si="11"/>
        <v>642178.07178082224</v>
      </c>
      <c r="H107" s="316">
        <f t="shared" si="12"/>
        <v>-481633.55383561668</v>
      </c>
      <c r="J107" s="8">
        <f>Données!AN107</f>
        <v>69870</v>
      </c>
      <c r="K107" s="215">
        <f t="shared" si="13"/>
        <v>167486.36602739722</v>
      </c>
      <c r="L107" s="12">
        <f t="shared" si="14"/>
        <v>0</v>
      </c>
      <c r="M107" s="316">
        <f t="shared" si="15"/>
        <v>0</v>
      </c>
      <c r="O107" s="42">
        <f t="shared" si="16"/>
        <v>-481633.55383561668</v>
      </c>
      <c r="P107" s="273"/>
      <c r="Q107" s="228"/>
      <c r="R107" s="228"/>
      <c r="S107" s="228"/>
      <c r="T107" s="228"/>
      <c r="U107" s="228"/>
      <c r="AF107" s="11"/>
      <c r="AG107" s="11"/>
      <c r="AH107" s="11"/>
      <c r="AI107" s="11"/>
      <c r="AJ107" s="11"/>
      <c r="AK107" s="11"/>
      <c r="AL107" s="11"/>
    </row>
    <row r="108" spans="1:38" x14ac:dyDescent="0.25">
      <c r="A108" s="38">
        <f>+Données!A108</f>
        <v>5583</v>
      </c>
      <c r="B108" s="249" t="str">
        <f>+Données!B108</f>
        <v>Crissier</v>
      </c>
      <c r="C108" s="237">
        <f>+Ecrêtage!C108</f>
        <v>337339.7176377952</v>
      </c>
      <c r="D108" s="235"/>
      <c r="E108" s="237">
        <f>Données!AF108+Données!AG108+Données!AH108</f>
        <v>6587678</v>
      </c>
      <c r="F108" s="235">
        <f t="shared" si="10"/>
        <v>2698717.7411023616</v>
      </c>
      <c r="G108" s="8">
        <f t="shared" si="11"/>
        <v>3888960.2588976384</v>
      </c>
      <c r="H108" s="316">
        <f t="shared" si="12"/>
        <v>-2916720.1941732289</v>
      </c>
      <c r="J108" s="8">
        <f>Données!AN108</f>
        <v>60241</v>
      </c>
      <c r="K108" s="215">
        <f t="shared" si="13"/>
        <v>337339.7176377952</v>
      </c>
      <c r="L108" s="12">
        <f t="shared" si="14"/>
        <v>0</v>
      </c>
      <c r="M108" s="316">
        <f t="shared" si="15"/>
        <v>0</v>
      </c>
      <c r="O108" s="42">
        <f t="shared" si="16"/>
        <v>-2916720.1941732289</v>
      </c>
      <c r="P108" s="273"/>
      <c r="Q108" s="228"/>
      <c r="R108" s="228"/>
      <c r="S108" s="228"/>
      <c r="T108" s="228"/>
      <c r="U108" s="228"/>
      <c r="AF108" s="11"/>
      <c r="AG108" s="11"/>
      <c r="AH108" s="11"/>
      <c r="AI108" s="11"/>
      <c r="AJ108" s="11"/>
      <c r="AK108" s="11"/>
      <c r="AL108" s="11"/>
    </row>
    <row r="109" spans="1:38" x14ac:dyDescent="0.25">
      <c r="A109" s="38">
        <f>+Données!A109</f>
        <v>5584</v>
      </c>
      <c r="B109" s="249" t="str">
        <f>+Données!B109</f>
        <v>Epalinges</v>
      </c>
      <c r="C109" s="237">
        <f>+Ecrêtage!C109</f>
        <v>516682.33689922479</v>
      </c>
      <c r="D109" s="235"/>
      <c r="E109" s="237">
        <f>Données!AF109+Données!AG109+Données!AH109</f>
        <v>9472131</v>
      </c>
      <c r="F109" s="235">
        <f t="shared" si="10"/>
        <v>4133458.6951937983</v>
      </c>
      <c r="G109" s="8">
        <f t="shared" si="11"/>
        <v>5338672.3048062017</v>
      </c>
      <c r="H109" s="316">
        <f t="shared" si="12"/>
        <v>-4004004.2286046511</v>
      </c>
      <c r="J109" s="8">
        <f>Données!AN109</f>
        <v>291303</v>
      </c>
      <c r="K109" s="215">
        <f t="shared" si="13"/>
        <v>516682.33689922479</v>
      </c>
      <c r="L109" s="12">
        <f t="shared" si="14"/>
        <v>0</v>
      </c>
      <c r="M109" s="316">
        <f t="shared" si="15"/>
        <v>0</v>
      </c>
      <c r="O109" s="42">
        <f t="shared" si="16"/>
        <v>-4004004.2286046511</v>
      </c>
      <c r="P109" s="273"/>
      <c r="Q109" s="228"/>
      <c r="R109" s="228"/>
      <c r="S109" s="228"/>
      <c r="T109" s="228"/>
      <c r="U109" s="228"/>
      <c r="AF109" s="11"/>
      <c r="AG109" s="11"/>
      <c r="AH109" s="11"/>
      <c r="AI109" s="11"/>
      <c r="AJ109" s="11"/>
      <c r="AK109" s="11"/>
      <c r="AL109" s="11"/>
    </row>
    <row r="110" spans="1:38" x14ac:dyDescent="0.25">
      <c r="A110" s="38">
        <f>+Données!A110</f>
        <v>5585</v>
      </c>
      <c r="B110" s="249" t="str">
        <f>+Données!B110</f>
        <v>Jouxtens-Mézery</v>
      </c>
      <c r="C110" s="237">
        <f>+Ecrêtage!C110</f>
        <v>191742.38983050847</v>
      </c>
      <c r="D110" s="235"/>
      <c r="E110" s="237">
        <f>Données!AF110+Données!AG110+Données!AH110</f>
        <v>606570</v>
      </c>
      <c r="F110" s="235">
        <f t="shared" si="10"/>
        <v>1533939.1186440678</v>
      </c>
      <c r="G110" s="8">
        <f t="shared" si="11"/>
        <v>0</v>
      </c>
      <c r="H110" s="316">
        <f t="shared" si="12"/>
        <v>0</v>
      </c>
      <c r="J110" s="8">
        <f>Données!AN110</f>
        <v>19792</v>
      </c>
      <c r="K110" s="215">
        <f t="shared" si="13"/>
        <v>191742.38983050847</v>
      </c>
      <c r="L110" s="12">
        <f t="shared" si="14"/>
        <v>0</v>
      </c>
      <c r="M110" s="316">
        <f t="shared" si="15"/>
        <v>0</v>
      </c>
      <c r="O110" s="42">
        <f t="shared" si="16"/>
        <v>0</v>
      </c>
      <c r="P110" s="273"/>
      <c r="Q110" s="228"/>
      <c r="R110" s="228"/>
      <c r="S110" s="228"/>
      <c r="T110" s="228"/>
      <c r="U110" s="228"/>
      <c r="AF110" s="11"/>
      <c r="AG110" s="11"/>
      <c r="AH110" s="11"/>
      <c r="AI110" s="11"/>
      <c r="AJ110" s="11"/>
      <c r="AK110" s="11"/>
      <c r="AL110" s="11"/>
    </row>
    <row r="111" spans="1:38" x14ac:dyDescent="0.25">
      <c r="A111" s="38">
        <f>+Données!A111</f>
        <v>5586</v>
      </c>
      <c r="B111" s="249" t="str">
        <f>+Données!B111</f>
        <v>Lausanne</v>
      </c>
      <c r="C111" s="237">
        <f>+Ecrêtage!C111</f>
        <v>6457900.2123142257</v>
      </c>
      <c r="D111" s="235"/>
      <c r="E111" s="237">
        <f>Données!AF111+Données!AG111+Données!AH111</f>
        <v>117758851</v>
      </c>
      <c r="F111" s="235">
        <f t="shared" si="10"/>
        <v>51663201.698513806</v>
      </c>
      <c r="G111" s="8">
        <f t="shared" si="11"/>
        <v>66095649.301486194</v>
      </c>
      <c r="H111" s="316">
        <f t="shared" si="12"/>
        <v>-49571736.976114646</v>
      </c>
      <c r="J111" s="8">
        <f>Données!AN111</f>
        <v>2343614</v>
      </c>
      <c r="K111" s="215">
        <f t="shared" si="13"/>
        <v>6457900.2123142257</v>
      </c>
      <c r="L111" s="12">
        <f t="shared" si="14"/>
        <v>0</v>
      </c>
      <c r="M111" s="316">
        <f t="shared" si="15"/>
        <v>0</v>
      </c>
      <c r="O111" s="42">
        <f t="shared" si="16"/>
        <v>-49571736.976114646</v>
      </c>
      <c r="P111" s="273"/>
      <c r="Q111" s="228"/>
      <c r="R111" s="228"/>
      <c r="S111" s="228"/>
      <c r="T111" s="228"/>
      <c r="U111" s="228"/>
      <c r="AF111" s="11"/>
      <c r="AG111" s="11"/>
      <c r="AH111" s="11"/>
      <c r="AI111" s="11"/>
      <c r="AJ111" s="11"/>
      <c r="AK111" s="11"/>
      <c r="AL111" s="11"/>
    </row>
    <row r="112" spans="1:38" x14ac:dyDescent="0.25">
      <c r="A112" s="38">
        <f>+Données!A112</f>
        <v>5587</v>
      </c>
      <c r="B112" s="249" t="str">
        <f>+Données!B112</f>
        <v>Le Mont-sur-Lausanne</v>
      </c>
      <c r="C112" s="237">
        <f>+Ecrêtage!C112</f>
        <v>494912.33501133788</v>
      </c>
      <c r="D112" s="235"/>
      <c r="E112" s="237">
        <f>Données!AF112+Données!AG112+Données!AH112</f>
        <v>7094169</v>
      </c>
      <c r="F112" s="235">
        <f t="shared" si="10"/>
        <v>3959298.6800907031</v>
      </c>
      <c r="G112" s="8">
        <f t="shared" si="11"/>
        <v>3134870.3199092969</v>
      </c>
      <c r="H112" s="316">
        <f t="shared" si="12"/>
        <v>-2351152.7399319727</v>
      </c>
      <c r="J112" s="8">
        <f>Données!AN112</f>
        <v>75176</v>
      </c>
      <c r="K112" s="215">
        <f t="shared" si="13"/>
        <v>494912.33501133788</v>
      </c>
      <c r="L112" s="12">
        <f t="shared" si="14"/>
        <v>0</v>
      </c>
      <c r="M112" s="316">
        <f t="shared" si="15"/>
        <v>0</v>
      </c>
      <c r="O112" s="42">
        <f t="shared" si="16"/>
        <v>-2351152.7399319727</v>
      </c>
      <c r="P112" s="273"/>
      <c r="Q112" s="228"/>
      <c r="R112" s="228"/>
      <c r="S112" s="228"/>
      <c r="T112" s="228"/>
      <c r="U112" s="228"/>
      <c r="AF112" s="11"/>
      <c r="AG112" s="11"/>
      <c r="AH112" s="11"/>
      <c r="AI112" s="11"/>
      <c r="AJ112" s="11"/>
      <c r="AK112" s="11"/>
      <c r="AL112" s="11"/>
    </row>
    <row r="113" spans="1:38" x14ac:dyDescent="0.25">
      <c r="A113" s="38">
        <f>+Données!A113</f>
        <v>5588</v>
      </c>
      <c r="B113" s="249" t="str">
        <f>+Données!B113</f>
        <v>Paudex</v>
      </c>
      <c r="C113" s="237">
        <f>+Ecrêtage!C113</f>
        <v>140525.78356605806</v>
      </c>
      <c r="D113" s="235"/>
      <c r="E113" s="237">
        <f>Données!AF113+Données!AG113+Données!AH113</f>
        <v>874264</v>
      </c>
      <c r="F113" s="235">
        <f t="shared" si="10"/>
        <v>1124206.2685284645</v>
      </c>
      <c r="G113" s="8">
        <f t="shared" si="11"/>
        <v>0</v>
      </c>
      <c r="H113" s="316">
        <f t="shared" si="12"/>
        <v>0</v>
      </c>
      <c r="J113" s="8">
        <f>Données!AN113</f>
        <v>0</v>
      </c>
      <c r="K113" s="215">
        <f t="shared" si="13"/>
        <v>140525.78356605806</v>
      </c>
      <c r="L113" s="12">
        <f t="shared" si="14"/>
        <v>0</v>
      </c>
      <c r="M113" s="316">
        <f t="shared" si="15"/>
        <v>0</v>
      </c>
      <c r="O113" s="42">
        <f t="shared" si="16"/>
        <v>0</v>
      </c>
      <c r="P113" s="273"/>
      <c r="Q113" s="228"/>
      <c r="R113" s="228"/>
      <c r="S113" s="228"/>
      <c r="T113" s="228"/>
      <c r="U113" s="228"/>
      <c r="AF113" s="11"/>
      <c r="AG113" s="11"/>
      <c r="AH113" s="11"/>
      <c r="AI113" s="11"/>
      <c r="AJ113" s="11"/>
      <c r="AK113" s="11"/>
      <c r="AL113" s="11"/>
    </row>
    <row r="114" spans="1:38" x14ac:dyDescent="0.25">
      <c r="A114" s="38">
        <f>+Données!A114</f>
        <v>5589</v>
      </c>
      <c r="B114" s="249" t="str">
        <f>+Données!B114</f>
        <v>Prilly</v>
      </c>
      <c r="C114" s="237">
        <f>+Ecrêtage!C114</f>
        <v>419337.60911405843</v>
      </c>
      <c r="D114" s="235"/>
      <c r="E114" s="237">
        <f>Données!AF114+Données!AG114+Données!AH114</f>
        <v>7774512</v>
      </c>
      <c r="F114" s="235">
        <f t="shared" si="10"/>
        <v>3354700.8729124675</v>
      </c>
      <c r="G114" s="8">
        <f t="shared" si="11"/>
        <v>4419811.1270875325</v>
      </c>
      <c r="H114" s="316">
        <f t="shared" si="12"/>
        <v>-3314858.3453156492</v>
      </c>
      <c r="J114" s="8">
        <f>Données!AN114</f>
        <v>27347</v>
      </c>
      <c r="K114" s="215">
        <f t="shared" si="13"/>
        <v>419337.60911405843</v>
      </c>
      <c r="L114" s="12">
        <f t="shared" si="14"/>
        <v>0</v>
      </c>
      <c r="M114" s="316">
        <f t="shared" si="15"/>
        <v>0</v>
      </c>
      <c r="O114" s="42">
        <f t="shared" si="16"/>
        <v>-3314858.3453156492</v>
      </c>
      <c r="P114" s="273"/>
      <c r="Q114" s="228"/>
      <c r="R114" s="228"/>
      <c r="S114" s="228"/>
      <c r="T114" s="228"/>
      <c r="U114" s="228"/>
      <c r="AF114" s="11"/>
      <c r="AG114" s="11"/>
      <c r="AH114" s="11"/>
      <c r="AI114" s="11"/>
      <c r="AJ114" s="11"/>
      <c r="AK114" s="11"/>
      <c r="AL114" s="11"/>
    </row>
    <row r="115" spans="1:38" x14ac:dyDescent="0.25">
      <c r="A115" s="38">
        <f>+Données!A115</f>
        <v>5590</v>
      </c>
      <c r="B115" s="249" t="str">
        <f>+Données!B115</f>
        <v>Pully</v>
      </c>
      <c r="C115" s="237">
        <f>+Ecrêtage!C115</f>
        <v>1602221.7514051518</v>
      </c>
      <c r="D115" s="235"/>
      <c r="E115" s="237">
        <f>Données!AF115+Données!AG115+Données!AH115</f>
        <v>16139852</v>
      </c>
      <c r="F115" s="235">
        <f t="shared" si="10"/>
        <v>12817774.011241214</v>
      </c>
      <c r="G115" s="8">
        <f t="shared" si="11"/>
        <v>3322077.9887587857</v>
      </c>
      <c r="H115" s="316">
        <f t="shared" si="12"/>
        <v>-2491558.4915690892</v>
      </c>
      <c r="J115" s="8">
        <f>Données!AN115</f>
        <v>525393</v>
      </c>
      <c r="K115" s="215">
        <f t="shared" si="13"/>
        <v>1602221.7514051518</v>
      </c>
      <c r="L115" s="12">
        <f t="shared" si="14"/>
        <v>0</v>
      </c>
      <c r="M115" s="316">
        <f t="shared" si="15"/>
        <v>0</v>
      </c>
      <c r="O115" s="42">
        <f t="shared" si="16"/>
        <v>-2491558.4915690892</v>
      </c>
      <c r="P115" s="273"/>
      <c r="Q115" s="228"/>
      <c r="R115" s="228"/>
      <c r="S115" s="228"/>
      <c r="T115" s="228"/>
      <c r="U115" s="228"/>
      <c r="AF115" s="11"/>
      <c r="AG115" s="11"/>
      <c r="AH115" s="11"/>
      <c r="AI115" s="11"/>
      <c r="AJ115" s="11"/>
      <c r="AK115" s="11"/>
      <c r="AL115" s="11"/>
    </row>
    <row r="116" spans="1:38" x14ac:dyDescent="0.25">
      <c r="A116" s="38">
        <f>+Données!A116</f>
        <v>5591</v>
      </c>
      <c r="B116" s="249" t="str">
        <f>+Données!B116</f>
        <v>Renens</v>
      </c>
      <c r="C116" s="237">
        <f>+Ecrêtage!C116</f>
        <v>569549.93361781072</v>
      </c>
      <c r="D116" s="235"/>
      <c r="E116" s="237">
        <f>Données!AF116+Données!AG116+Données!AH116</f>
        <v>13931640</v>
      </c>
      <c r="F116" s="235">
        <f t="shared" si="10"/>
        <v>4556399.4689424857</v>
      </c>
      <c r="G116" s="8">
        <f t="shared" si="11"/>
        <v>9375240.5310575143</v>
      </c>
      <c r="H116" s="316">
        <f t="shared" si="12"/>
        <v>-7031430.3982931357</v>
      </c>
      <c r="J116" s="8">
        <f>Données!AN116</f>
        <v>8366</v>
      </c>
      <c r="K116" s="215">
        <f t="shared" si="13"/>
        <v>569549.93361781072</v>
      </c>
      <c r="L116" s="12">
        <f t="shared" si="14"/>
        <v>0</v>
      </c>
      <c r="M116" s="316">
        <f t="shared" si="15"/>
        <v>0</v>
      </c>
      <c r="O116" s="42">
        <f t="shared" si="16"/>
        <v>-7031430.3982931357</v>
      </c>
      <c r="P116" s="273"/>
      <c r="Q116" s="228"/>
      <c r="R116" s="228"/>
      <c r="S116" s="228"/>
      <c r="T116" s="228"/>
      <c r="U116" s="228"/>
      <c r="AF116" s="11"/>
      <c r="AG116" s="11"/>
      <c r="AH116" s="11"/>
      <c r="AI116" s="11"/>
      <c r="AJ116" s="11"/>
      <c r="AK116" s="11"/>
      <c r="AL116" s="11"/>
    </row>
    <row r="117" spans="1:38" x14ac:dyDescent="0.25">
      <c r="A117" s="38">
        <f>+Données!A117</f>
        <v>5592</v>
      </c>
      <c r="B117" s="249" t="str">
        <f>+Données!B117</f>
        <v>Romanel-sur-Lausanne</v>
      </c>
      <c r="C117" s="237">
        <f>+Ecrêtage!C117</f>
        <v>121058.65858156027</v>
      </c>
      <c r="D117" s="235"/>
      <c r="E117" s="237">
        <f>Données!AF117+Données!AG117+Données!AH117</f>
        <v>1301167</v>
      </c>
      <c r="F117" s="235">
        <f t="shared" si="10"/>
        <v>968469.26865248219</v>
      </c>
      <c r="G117" s="8">
        <f t="shared" si="11"/>
        <v>332697.73134751781</v>
      </c>
      <c r="H117" s="316">
        <f t="shared" si="12"/>
        <v>-249523.29851063836</v>
      </c>
      <c r="J117" s="8">
        <f>Données!AN117</f>
        <v>9298</v>
      </c>
      <c r="K117" s="215">
        <f t="shared" si="13"/>
        <v>121058.65858156027</v>
      </c>
      <c r="L117" s="12">
        <f t="shared" si="14"/>
        <v>0</v>
      </c>
      <c r="M117" s="316">
        <f t="shared" si="15"/>
        <v>0</v>
      </c>
      <c r="O117" s="42">
        <f t="shared" si="16"/>
        <v>-249523.29851063836</v>
      </c>
      <c r="P117" s="273"/>
      <c r="Q117" s="228"/>
      <c r="R117" s="228"/>
      <c r="S117" s="228"/>
      <c r="T117" s="228"/>
      <c r="U117" s="228"/>
      <c r="AF117" s="11"/>
      <c r="AG117" s="11"/>
      <c r="AH117" s="11"/>
      <c r="AI117" s="11"/>
      <c r="AJ117" s="11"/>
      <c r="AK117" s="11"/>
      <c r="AL117" s="11"/>
    </row>
    <row r="118" spans="1:38" x14ac:dyDescent="0.25">
      <c r="A118" s="38">
        <f>+Données!A118</f>
        <v>5601</v>
      </c>
      <c r="B118" s="249" t="str">
        <f>+Données!B118</f>
        <v>Chexbres</v>
      </c>
      <c r="C118" s="237">
        <f>+Ecrêtage!C118</f>
        <v>105964.39288888889</v>
      </c>
      <c r="D118" s="235"/>
      <c r="E118" s="237">
        <f>Données!AF118+Données!AG118+Données!AH118</f>
        <v>1230772</v>
      </c>
      <c r="F118" s="235">
        <f t="shared" si="10"/>
        <v>847715.14311111113</v>
      </c>
      <c r="G118" s="8">
        <f t="shared" si="11"/>
        <v>383056.85688888887</v>
      </c>
      <c r="H118" s="316">
        <f t="shared" si="12"/>
        <v>-287292.64266666665</v>
      </c>
      <c r="J118" s="8">
        <f>Données!AN118</f>
        <v>40241</v>
      </c>
      <c r="K118" s="215">
        <f t="shared" si="13"/>
        <v>105964.39288888889</v>
      </c>
      <c r="L118" s="12">
        <f t="shared" si="14"/>
        <v>0</v>
      </c>
      <c r="M118" s="316">
        <f t="shared" si="15"/>
        <v>0</v>
      </c>
      <c r="O118" s="42">
        <f t="shared" si="16"/>
        <v>-287292.64266666665</v>
      </c>
      <c r="P118" s="273"/>
      <c r="Q118" s="228"/>
      <c r="R118" s="228"/>
      <c r="S118" s="228"/>
      <c r="T118" s="228"/>
      <c r="U118" s="228"/>
      <c r="AF118" s="11"/>
      <c r="AG118" s="11"/>
      <c r="AH118" s="11"/>
      <c r="AI118" s="11"/>
      <c r="AJ118" s="11"/>
      <c r="AK118" s="11"/>
      <c r="AL118" s="11"/>
    </row>
    <row r="119" spans="1:38" x14ac:dyDescent="0.25">
      <c r="A119" s="38">
        <f>+Données!A119</f>
        <v>5604</v>
      </c>
      <c r="B119" s="249" t="str">
        <f>+Données!B119</f>
        <v>Forel (Lavaux)</v>
      </c>
      <c r="C119" s="237">
        <f>+Ecrêtage!C119</f>
        <v>75806.642898550723</v>
      </c>
      <c r="D119" s="235"/>
      <c r="E119" s="237">
        <f>Données!AF119+Données!AG119+Données!AH119</f>
        <v>1057310</v>
      </c>
      <c r="F119" s="235">
        <f t="shared" si="10"/>
        <v>606453.14318840578</v>
      </c>
      <c r="G119" s="8">
        <f t="shared" si="11"/>
        <v>450856.85681159422</v>
      </c>
      <c r="H119" s="316">
        <f t="shared" si="12"/>
        <v>-338142.64260869566</v>
      </c>
      <c r="J119" s="8">
        <f>Données!AN119</f>
        <v>36654</v>
      </c>
      <c r="K119" s="215">
        <f t="shared" si="13"/>
        <v>75806.642898550723</v>
      </c>
      <c r="L119" s="12">
        <f t="shared" si="14"/>
        <v>0</v>
      </c>
      <c r="M119" s="316">
        <f t="shared" si="15"/>
        <v>0</v>
      </c>
      <c r="O119" s="42">
        <f t="shared" si="16"/>
        <v>-338142.64260869566</v>
      </c>
      <c r="P119" s="273"/>
      <c r="Q119" s="228"/>
      <c r="R119" s="228"/>
      <c r="S119" s="228"/>
      <c r="T119" s="228"/>
      <c r="U119" s="228"/>
      <c r="AF119" s="11"/>
      <c r="AG119" s="11"/>
      <c r="AH119" s="11"/>
      <c r="AI119" s="11"/>
      <c r="AJ119" s="11"/>
      <c r="AK119" s="11"/>
      <c r="AL119" s="11"/>
    </row>
    <row r="120" spans="1:38" x14ac:dyDescent="0.25">
      <c r="A120" s="38">
        <f>+Données!A120</f>
        <v>5606</v>
      </c>
      <c r="B120" s="249" t="str">
        <f>+Données!B120</f>
        <v>Lutry</v>
      </c>
      <c r="C120" s="237">
        <f>+Ecrêtage!C120</f>
        <v>959386.53714285709</v>
      </c>
      <c r="D120" s="235"/>
      <c r="E120" s="237">
        <f>Données!AF120+Données!AG120+Données!AH120</f>
        <v>10414346</v>
      </c>
      <c r="F120" s="235">
        <f t="shared" si="10"/>
        <v>7675092.2971428568</v>
      </c>
      <c r="G120" s="8">
        <f t="shared" si="11"/>
        <v>2739253.7028571432</v>
      </c>
      <c r="H120" s="316">
        <f t="shared" si="12"/>
        <v>-2054440.2771428574</v>
      </c>
      <c r="J120" s="8">
        <f>Données!AN120</f>
        <v>349787</v>
      </c>
      <c r="K120" s="215">
        <f t="shared" si="13"/>
        <v>959386.53714285709</v>
      </c>
      <c r="L120" s="12">
        <f t="shared" si="14"/>
        <v>0</v>
      </c>
      <c r="M120" s="316">
        <f t="shared" si="15"/>
        <v>0</v>
      </c>
      <c r="O120" s="42">
        <f t="shared" si="16"/>
        <v>-2054440.2771428574</v>
      </c>
      <c r="P120" s="273"/>
      <c r="Q120" s="228"/>
      <c r="R120" s="228"/>
      <c r="S120" s="228"/>
      <c r="T120" s="228"/>
      <c r="U120" s="228"/>
      <c r="AF120" s="11"/>
      <c r="AG120" s="11"/>
      <c r="AH120" s="11"/>
      <c r="AI120" s="11"/>
      <c r="AJ120" s="11"/>
      <c r="AK120" s="11"/>
      <c r="AL120" s="11"/>
    </row>
    <row r="121" spans="1:38" x14ac:dyDescent="0.25">
      <c r="A121" s="38">
        <f>+Données!A121</f>
        <v>5607</v>
      </c>
      <c r="B121" s="249" t="str">
        <f>+Données!B121</f>
        <v>Puidoux</v>
      </c>
      <c r="C121" s="237">
        <f>+Ecrêtage!C121</f>
        <v>111538.40092668995</v>
      </c>
      <c r="D121" s="235"/>
      <c r="E121" s="237">
        <f>Données!AF121+Données!AG121+Données!AH121</f>
        <v>2185253</v>
      </c>
      <c r="F121" s="235">
        <f t="shared" si="10"/>
        <v>892307.20741351962</v>
      </c>
      <c r="G121" s="8">
        <f t="shared" si="11"/>
        <v>1292945.7925864803</v>
      </c>
      <c r="H121" s="316">
        <f t="shared" si="12"/>
        <v>-969709.3444398602</v>
      </c>
      <c r="J121" s="8">
        <f>Données!AN121</f>
        <v>14323</v>
      </c>
      <c r="K121" s="215">
        <f t="shared" si="13"/>
        <v>111538.40092668995</v>
      </c>
      <c r="L121" s="12">
        <f t="shared" si="14"/>
        <v>0</v>
      </c>
      <c r="M121" s="316">
        <f t="shared" si="15"/>
        <v>0</v>
      </c>
      <c r="O121" s="42">
        <f t="shared" si="16"/>
        <v>-969709.3444398602</v>
      </c>
      <c r="P121" s="273"/>
      <c r="Q121" s="228"/>
      <c r="R121" s="228"/>
      <c r="S121" s="228"/>
      <c r="T121" s="228"/>
      <c r="U121" s="228"/>
      <c r="AF121" s="11"/>
      <c r="AG121" s="11"/>
      <c r="AH121" s="11"/>
      <c r="AI121" s="11"/>
      <c r="AJ121" s="11"/>
      <c r="AK121" s="11"/>
      <c r="AL121" s="11"/>
    </row>
    <row r="122" spans="1:38" x14ac:dyDescent="0.25">
      <c r="A122" s="38">
        <f>+Données!A122</f>
        <v>5609</v>
      </c>
      <c r="B122" s="249" t="str">
        <f>+Données!B122</f>
        <v>Rivaz</v>
      </c>
      <c r="C122" s="237">
        <f>+Ecrêtage!C122</f>
        <v>14895.889354838711</v>
      </c>
      <c r="D122" s="235"/>
      <c r="E122" s="237">
        <f>Données!AF122+Données!AG122+Données!AH122</f>
        <v>186393</v>
      </c>
      <c r="F122" s="235">
        <f t="shared" si="10"/>
        <v>119167.11483870969</v>
      </c>
      <c r="G122" s="8">
        <f t="shared" si="11"/>
        <v>67225.885161290309</v>
      </c>
      <c r="H122" s="316">
        <f t="shared" si="12"/>
        <v>-50419.413870967735</v>
      </c>
      <c r="J122" s="8">
        <f>Données!AN122</f>
        <v>11729</v>
      </c>
      <c r="K122" s="215">
        <f t="shared" si="13"/>
        <v>14895.889354838711</v>
      </c>
      <c r="L122" s="12">
        <f t="shared" si="14"/>
        <v>0</v>
      </c>
      <c r="M122" s="316">
        <f t="shared" si="15"/>
        <v>0</v>
      </c>
      <c r="O122" s="42">
        <f t="shared" si="16"/>
        <v>-50419.413870967735</v>
      </c>
      <c r="P122" s="273"/>
      <c r="Q122" s="228"/>
      <c r="R122" s="228"/>
      <c r="S122" s="228"/>
      <c r="T122" s="228"/>
      <c r="U122" s="228"/>
      <c r="AF122" s="11"/>
      <c r="AG122" s="11"/>
      <c r="AH122" s="11"/>
      <c r="AI122" s="11"/>
      <c r="AJ122" s="11"/>
      <c r="AK122" s="11"/>
      <c r="AL122" s="11"/>
    </row>
    <row r="123" spans="1:38" x14ac:dyDescent="0.25">
      <c r="A123" s="38">
        <f>+Données!A123</f>
        <v>5610</v>
      </c>
      <c r="B123" s="249" t="str">
        <f>+Données!B123</f>
        <v>St-Saphorin (Lavaux)</v>
      </c>
      <c r="C123" s="237">
        <f>+Ecrêtage!C123</f>
        <v>23447.805208333331</v>
      </c>
      <c r="D123" s="235"/>
      <c r="E123" s="237">
        <f>Données!AF123+Données!AG123+Données!AH123</f>
        <v>192983</v>
      </c>
      <c r="F123" s="235">
        <f t="shared" si="10"/>
        <v>187582.44166666665</v>
      </c>
      <c r="G123" s="8">
        <f t="shared" si="11"/>
        <v>5400.5583333333489</v>
      </c>
      <c r="H123" s="316">
        <f t="shared" si="12"/>
        <v>-4050.4187500000116</v>
      </c>
      <c r="J123" s="8">
        <f>Données!AN123</f>
        <v>6805</v>
      </c>
      <c r="K123" s="215">
        <f t="shared" si="13"/>
        <v>23447.805208333331</v>
      </c>
      <c r="L123" s="12">
        <f t="shared" si="14"/>
        <v>0</v>
      </c>
      <c r="M123" s="316">
        <f t="shared" si="15"/>
        <v>0</v>
      </c>
      <c r="O123" s="42">
        <f t="shared" si="16"/>
        <v>-4050.4187500000116</v>
      </c>
      <c r="P123" s="273"/>
      <c r="Q123" s="228"/>
      <c r="R123" s="228"/>
      <c r="S123" s="228"/>
      <c r="T123" s="228"/>
      <c r="U123" s="228"/>
      <c r="AF123" s="11"/>
      <c r="AG123" s="11"/>
      <c r="AH123" s="11"/>
      <c r="AI123" s="11"/>
      <c r="AJ123" s="11"/>
      <c r="AK123" s="11"/>
      <c r="AL123" s="11"/>
    </row>
    <row r="124" spans="1:38" x14ac:dyDescent="0.25">
      <c r="A124" s="38">
        <f>+Données!A124</f>
        <v>5611</v>
      </c>
      <c r="B124" s="249" t="str">
        <f>+Données!B124</f>
        <v>Savigny</v>
      </c>
      <c r="C124" s="237">
        <f>+Ecrêtage!C124</f>
        <v>140961.75301932363</v>
      </c>
      <c r="D124" s="235"/>
      <c r="E124" s="237">
        <f>Données!AF124+Données!AG124+Données!AH124</f>
        <v>1982514</v>
      </c>
      <c r="F124" s="235">
        <f t="shared" si="10"/>
        <v>1127694.024154589</v>
      </c>
      <c r="G124" s="8">
        <f t="shared" si="11"/>
        <v>854819.97584541095</v>
      </c>
      <c r="H124" s="316">
        <f t="shared" si="12"/>
        <v>-641114.98188405822</v>
      </c>
      <c r="J124" s="8">
        <f>Données!AN124</f>
        <v>39844</v>
      </c>
      <c r="K124" s="215">
        <f t="shared" si="13"/>
        <v>140961.75301932363</v>
      </c>
      <c r="L124" s="12">
        <f t="shared" si="14"/>
        <v>0</v>
      </c>
      <c r="M124" s="316">
        <f t="shared" si="15"/>
        <v>0</v>
      </c>
      <c r="O124" s="42">
        <f t="shared" si="16"/>
        <v>-641114.98188405822</v>
      </c>
      <c r="P124" s="273"/>
      <c r="Q124" s="228"/>
      <c r="R124" s="228"/>
      <c r="S124" s="228"/>
      <c r="T124" s="228"/>
      <c r="U124" s="228"/>
      <c r="AF124" s="11"/>
      <c r="AG124" s="11"/>
      <c r="AH124" s="11"/>
      <c r="AI124" s="11"/>
      <c r="AJ124" s="11"/>
      <c r="AK124" s="11"/>
      <c r="AL124" s="11"/>
    </row>
    <row r="125" spans="1:38" x14ac:dyDescent="0.25">
      <c r="A125" s="38">
        <f>+Données!A125</f>
        <v>5613</v>
      </c>
      <c r="B125" s="249" t="str">
        <f>+Données!B125</f>
        <v>Bourg-en-Lavaux</v>
      </c>
      <c r="C125" s="237">
        <f>+Ecrêtage!C125</f>
        <v>357200.5696533334</v>
      </c>
      <c r="D125" s="235"/>
      <c r="E125" s="237">
        <f>Données!AF125+Données!AG125+Données!AH125</f>
        <v>2837585</v>
      </c>
      <c r="F125" s="235">
        <f t="shared" si="10"/>
        <v>2857604.5572266672</v>
      </c>
      <c r="G125" s="8">
        <f t="shared" si="11"/>
        <v>0</v>
      </c>
      <c r="H125" s="316">
        <f t="shared" si="12"/>
        <v>0</v>
      </c>
      <c r="J125" s="8">
        <f>Données!AN125</f>
        <v>188616</v>
      </c>
      <c r="K125" s="215">
        <f t="shared" si="13"/>
        <v>357200.5696533334</v>
      </c>
      <c r="L125" s="12">
        <f t="shared" si="14"/>
        <v>0</v>
      </c>
      <c r="M125" s="316">
        <f t="shared" si="15"/>
        <v>0</v>
      </c>
      <c r="O125" s="42">
        <f t="shared" si="16"/>
        <v>0</v>
      </c>
      <c r="P125" s="273"/>
      <c r="Q125" s="228"/>
      <c r="R125" s="228"/>
      <c r="S125" s="228"/>
      <c r="T125" s="228"/>
      <c r="U125" s="228"/>
      <c r="AF125" s="11"/>
      <c r="AG125" s="11"/>
      <c r="AH125" s="11"/>
      <c r="AI125" s="11"/>
      <c r="AJ125" s="11"/>
      <c r="AK125" s="11"/>
      <c r="AL125" s="11"/>
    </row>
    <row r="126" spans="1:38" x14ac:dyDescent="0.25">
      <c r="A126" s="38">
        <f>+Données!A126</f>
        <v>5621</v>
      </c>
      <c r="B126" s="249" t="str">
        <f>+Données!B126</f>
        <v>Aclens</v>
      </c>
      <c r="C126" s="237">
        <f>+Ecrêtage!C126</f>
        <v>32245.149105571847</v>
      </c>
      <c r="D126" s="235"/>
      <c r="E126" s="237">
        <f>Données!AF126+Données!AG126+Données!AH126</f>
        <v>306156</v>
      </c>
      <c r="F126" s="235">
        <f t="shared" si="10"/>
        <v>257961.19284457478</v>
      </c>
      <c r="G126" s="8">
        <f t="shared" si="11"/>
        <v>48194.807155425224</v>
      </c>
      <c r="H126" s="316">
        <f t="shared" si="12"/>
        <v>-36146.105366568918</v>
      </c>
      <c r="J126" s="8">
        <f>Données!AN126</f>
        <v>-3156</v>
      </c>
      <c r="K126" s="215">
        <f t="shared" si="13"/>
        <v>32245.149105571847</v>
      </c>
      <c r="L126" s="12">
        <f t="shared" si="14"/>
        <v>0</v>
      </c>
      <c r="M126" s="316">
        <f t="shared" si="15"/>
        <v>0</v>
      </c>
      <c r="O126" s="42">
        <f t="shared" si="16"/>
        <v>-36146.105366568918</v>
      </c>
      <c r="P126" s="273"/>
      <c r="Q126" s="228"/>
      <c r="R126" s="228"/>
      <c r="S126" s="228"/>
      <c r="T126" s="228"/>
      <c r="U126" s="228"/>
      <c r="AF126" s="11"/>
      <c r="AG126" s="11"/>
      <c r="AH126" s="11"/>
      <c r="AI126" s="11"/>
      <c r="AJ126" s="11"/>
      <c r="AK126" s="11"/>
      <c r="AL126" s="11"/>
    </row>
    <row r="127" spans="1:38" x14ac:dyDescent="0.25">
      <c r="A127" s="38">
        <f>+Données!A127</f>
        <v>5622</v>
      </c>
      <c r="B127" s="249" t="str">
        <f>+Données!B127</f>
        <v>Bremblens</v>
      </c>
      <c r="C127" s="237">
        <f>+Ecrêtage!C127</f>
        <v>28642.58897058824</v>
      </c>
      <c r="D127" s="235"/>
      <c r="E127" s="237">
        <f>Données!AF127+Données!AG127+Données!AH127</f>
        <v>242556</v>
      </c>
      <c r="F127" s="235">
        <f t="shared" si="10"/>
        <v>229140.71176470592</v>
      </c>
      <c r="G127" s="8">
        <f t="shared" si="11"/>
        <v>13415.28823529408</v>
      </c>
      <c r="H127" s="316">
        <f t="shared" si="12"/>
        <v>-10061.46617647056</v>
      </c>
      <c r="J127" s="8">
        <f>Données!AN127</f>
        <v>19885</v>
      </c>
      <c r="K127" s="215">
        <f t="shared" si="13"/>
        <v>28642.58897058824</v>
      </c>
      <c r="L127" s="12">
        <f t="shared" si="14"/>
        <v>0</v>
      </c>
      <c r="M127" s="316">
        <f t="shared" si="15"/>
        <v>0</v>
      </c>
      <c r="O127" s="42">
        <f t="shared" si="16"/>
        <v>-10061.46617647056</v>
      </c>
      <c r="P127" s="273"/>
      <c r="Q127" s="228"/>
      <c r="R127" s="228"/>
      <c r="S127" s="228"/>
      <c r="T127" s="228"/>
      <c r="U127" s="228"/>
      <c r="AF127" s="11"/>
      <c r="AG127" s="11"/>
      <c r="AH127" s="11"/>
      <c r="AI127" s="11"/>
      <c r="AJ127" s="11"/>
      <c r="AK127" s="11"/>
      <c r="AL127" s="11"/>
    </row>
    <row r="128" spans="1:38" x14ac:dyDescent="0.25">
      <c r="A128" s="38">
        <f>+Données!A128</f>
        <v>5623</v>
      </c>
      <c r="B128" s="249" t="str">
        <f>+Données!B128</f>
        <v>Buchillon</v>
      </c>
      <c r="C128" s="237">
        <f>+Ecrêtage!C128</f>
        <v>89223.972115384619</v>
      </c>
      <c r="D128" s="235"/>
      <c r="E128" s="237">
        <f>Données!AF128+Données!AG128+Données!AH128</f>
        <v>226795</v>
      </c>
      <c r="F128" s="235">
        <f t="shared" si="10"/>
        <v>713791.77692307695</v>
      </c>
      <c r="G128" s="8">
        <f t="shared" si="11"/>
        <v>0</v>
      </c>
      <c r="H128" s="316">
        <f t="shared" si="12"/>
        <v>0</v>
      </c>
      <c r="J128" s="8">
        <f>Données!AN128</f>
        <v>15067</v>
      </c>
      <c r="K128" s="215">
        <f t="shared" si="13"/>
        <v>89223.972115384619</v>
      </c>
      <c r="L128" s="12">
        <f t="shared" si="14"/>
        <v>0</v>
      </c>
      <c r="M128" s="316">
        <f t="shared" si="15"/>
        <v>0</v>
      </c>
      <c r="O128" s="42">
        <f t="shared" si="16"/>
        <v>0</v>
      </c>
      <c r="P128" s="273"/>
      <c r="Q128" s="228"/>
      <c r="R128" s="228"/>
      <c r="S128" s="228"/>
      <c r="T128" s="228"/>
      <c r="U128" s="228"/>
      <c r="AF128" s="11"/>
      <c r="AG128" s="11"/>
      <c r="AH128" s="11"/>
      <c r="AI128" s="11"/>
      <c r="AJ128" s="11"/>
      <c r="AK128" s="11"/>
      <c r="AL128" s="11"/>
    </row>
    <row r="129" spans="1:38" x14ac:dyDescent="0.25">
      <c r="A129" s="38">
        <f>+Données!A129</f>
        <v>5624</v>
      </c>
      <c r="B129" s="249" t="str">
        <f>+Données!B129</f>
        <v>Bussigny</v>
      </c>
      <c r="C129" s="237">
        <f>+Ecrêtage!C129</f>
        <v>441652.56160000002</v>
      </c>
      <c r="D129" s="235"/>
      <c r="E129" s="237">
        <f>Données!AF129+Données!AG129+Données!AH129</f>
        <v>5387098.8999999994</v>
      </c>
      <c r="F129" s="235">
        <f t="shared" si="10"/>
        <v>3533220.4928000001</v>
      </c>
      <c r="G129" s="8">
        <f t="shared" si="11"/>
        <v>1853878.4071999993</v>
      </c>
      <c r="H129" s="316">
        <f t="shared" si="12"/>
        <v>-1390408.8053999995</v>
      </c>
      <c r="J129" s="8">
        <f>Données!AN129</f>
        <v>205609</v>
      </c>
      <c r="K129" s="215">
        <f t="shared" si="13"/>
        <v>441652.56160000002</v>
      </c>
      <c r="L129" s="12">
        <f t="shared" si="14"/>
        <v>0</v>
      </c>
      <c r="M129" s="316">
        <f t="shared" si="15"/>
        <v>0</v>
      </c>
      <c r="O129" s="42">
        <f t="shared" si="16"/>
        <v>-1390408.8053999995</v>
      </c>
      <c r="P129" s="273"/>
      <c r="Q129" s="228"/>
      <c r="R129" s="228"/>
      <c r="S129" s="228"/>
      <c r="T129" s="228"/>
      <c r="U129" s="228"/>
      <c r="AF129" s="11"/>
      <c r="AG129" s="11"/>
      <c r="AH129" s="11"/>
      <c r="AI129" s="11"/>
      <c r="AJ129" s="11"/>
      <c r="AK129" s="11"/>
      <c r="AL129" s="11"/>
    </row>
    <row r="130" spans="1:38" x14ac:dyDescent="0.25">
      <c r="A130" s="38">
        <f>+Données!A130</f>
        <v>5627</v>
      </c>
      <c r="B130" s="249" t="str">
        <f>+Données!B130</f>
        <v>Chavannes-près-Renens</v>
      </c>
      <c r="C130" s="237">
        <f>+Ecrêtage!C130</f>
        <v>194013.68774193546</v>
      </c>
      <c r="D130" s="235"/>
      <c r="E130" s="237">
        <f>Données!AF130+Données!AG130+Données!AH130</f>
        <v>4080995</v>
      </c>
      <c r="F130" s="235">
        <f t="shared" si="10"/>
        <v>1552109.5019354837</v>
      </c>
      <c r="G130" s="8">
        <f t="shared" si="11"/>
        <v>2528885.4980645161</v>
      </c>
      <c r="H130" s="316">
        <f t="shared" si="12"/>
        <v>-1896664.1235483871</v>
      </c>
      <c r="J130" s="8">
        <f>Données!AN130</f>
        <v>11205</v>
      </c>
      <c r="K130" s="215">
        <f t="shared" si="13"/>
        <v>194013.68774193546</v>
      </c>
      <c r="L130" s="12">
        <f t="shared" si="14"/>
        <v>0</v>
      </c>
      <c r="M130" s="316">
        <f t="shared" si="15"/>
        <v>0</v>
      </c>
      <c r="O130" s="42">
        <f t="shared" si="16"/>
        <v>-1896664.1235483871</v>
      </c>
      <c r="P130" s="273"/>
      <c r="Q130" s="228"/>
      <c r="R130" s="228"/>
      <c r="S130" s="228"/>
      <c r="T130" s="228"/>
      <c r="U130" s="228"/>
      <c r="AF130" s="11"/>
      <c r="AG130" s="11"/>
      <c r="AH130" s="11"/>
      <c r="AI130" s="11"/>
      <c r="AJ130" s="11"/>
      <c r="AK130" s="11"/>
      <c r="AL130" s="11"/>
    </row>
    <row r="131" spans="1:38" x14ac:dyDescent="0.25">
      <c r="A131" s="38">
        <f>+Données!A131</f>
        <v>5628</v>
      </c>
      <c r="B131" s="249" t="str">
        <f>+Données!B131</f>
        <v>Chigny</v>
      </c>
      <c r="C131" s="237">
        <f>+Ecrêtage!C131</f>
        <v>25790.655967741935</v>
      </c>
      <c r="D131" s="235"/>
      <c r="E131" s="237">
        <f>Données!AF131+Données!AG131+Données!AH131</f>
        <v>98258</v>
      </c>
      <c r="F131" s="235">
        <f t="shared" si="10"/>
        <v>206325.24774193548</v>
      </c>
      <c r="G131" s="8">
        <f t="shared" si="11"/>
        <v>0</v>
      </c>
      <c r="H131" s="316">
        <f t="shared" si="12"/>
        <v>0</v>
      </c>
      <c r="J131" s="8">
        <f>Données!AN131</f>
        <v>3053</v>
      </c>
      <c r="K131" s="215">
        <f t="shared" si="13"/>
        <v>25790.655967741935</v>
      </c>
      <c r="L131" s="12">
        <f t="shared" si="14"/>
        <v>0</v>
      </c>
      <c r="M131" s="316">
        <f t="shared" si="15"/>
        <v>0</v>
      </c>
      <c r="O131" s="42">
        <f t="shared" si="16"/>
        <v>0</v>
      </c>
      <c r="P131" s="273"/>
      <c r="Q131" s="228"/>
      <c r="R131" s="228"/>
      <c r="S131" s="228"/>
      <c r="T131" s="228"/>
      <c r="U131" s="228"/>
      <c r="AF131" s="11"/>
      <c r="AG131" s="11"/>
      <c r="AH131" s="11"/>
      <c r="AI131" s="11"/>
      <c r="AJ131" s="11"/>
      <c r="AK131" s="11"/>
      <c r="AL131" s="11"/>
    </row>
    <row r="132" spans="1:38" x14ac:dyDescent="0.25">
      <c r="A132" s="38">
        <f>+Données!A132</f>
        <v>5629</v>
      </c>
      <c r="B132" s="249" t="str">
        <f>+Données!B132</f>
        <v>Clarmont</v>
      </c>
      <c r="C132" s="237">
        <f>+Ecrêtage!C132</f>
        <v>9947.9383673469401</v>
      </c>
      <c r="D132" s="235"/>
      <c r="E132" s="237">
        <f>Données!AF132+Données!AG132+Données!AH132</f>
        <v>144716</v>
      </c>
      <c r="F132" s="235">
        <f t="shared" si="10"/>
        <v>79583.506938775521</v>
      </c>
      <c r="G132" s="8">
        <f t="shared" si="11"/>
        <v>65132.493061224479</v>
      </c>
      <c r="H132" s="316">
        <f t="shared" si="12"/>
        <v>-48849.369795918363</v>
      </c>
      <c r="J132" s="8">
        <f>Données!AN132</f>
        <v>331</v>
      </c>
      <c r="K132" s="215">
        <f t="shared" si="13"/>
        <v>9947.9383673469401</v>
      </c>
      <c r="L132" s="12">
        <f t="shared" si="14"/>
        <v>0</v>
      </c>
      <c r="M132" s="316">
        <f t="shared" si="15"/>
        <v>0</v>
      </c>
      <c r="O132" s="42">
        <f t="shared" si="16"/>
        <v>-48849.369795918363</v>
      </c>
      <c r="P132" s="273"/>
      <c r="Q132" s="228"/>
      <c r="R132" s="228"/>
      <c r="S132" s="228"/>
      <c r="T132" s="228"/>
      <c r="U132" s="228"/>
      <c r="AF132" s="11"/>
      <c r="AG132" s="11"/>
      <c r="AH132" s="11"/>
      <c r="AI132" s="11"/>
      <c r="AJ132" s="11"/>
      <c r="AK132" s="11"/>
      <c r="AL132" s="11"/>
    </row>
    <row r="133" spans="1:38" x14ac:dyDescent="0.25">
      <c r="A133" s="38">
        <f>+Données!A133</f>
        <v>5631</v>
      </c>
      <c r="B133" s="249" t="str">
        <f>+Données!B133</f>
        <v>Denens</v>
      </c>
      <c r="C133" s="237">
        <f>+Ecrêtage!C133</f>
        <v>43289.846911764696</v>
      </c>
      <c r="D133" s="235"/>
      <c r="E133" s="237">
        <f>Données!AF133+Données!AG133+Données!AH133</f>
        <v>0</v>
      </c>
      <c r="F133" s="235">
        <f t="shared" si="10"/>
        <v>346318.77529411757</v>
      </c>
      <c r="G133" s="8">
        <f t="shared" si="11"/>
        <v>0</v>
      </c>
      <c r="H133" s="316">
        <f t="shared" si="12"/>
        <v>0</v>
      </c>
      <c r="J133" s="8">
        <f>Données!AN133</f>
        <v>0</v>
      </c>
      <c r="K133" s="215">
        <f t="shared" si="13"/>
        <v>43289.846911764696</v>
      </c>
      <c r="L133" s="12">
        <f t="shared" si="14"/>
        <v>0</v>
      </c>
      <c r="M133" s="316">
        <f t="shared" si="15"/>
        <v>0</v>
      </c>
      <c r="O133" s="42">
        <f t="shared" si="16"/>
        <v>0</v>
      </c>
      <c r="P133" s="273"/>
      <c r="Q133" s="228"/>
      <c r="R133" s="228"/>
      <c r="S133" s="228"/>
      <c r="T133" s="228"/>
      <c r="U133" s="228"/>
      <c r="AF133" s="11"/>
      <c r="AG133" s="11"/>
      <c r="AH133" s="11"/>
      <c r="AI133" s="11"/>
      <c r="AJ133" s="11"/>
      <c r="AK133" s="11"/>
      <c r="AL133" s="11"/>
    </row>
    <row r="134" spans="1:38" x14ac:dyDescent="0.25">
      <c r="A134" s="38">
        <f>+Données!A134</f>
        <v>5632</v>
      </c>
      <c r="B134" s="249" t="str">
        <f>+Données!B134</f>
        <v>Denges</v>
      </c>
      <c r="C134" s="237">
        <f>+Ecrêtage!C134</f>
        <v>80504.673548387087</v>
      </c>
      <c r="D134" s="235"/>
      <c r="E134" s="237">
        <f>Données!AF134+Données!AG134+Données!AH134</f>
        <v>784588</v>
      </c>
      <c r="F134" s="235">
        <f t="shared" si="10"/>
        <v>644037.3883870967</v>
      </c>
      <c r="G134" s="8">
        <f t="shared" si="11"/>
        <v>140550.6116129033</v>
      </c>
      <c r="H134" s="316">
        <f t="shared" si="12"/>
        <v>-105412.95870967748</v>
      </c>
      <c r="J134" s="8">
        <f>Données!AN134</f>
        <v>2439</v>
      </c>
      <c r="K134" s="215">
        <f t="shared" si="13"/>
        <v>80504.673548387087</v>
      </c>
      <c r="L134" s="12">
        <f t="shared" si="14"/>
        <v>0</v>
      </c>
      <c r="M134" s="316">
        <f t="shared" si="15"/>
        <v>0</v>
      </c>
      <c r="O134" s="42">
        <f t="shared" si="16"/>
        <v>-105412.95870967748</v>
      </c>
      <c r="P134" s="273"/>
      <c r="Q134" s="228"/>
      <c r="R134" s="228"/>
      <c r="S134" s="228"/>
      <c r="T134" s="228"/>
      <c r="U134" s="228"/>
      <c r="AF134" s="11"/>
      <c r="AG134" s="11"/>
      <c r="AH134" s="11"/>
      <c r="AI134" s="11"/>
      <c r="AJ134" s="11"/>
      <c r="AK134" s="11"/>
      <c r="AL134" s="11"/>
    </row>
    <row r="135" spans="1:38" x14ac:dyDescent="0.25">
      <c r="A135" s="38">
        <f>+Données!A135</f>
        <v>5633</v>
      </c>
      <c r="B135" s="249" t="str">
        <f>+Données!B135</f>
        <v>Echandens</v>
      </c>
      <c r="C135" s="237">
        <f>+Ecrêtage!C135</f>
        <v>168819.8966942149</v>
      </c>
      <c r="D135" s="235"/>
      <c r="E135" s="237">
        <f>Données!AF135+Données!AG135+Données!AH135</f>
        <v>2155461</v>
      </c>
      <c r="F135" s="235">
        <f t="shared" ref="F135:F198" si="17">+C135*$G$5</f>
        <v>1350559.1735537192</v>
      </c>
      <c r="G135" s="8">
        <f t="shared" ref="G135:G198" si="18">IF(E135&gt;F135,E135-F135,0)</f>
        <v>804901.82644628081</v>
      </c>
      <c r="H135" s="316">
        <f t="shared" ref="H135:H198" si="19">-G135*H$5</f>
        <v>-603676.36983471061</v>
      </c>
      <c r="J135" s="8">
        <f>Données!AN135</f>
        <v>23299</v>
      </c>
      <c r="K135" s="215">
        <f t="shared" ref="K135:K198" si="20">C135*L$5</f>
        <v>168819.8966942149</v>
      </c>
      <c r="L135" s="12">
        <f t="shared" ref="L135:L198" si="21">IF(J135&gt;K135,J135-K135,0)</f>
        <v>0</v>
      </c>
      <c r="M135" s="316">
        <f t="shared" ref="M135:M198" si="22">-L135*M$5</f>
        <v>0</v>
      </c>
      <c r="O135" s="42">
        <f t="shared" ref="O135:O198" si="23">M135+H135</f>
        <v>-603676.36983471061</v>
      </c>
      <c r="P135" s="273"/>
      <c r="Q135" s="228"/>
      <c r="R135" s="228"/>
      <c r="S135" s="228"/>
      <c r="T135" s="228"/>
      <c r="U135" s="228"/>
      <c r="AF135" s="11"/>
      <c r="AG135" s="11"/>
      <c r="AH135" s="11"/>
      <c r="AI135" s="11"/>
      <c r="AJ135" s="11"/>
      <c r="AK135" s="11"/>
      <c r="AL135" s="11"/>
    </row>
    <row r="136" spans="1:38" x14ac:dyDescent="0.25">
      <c r="A136" s="38">
        <f>+Données!A136</f>
        <v>5634</v>
      </c>
      <c r="B136" s="249" t="str">
        <f>+Données!B136</f>
        <v>Echichens</v>
      </c>
      <c r="C136" s="237">
        <f>+Ecrêtage!C136</f>
        <v>152560.86727272728</v>
      </c>
      <c r="D136" s="235"/>
      <c r="E136" s="237">
        <f>Données!AF136+Données!AG136+Données!AH136</f>
        <v>1387761</v>
      </c>
      <c r="F136" s="235">
        <f t="shared" si="17"/>
        <v>1220486.9381818182</v>
      </c>
      <c r="G136" s="8">
        <f t="shared" si="18"/>
        <v>167274.06181818177</v>
      </c>
      <c r="H136" s="316">
        <f t="shared" si="19"/>
        <v>-125455.54636363633</v>
      </c>
      <c r="J136" s="8">
        <f>Données!AN136</f>
        <v>25497</v>
      </c>
      <c r="K136" s="215">
        <f t="shared" si="20"/>
        <v>152560.86727272728</v>
      </c>
      <c r="L136" s="12">
        <f t="shared" si="21"/>
        <v>0</v>
      </c>
      <c r="M136" s="316">
        <f t="shared" si="22"/>
        <v>0</v>
      </c>
      <c r="O136" s="42">
        <f t="shared" si="23"/>
        <v>-125455.54636363633</v>
      </c>
      <c r="P136" s="273"/>
      <c r="Q136" s="228"/>
      <c r="R136" s="228"/>
      <c r="S136" s="228"/>
      <c r="T136" s="228"/>
      <c r="U136" s="228"/>
      <c r="AF136" s="11"/>
      <c r="AG136" s="11"/>
      <c r="AH136" s="11"/>
      <c r="AI136" s="11"/>
      <c r="AJ136" s="11"/>
      <c r="AK136" s="11"/>
      <c r="AL136" s="11"/>
    </row>
    <row r="137" spans="1:38" x14ac:dyDescent="0.25">
      <c r="A137" s="38">
        <f>+Données!A137</f>
        <v>5635</v>
      </c>
      <c r="B137" s="249" t="str">
        <f>+Données!B137</f>
        <v>Ecublens</v>
      </c>
      <c r="C137" s="237">
        <f>+Ecrêtage!C137</f>
        <v>655936.21421333333</v>
      </c>
      <c r="D137" s="235"/>
      <c r="E137" s="237">
        <f>Données!AF137+Données!AG137+Données!AH137</f>
        <v>8661301</v>
      </c>
      <c r="F137" s="235">
        <f t="shared" si="17"/>
        <v>5247489.7137066666</v>
      </c>
      <c r="G137" s="8">
        <f t="shared" si="18"/>
        <v>3413811.2862933334</v>
      </c>
      <c r="H137" s="316">
        <f t="shared" si="19"/>
        <v>-2560358.46472</v>
      </c>
      <c r="J137" s="8">
        <f>Données!AN137</f>
        <v>87540</v>
      </c>
      <c r="K137" s="215">
        <f t="shared" si="20"/>
        <v>655936.21421333333</v>
      </c>
      <c r="L137" s="12">
        <f t="shared" si="21"/>
        <v>0</v>
      </c>
      <c r="M137" s="316">
        <f t="shared" si="22"/>
        <v>0</v>
      </c>
      <c r="O137" s="42">
        <f t="shared" si="23"/>
        <v>-2560358.46472</v>
      </c>
      <c r="P137" s="273"/>
      <c r="Q137" s="228"/>
      <c r="R137" s="228"/>
      <c r="S137" s="228"/>
      <c r="T137" s="228"/>
      <c r="U137" s="228"/>
      <c r="AF137" s="11"/>
      <c r="AG137" s="11"/>
      <c r="AH137" s="11"/>
      <c r="AI137" s="11"/>
      <c r="AJ137" s="11"/>
      <c r="AK137" s="11"/>
      <c r="AL137" s="11"/>
    </row>
    <row r="138" spans="1:38" x14ac:dyDescent="0.25">
      <c r="A138" s="38">
        <f>+Données!A138</f>
        <v>5636</v>
      </c>
      <c r="B138" s="249" t="str">
        <f>+Données!B138</f>
        <v>Etoy</v>
      </c>
      <c r="C138" s="237">
        <f>+Ecrêtage!C138</f>
        <v>186941.23816666668</v>
      </c>
      <c r="D138" s="235"/>
      <c r="E138" s="237">
        <f>Données!AF138+Données!AG138+Données!AH138</f>
        <v>0</v>
      </c>
      <c r="F138" s="235">
        <f t="shared" si="17"/>
        <v>1495529.9053333334</v>
      </c>
      <c r="G138" s="8">
        <f t="shared" si="18"/>
        <v>0</v>
      </c>
      <c r="H138" s="316">
        <f t="shared" si="19"/>
        <v>0</v>
      </c>
      <c r="J138" s="8">
        <f>Données!AN138</f>
        <v>0</v>
      </c>
      <c r="K138" s="215">
        <f t="shared" si="20"/>
        <v>186941.23816666668</v>
      </c>
      <c r="L138" s="12">
        <f t="shared" si="21"/>
        <v>0</v>
      </c>
      <c r="M138" s="316">
        <f t="shared" si="22"/>
        <v>0</v>
      </c>
      <c r="O138" s="42">
        <f t="shared" si="23"/>
        <v>0</v>
      </c>
      <c r="P138" s="273"/>
      <c r="Q138" s="228"/>
      <c r="R138" s="228"/>
      <c r="S138" s="228"/>
      <c r="T138" s="228"/>
      <c r="U138" s="228"/>
      <c r="AF138" s="11"/>
      <c r="AG138" s="11"/>
      <c r="AH138" s="11"/>
      <c r="AI138" s="11"/>
      <c r="AJ138" s="11"/>
      <c r="AK138" s="11"/>
      <c r="AL138" s="11"/>
    </row>
    <row r="139" spans="1:38" x14ac:dyDescent="0.25">
      <c r="A139" s="38">
        <f>+Données!A139</f>
        <v>5637</v>
      </c>
      <c r="B139" s="249" t="str">
        <f>+Données!B139</f>
        <v>Lavigny</v>
      </c>
      <c r="C139" s="237">
        <f>+Ecrêtage!C139</f>
        <v>37899.400821917814</v>
      </c>
      <c r="D139" s="235"/>
      <c r="E139" s="237">
        <f>Données!AF139+Données!AG139+Données!AH139</f>
        <v>455996</v>
      </c>
      <c r="F139" s="235">
        <f t="shared" si="17"/>
        <v>303195.20657534251</v>
      </c>
      <c r="G139" s="8">
        <f t="shared" si="18"/>
        <v>152800.79342465749</v>
      </c>
      <c r="H139" s="316">
        <f t="shared" si="19"/>
        <v>-114600.59506849312</v>
      </c>
      <c r="J139" s="8">
        <f>Données!AN139</f>
        <v>15226</v>
      </c>
      <c r="K139" s="215">
        <f t="shared" si="20"/>
        <v>37899.400821917814</v>
      </c>
      <c r="L139" s="12">
        <f t="shared" si="21"/>
        <v>0</v>
      </c>
      <c r="M139" s="316">
        <f t="shared" si="22"/>
        <v>0</v>
      </c>
      <c r="O139" s="42">
        <f t="shared" si="23"/>
        <v>-114600.59506849312</v>
      </c>
      <c r="P139" s="273"/>
      <c r="Q139" s="228"/>
      <c r="R139" s="228"/>
      <c r="S139" s="228"/>
      <c r="T139" s="228"/>
      <c r="U139" s="228"/>
      <c r="AF139" s="11"/>
      <c r="AG139" s="11"/>
      <c r="AH139" s="11"/>
      <c r="AI139" s="11"/>
      <c r="AJ139" s="11"/>
      <c r="AK139" s="11"/>
      <c r="AL139" s="11"/>
    </row>
    <row r="140" spans="1:38" x14ac:dyDescent="0.25">
      <c r="A140" s="38">
        <f>+Données!A140</f>
        <v>5638</v>
      </c>
      <c r="B140" s="249" t="str">
        <f>+Données!B140</f>
        <v>Lonay</v>
      </c>
      <c r="C140" s="237">
        <f>+Ecrêtage!C140</f>
        <v>174116.12454545454</v>
      </c>
      <c r="D140" s="235"/>
      <c r="E140" s="237">
        <f>Données!AF140+Données!AG140+Données!AH140</f>
        <v>1885119</v>
      </c>
      <c r="F140" s="235">
        <f t="shared" si="17"/>
        <v>1392928.9963636363</v>
      </c>
      <c r="G140" s="8">
        <f t="shared" si="18"/>
        <v>492190.00363636366</v>
      </c>
      <c r="H140" s="316">
        <f t="shared" si="19"/>
        <v>-369142.50272727275</v>
      </c>
      <c r="J140" s="8">
        <f>Données!AN140</f>
        <v>6687</v>
      </c>
      <c r="K140" s="215">
        <f t="shared" si="20"/>
        <v>174116.12454545454</v>
      </c>
      <c r="L140" s="12">
        <f t="shared" si="21"/>
        <v>0</v>
      </c>
      <c r="M140" s="316">
        <f t="shared" si="22"/>
        <v>0</v>
      </c>
      <c r="O140" s="42">
        <f t="shared" si="23"/>
        <v>-369142.50272727275</v>
      </c>
      <c r="P140" s="273"/>
      <c r="Q140" s="228"/>
      <c r="R140" s="228"/>
      <c r="S140" s="228"/>
      <c r="T140" s="228"/>
      <c r="U140" s="228"/>
      <c r="AF140" s="11"/>
      <c r="AG140" s="11"/>
      <c r="AH140" s="11"/>
      <c r="AI140" s="11"/>
      <c r="AJ140" s="11"/>
      <c r="AK140" s="11"/>
      <c r="AL140" s="11"/>
    </row>
    <row r="141" spans="1:38" x14ac:dyDescent="0.25">
      <c r="A141" s="38">
        <f>+Données!A141</f>
        <v>5639</v>
      </c>
      <c r="B141" s="249" t="str">
        <f>+Données!B141</f>
        <v>Lully</v>
      </c>
      <c r="C141" s="237">
        <f>+Ecrêtage!C141</f>
        <v>53706.334426229514</v>
      </c>
      <c r="D141" s="235"/>
      <c r="E141" s="237">
        <f>Données!AF141+Données!AG141+Données!AH141</f>
        <v>0</v>
      </c>
      <c r="F141" s="235">
        <f t="shared" si="17"/>
        <v>429650.67540983611</v>
      </c>
      <c r="G141" s="8">
        <f t="shared" si="18"/>
        <v>0</v>
      </c>
      <c r="H141" s="316">
        <f t="shared" si="19"/>
        <v>0</v>
      </c>
      <c r="J141" s="8">
        <f>Données!AN141</f>
        <v>0</v>
      </c>
      <c r="K141" s="215">
        <f t="shared" si="20"/>
        <v>53706.334426229514</v>
      </c>
      <c r="L141" s="12">
        <f t="shared" si="21"/>
        <v>0</v>
      </c>
      <c r="M141" s="316">
        <f t="shared" si="22"/>
        <v>0</v>
      </c>
      <c r="O141" s="42">
        <f t="shared" si="23"/>
        <v>0</v>
      </c>
      <c r="P141" s="273"/>
      <c r="Q141" s="228"/>
      <c r="R141" s="228"/>
      <c r="S141" s="228"/>
      <c r="T141" s="228"/>
      <c r="U141" s="228"/>
      <c r="AF141" s="11"/>
      <c r="AG141" s="11"/>
      <c r="AH141" s="11"/>
      <c r="AI141" s="11"/>
      <c r="AJ141" s="11"/>
      <c r="AK141" s="11"/>
      <c r="AL141" s="11"/>
    </row>
    <row r="142" spans="1:38" x14ac:dyDescent="0.25">
      <c r="A142" s="38">
        <f>+Données!A142</f>
        <v>5640</v>
      </c>
      <c r="B142" s="249" t="str">
        <f>+Données!B142</f>
        <v>Lussy-sur-Morges</v>
      </c>
      <c r="C142" s="237">
        <f>+Ecrêtage!C142</f>
        <v>70525.081395348854</v>
      </c>
      <c r="D142" s="235"/>
      <c r="E142" s="237">
        <f>Données!AF142+Données!AG142+Données!AH142</f>
        <v>376935</v>
      </c>
      <c r="F142" s="235">
        <f t="shared" si="17"/>
        <v>564200.65116279083</v>
      </c>
      <c r="G142" s="8">
        <f t="shared" si="18"/>
        <v>0</v>
      </c>
      <c r="H142" s="316">
        <f t="shared" si="19"/>
        <v>0</v>
      </c>
      <c r="J142" s="8">
        <f>Données!AN142</f>
        <v>8056</v>
      </c>
      <c r="K142" s="215">
        <f t="shared" si="20"/>
        <v>70525.081395348854</v>
      </c>
      <c r="L142" s="12">
        <f t="shared" si="21"/>
        <v>0</v>
      </c>
      <c r="M142" s="316">
        <f t="shared" si="22"/>
        <v>0</v>
      </c>
      <c r="O142" s="42">
        <f t="shared" si="23"/>
        <v>0</v>
      </c>
      <c r="P142" s="273"/>
      <c r="Q142" s="228"/>
      <c r="R142" s="228"/>
      <c r="S142" s="228"/>
      <c r="T142" s="228"/>
      <c r="U142" s="228"/>
      <c r="AF142" s="11"/>
      <c r="AG142" s="11"/>
      <c r="AH142" s="11"/>
      <c r="AI142" s="11"/>
      <c r="AJ142" s="11"/>
      <c r="AK142" s="11"/>
      <c r="AL142" s="11"/>
    </row>
    <row r="143" spans="1:38" x14ac:dyDescent="0.25">
      <c r="A143" s="38">
        <f>+Données!A143</f>
        <v>5642</v>
      </c>
      <c r="B143" s="249" t="str">
        <f>+Données!B143</f>
        <v>Morges</v>
      </c>
      <c r="C143" s="237">
        <f>+Ecrêtage!C143</f>
        <v>838094.10597014928</v>
      </c>
      <c r="D143" s="235"/>
      <c r="E143" s="237">
        <f>Données!AF143+Données!AG143+Données!AH143</f>
        <v>7949603</v>
      </c>
      <c r="F143" s="235">
        <f t="shared" si="17"/>
        <v>6704752.8477611942</v>
      </c>
      <c r="G143" s="8">
        <f t="shared" si="18"/>
        <v>1244850.1522388058</v>
      </c>
      <c r="H143" s="316">
        <f t="shared" si="19"/>
        <v>-933637.61417910433</v>
      </c>
      <c r="J143" s="8">
        <f>Données!AN143</f>
        <v>49651</v>
      </c>
      <c r="K143" s="215">
        <f t="shared" si="20"/>
        <v>838094.10597014928</v>
      </c>
      <c r="L143" s="12">
        <f t="shared" si="21"/>
        <v>0</v>
      </c>
      <c r="M143" s="316">
        <f t="shared" si="22"/>
        <v>0</v>
      </c>
      <c r="O143" s="42">
        <f t="shared" si="23"/>
        <v>-933637.61417910433</v>
      </c>
      <c r="P143" s="273"/>
      <c r="Q143" s="228"/>
      <c r="R143" s="228"/>
      <c r="S143" s="228"/>
      <c r="T143" s="228"/>
      <c r="U143" s="228"/>
      <c r="AF143" s="11"/>
      <c r="AG143" s="11"/>
      <c r="AH143" s="11"/>
      <c r="AI143" s="11"/>
      <c r="AJ143" s="11"/>
      <c r="AK143" s="11"/>
      <c r="AL143" s="11"/>
    </row>
    <row r="144" spans="1:38" x14ac:dyDescent="0.25">
      <c r="A144" s="38">
        <f>+Données!A144</f>
        <v>5643</v>
      </c>
      <c r="B144" s="249" t="str">
        <f>+Données!B144</f>
        <v>Préverenges</v>
      </c>
      <c r="C144" s="237">
        <f>+Ecrêtage!C144</f>
        <v>257720.44144</v>
      </c>
      <c r="D144" s="235"/>
      <c r="E144" s="237">
        <f>Données!AF144+Données!AG144+Données!AH144</f>
        <v>1545878</v>
      </c>
      <c r="F144" s="235">
        <f t="shared" si="17"/>
        <v>2061763.53152</v>
      </c>
      <c r="G144" s="8">
        <f t="shared" si="18"/>
        <v>0</v>
      </c>
      <c r="H144" s="316">
        <f t="shared" si="19"/>
        <v>0</v>
      </c>
      <c r="J144" s="8">
        <f>Données!AN144</f>
        <v>0</v>
      </c>
      <c r="K144" s="215">
        <f t="shared" si="20"/>
        <v>257720.44144</v>
      </c>
      <c r="L144" s="12">
        <f t="shared" si="21"/>
        <v>0</v>
      </c>
      <c r="M144" s="316">
        <f t="shared" si="22"/>
        <v>0</v>
      </c>
      <c r="O144" s="42">
        <f t="shared" si="23"/>
        <v>0</v>
      </c>
      <c r="P144" s="273"/>
      <c r="Q144" s="228"/>
      <c r="R144" s="228"/>
      <c r="S144" s="228"/>
      <c r="T144" s="228"/>
      <c r="U144" s="228"/>
      <c r="AF144" s="11"/>
      <c r="AG144" s="11"/>
      <c r="AH144" s="11"/>
      <c r="AI144" s="11"/>
      <c r="AJ144" s="11"/>
      <c r="AK144" s="11"/>
      <c r="AL144" s="11"/>
    </row>
    <row r="145" spans="1:38" x14ac:dyDescent="0.25">
      <c r="A145" s="38">
        <f>+Données!A145</f>
        <v>5645</v>
      </c>
      <c r="B145" s="249" t="str">
        <f>+Données!B145</f>
        <v>Romanel-sur-Morges</v>
      </c>
      <c r="C145" s="237">
        <f>+Ecrêtage!C145</f>
        <v>26576.594107142857</v>
      </c>
      <c r="D145" s="235"/>
      <c r="E145" s="237">
        <f>Données!AF145+Données!AG145+Données!AH145</f>
        <v>213001</v>
      </c>
      <c r="F145" s="235">
        <f t="shared" si="17"/>
        <v>212612.75285714286</v>
      </c>
      <c r="G145" s="8">
        <f t="shared" si="18"/>
        <v>388.24714285714435</v>
      </c>
      <c r="H145" s="316">
        <f t="shared" si="19"/>
        <v>-291.18535714285827</v>
      </c>
      <c r="J145" s="8">
        <f>Données!AN145</f>
        <v>5901</v>
      </c>
      <c r="K145" s="215">
        <f t="shared" si="20"/>
        <v>26576.594107142857</v>
      </c>
      <c r="L145" s="12">
        <f t="shared" si="21"/>
        <v>0</v>
      </c>
      <c r="M145" s="316">
        <f t="shared" si="22"/>
        <v>0</v>
      </c>
      <c r="O145" s="42">
        <f t="shared" si="23"/>
        <v>-291.18535714285827</v>
      </c>
      <c r="P145" s="273"/>
      <c r="Q145" s="228"/>
      <c r="R145" s="228"/>
      <c r="S145" s="228"/>
      <c r="T145" s="228"/>
      <c r="U145" s="228"/>
      <c r="AF145" s="11"/>
      <c r="AG145" s="11"/>
      <c r="AH145" s="11"/>
      <c r="AI145" s="11"/>
      <c r="AJ145" s="11"/>
      <c r="AK145" s="11"/>
      <c r="AL145" s="11"/>
    </row>
    <row r="146" spans="1:38" x14ac:dyDescent="0.25">
      <c r="A146" s="38">
        <f>+Données!A146</f>
        <v>5646</v>
      </c>
      <c r="B146" s="249" t="str">
        <f>+Données!B146</f>
        <v>Saint-Prex</v>
      </c>
      <c r="C146" s="237">
        <f>+Ecrêtage!C146</f>
        <v>527362.62542372884</v>
      </c>
      <c r="D146" s="235"/>
      <c r="E146" s="237">
        <f>Données!AF146+Données!AG146+Données!AH146</f>
        <v>0</v>
      </c>
      <c r="F146" s="235">
        <f t="shared" si="17"/>
        <v>4218901.0033898307</v>
      </c>
      <c r="G146" s="8">
        <f t="shared" si="18"/>
        <v>0</v>
      </c>
      <c r="H146" s="316">
        <f t="shared" si="19"/>
        <v>0</v>
      </c>
      <c r="J146" s="8">
        <f>Données!AN146</f>
        <v>0</v>
      </c>
      <c r="K146" s="215">
        <f t="shared" si="20"/>
        <v>527362.62542372884</v>
      </c>
      <c r="L146" s="12">
        <f t="shared" si="21"/>
        <v>0</v>
      </c>
      <c r="M146" s="316">
        <f t="shared" si="22"/>
        <v>0</v>
      </c>
      <c r="O146" s="42">
        <f t="shared" si="23"/>
        <v>0</v>
      </c>
      <c r="P146" s="273"/>
      <c r="Q146" s="228"/>
      <c r="R146" s="228"/>
      <c r="S146" s="228"/>
      <c r="T146" s="228"/>
      <c r="U146" s="228"/>
      <c r="AF146" s="11"/>
      <c r="AG146" s="11"/>
      <c r="AH146" s="11"/>
      <c r="AI146" s="11"/>
      <c r="AJ146" s="11"/>
      <c r="AK146" s="11"/>
      <c r="AL146" s="11"/>
    </row>
    <row r="147" spans="1:38" x14ac:dyDescent="0.25">
      <c r="A147" s="38">
        <f>+Données!A147</f>
        <v>5648</v>
      </c>
      <c r="B147" s="249" t="str">
        <f>+Données!B147</f>
        <v>Saint-Sulpice</v>
      </c>
      <c r="C147" s="237">
        <f>+Ecrêtage!C147</f>
        <v>394357.66704545449</v>
      </c>
      <c r="D147" s="235"/>
      <c r="E147" s="237">
        <f>Données!AF147+Données!AG147+Données!AH147</f>
        <v>2909895</v>
      </c>
      <c r="F147" s="235">
        <f t="shared" si="17"/>
        <v>3154861.336363636</v>
      </c>
      <c r="G147" s="8">
        <f t="shared" si="18"/>
        <v>0</v>
      </c>
      <c r="H147" s="316">
        <f t="shared" si="19"/>
        <v>0</v>
      </c>
      <c r="J147" s="8">
        <f>Données!AN147</f>
        <v>38892</v>
      </c>
      <c r="K147" s="215">
        <f t="shared" si="20"/>
        <v>394357.66704545449</v>
      </c>
      <c r="L147" s="12">
        <f t="shared" si="21"/>
        <v>0</v>
      </c>
      <c r="M147" s="316">
        <f t="shared" si="22"/>
        <v>0</v>
      </c>
      <c r="O147" s="42">
        <f t="shared" si="23"/>
        <v>0</v>
      </c>
      <c r="P147" s="273"/>
      <c r="Q147" s="228"/>
      <c r="R147" s="228"/>
      <c r="S147" s="228"/>
      <c r="T147" s="228"/>
      <c r="U147" s="228"/>
      <c r="AF147" s="11"/>
      <c r="AG147" s="11"/>
      <c r="AH147" s="11"/>
      <c r="AI147" s="11"/>
      <c r="AJ147" s="11"/>
      <c r="AK147" s="11"/>
      <c r="AL147" s="11"/>
    </row>
    <row r="148" spans="1:38" x14ac:dyDescent="0.25">
      <c r="A148" s="38">
        <f>+Données!A148</f>
        <v>5649</v>
      </c>
      <c r="B148" s="249" t="str">
        <f>+Données!B148</f>
        <v>Tolochenaz</v>
      </c>
      <c r="C148" s="237">
        <f>+Ecrêtage!C148</f>
        <v>155562.29718749996</v>
      </c>
      <c r="D148" s="235"/>
      <c r="E148" s="237">
        <f>Données!AF148+Données!AG148+Données!AH148</f>
        <v>1513274</v>
      </c>
      <c r="F148" s="235">
        <f t="shared" si="17"/>
        <v>1244498.3774999997</v>
      </c>
      <c r="G148" s="8">
        <f t="shared" si="18"/>
        <v>268775.62250000029</v>
      </c>
      <c r="H148" s="316">
        <f t="shared" si="19"/>
        <v>-201581.71687500022</v>
      </c>
      <c r="J148" s="8">
        <f>Données!AN148</f>
        <v>10144</v>
      </c>
      <c r="K148" s="215">
        <f t="shared" si="20"/>
        <v>155562.29718749996</v>
      </c>
      <c r="L148" s="12">
        <f t="shared" si="21"/>
        <v>0</v>
      </c>
      <c r="M148" s="316">
        <f t="shared" si="22"/>
        <v>0</v>
      </c>
      <c r="O148" s="42">
        <f t="shared" si="23"/>
        <v>-201581.71687500022</v>
      </c>
      <c r="P148" s="273"/>
      <c r="Q148" s="228"/>
      <c r="R148" s="228"/>
      <c r="S148" s="228"/>
      <c r="T148" s="228"/>
      <c r="U148" s="228"/>
      <c r="AF148" s="11"/>
      <c r="AG148" s="11"/>
      <c r="AH148" s="11"/>
      <c r="AI148" s="11"/>
      <c r="AJ148" s="11"/>
      <c r="AK148" s="11"/>
      <c r="AL148" s="11"/>
    </row>
    <row r="149" spans="1:38" x14ac:dyDescent="0.25">
      <c r="A149" s="38">
        <f>+Données!A149</f>
        <v>5650</v>
      </c>
      <c r="B149" s="249" t="str">
        <f>+Données!B149</f>
        <v>Vaux-sur-Morges</v>
      </c>
      <c r="C149" s="237">
        <f>+Ecrêtage!C149</f>
        <v>83125.210178571419</v>
      </c>
      <c r="D149" s="235"/>
      <c r="E149" s="237">
        <f>Données!AF149+Données!AG149+Données!AH149</f>
        <v>0</v>
      </c>
      <c r="F149" s="235">
        <f t="shared" si="17"/>
        <v>665001.68142857135</v>
      </c>
      <c r="G149" s="8">
        <f t="shared" si="18"/>
        <v>0</v>
      </c>
      <c r="H149" s="316">
        <f t="shared" si="19"/>
        <v>0</v>
      </c>
      <c r="J149" s="8">
        <f>Données!AN149</f>
        <v>0</v>
      </c>
      <c r="K149" s="215">
        <f t="shared" si="20"/>
        <v>83125.210178571419</v>
      </c>
      <c r="L149" s="12">
        <f t="shared" si="21"/>
        <v>0</v>
      </c>
      <c r="M149" s="316">
        <f t="shared" si="22"/>
        <v>0</v>
      </c>
      <c r="O149" s="42">
        <f t="shared" si="23"/>
        <v>0</v>
      </c>
      <c r="P149" s="273"/>
      <c r="Q149" s="228"/>
      <c r="R149" s="228"/>
      <c r="S149" s="228"/>
      <c r="T149" s="228"/>
      <c r="U149" s="228"/>
      <c r="AF149" s="11"/>
      <c r="AG149" s="11"/>
      <c r="AH149" s="11"/>
      <c r="AI149" s="11"/>
      <c r="AJ149" s="11"/>
      <c r="AK149" s="11"/>
      <c r="AL149" s="11"/>
    </row>
    <row r="150" spans="1:38" x14ac:dyDescent="0.25">
      <c r="A150" s="38">
        <f>+Données!A150</f>
        <v>5651</v>
      </c>
      <c r="B150" s="249" t="str">
        <f>+Données!B150</f>
        <v>Villars-Sainte-Croix</v>
      </c>
      <c r="C150" s="237">
        <f>+Ecrêtage!C150</f>
        <v>57448.170743801653</v>
      </c>
      <c r="D150" s="235"/>
      <c r="E150" s="237">
        <f>Données!AF150+Données!AG150+Données!AH150</f>
        <v>0</v>
      </c>
      <c r="F150" s="235">
        <f t="shared" si="17"/>
        <v>459585.36595041322</v>
      </c>
      <c r="G150" s="8">
        <f t="shared" si="18"/>
        <v>0</v>
      </c>
      <c r="H150" s="316">
        <f t="shared" si="19"/>
        <v>0</v>
      </c>
      <c r="J150" s="8">
        <f>Données!AN150</f>
        <v>0</v>
      </c>
      <c r="K150" s="215">
        <f t="shared" si="20"/>
        <v>57448.170743801653</v>
      </c>
      <c r="L150" s="12">
        <f t="shared" si="21"/>
        <v>0</v>
      </c>
      <c r="M150" s="316">
        <f t="shared" si="22"/>
        <v>0</v>
      </c>
      <c r="O150" s="42">
        <f t="shared" si="23"/>
        <v>0</v>
      </c>
      <c r="P150" s="273"/>
      <c r="Q150" s="228"/>
      <c r="R150" s="228"/>
      <c r="S150" s="228"/>
      <c r="T150" s="228"/>
      <c r="U150" s="228"/>
      <c r="AF150" s="11"/>
      <c r="AG150" s="11"/>
      <c r="AH150" s="11"/>
      <c r="AI150" s="11"/>
      <c r="AJ150" s="11"/>
      <c r="AK150" s="11"/>
      <c r="AL150" s="11"/>
    </row>
    <row r="151" spans="1:38" x14ac:dyDescent="0.25">
      <c r="A151" s="38">
        <f>+Données!A151</f>
        <v>5652</v>
      </c>
      <c r="B151" s="249" t="str">
        <f>+Données!B151</f>
        <v>Villars-sous-Yens</v>
      </c>
      <c r="C151" s="237">
        <f>+Ecrêtage!C151</f>
        <v>25907.601491228066</v>
      </c>
      <c r="D151" s="235"/>
      <c r="E151" s="237">
        <f>Données!AF151+Données!AG151+Données!AH151</f>
        <v>242128</v>
      </c>
      <c r="F151" s="235">
        <f t="shared" si="17"/>
        <v>207260.81192982453</v>
      </c>
      <c r="G151" s="8">
        <f t="shared" si="18"/>
        <v>34867.188070175471</v>
      </c>
      <c r="H151" s="316">
        <f t="shared" si="19"/>
        <v>-26150.391052631603</v>
      </c>
      <c r="J151" s="8">
        <f>Données!AN151</f>
        <v>6366</v>
      </c>
      <c r="K151" s="215">
        <f t="shared" si="20"/>
        <v>25907.601491228066</v>
      </c>
      <c r="L151" s="12">
        <f t="shared" si="21"/>
        <v>0</v>
      </c>
      <c r="M151" s="316">
        <f t="shared" si="22"/>
        <v>0</v>
      </c>
      <c r="O151" s="42">
        <f t="shared" si="23"/>
        <v>-26150.391052631603</v>
      </c>
      <c r="P151" s="273"/>
      <c r="Q151" s="228"/>
      <c r="R151" s="228"/>
      <c r="S151" s="228"/>
      <c r="T151" s="228"/>
      <c r="U151" s="228"/>
      <c r="AF151" s="11"/>
      <c r="AG151" s="11"/>
      <c r="AH151" s="11"/>
      <c r="AI151" s="11"/>
      <c r="AJ151" s="11"/>
      <c r="AK151" s="11"/>
      <c r="AL151" s="11"/>
    </row>
    <row r="152" spans="1:38" x14ac:dyDescent="0.25">
      <c r="A152" s="38">
        <f>+Données!A152</f>
        <v>5653</v>
      </c>
      <c r="B152" s="249" t="str">
        <f>+Données!B152</f>
        <v>Vufflens-le-Château</v>
      </c>
      <c r="C152" s="237">
        <f>+Ecrêtage!C152</f>
        <v>67686.262735042736</v>
      </c>
      <c r="D152" s="235"/>
      <c r="E152" s="237">
        <f>Données!AF152+Données!AG152+Données!AH152</f>
        <v>0</v>
      </c>
      <c r="F152" s="235">
        <f t="shared" si="17"/>
        <v>541490.10188034188</v>
      </c>
      <c r="G152" s="8">
        <f t="shared" si="18"/>
        <v>0</v>
      </c>
      <c r="H152" s="316">
        <f t="shared" si="19"/>
        <v>0</v>
      </c>
      <c r="J152" s="8">
        <f>Données!AN152</f>
        <v>0</v>
      </c>
      <c r="K152" s="215">
        <f t="shared" si="20"/>
        <v>67686.262735042736</v>
      </c>
      <c r="L152" s="12">
        <f t="shared" si="21"/>
        <v>0</v>
      </c>
      <c r="M152" s="316">
        <f t="shared" si="22"/>
        <v>0</v>
      </c>
      <c r="O152" s="42">
        <f t="shared" si="23"/>
        <v>0</v>
      </c>
      <c r="P152" s="273"/>
      <c r="Q152" s="228"/>
      <c r="R152" s="228"/>
      <c r="S152" s="228"/>
      <c r="T152" s="228"/>
      <c r="U152" s="228"/>
      <c r="AF152" s="11"/>
      <c r="AG152" s="11"/>
      <c r="AH152" s="11"/>
      <c r="AI152" s="11"/>
      <c r="AJ152" s="11"/>
      <c r="AK152" s="11"/>
      <c r="AL152" s="11"/>
    </row>
    <row r="153" spans="1:38" x14ac:dyDescent="0.25">
      <c r="A153" s="38">
        <f>+Données!A153</f>
        <v>5654</v>
      </c>
      <c r="B153" s="249" t="str">
        <f>+Données!B153</f>
        <v>Vullierens</v>
      </c>
      <c r="C153" s="237">
        <f>+Ecrêtage!C153</f>
        <v>20663.918947368424</v>
      </c>
      <c r="D153" s="235"/>
      <c r="E153" s="237">
        <f>Données!AF153+Données!AG153+Données!AH153</f>
        <v>301702</v>
      </c>
      <c r="F153" s="235">
        <f t="shared" si="17"/>
        <v>165311.35157894739</v>
      </c>
      <c r="G153" s="8">
        <f t="shared" si="18"/>
        <v>136390.64842105261</v>
      </c>
      <c r="H153" s="316">
        <f t="shared" si="19"/>
        <v>-102292.98631578946</v>
      </c>
      <c r="J153" s="8">
        <f>Données!AN153</f>
        <v>5559</v>
      </c>
      <c r="K153" s="215">
        <f t="shared" si="20"/>
        <v>20663.918947368424</v>
      </c>
      <c r="L153" s="12">
        <f t="shared" si="21"/>
        <v>0</v>
      </c>
      <c r="M153" s="316">
        <f t="shared" si="22"/>
        <v>0</v>
      </c>
      <c r="O153" s="42">
        <f t="shared" si="23"/>
        <v>-102292.98631578946</v>
      </c>
      <c r="P153" s="273"/>
      <c r="Q153" s="228"/>
      <c r="R153" s="228"/>
      <c r="S153" s="228"/>
      <c r="T153" s="228"/>
      <c r="U153" s="228"/>
      <c r="AF153" s="11"/>
      <c r="AG153" s="11"/>
      <c r="AH153" s="11"/>
      <c r="AI153" s="11"/>
      <c r="AJ153" s="11"/>
      <c r="AK153" s="11"/>
      <c r="AL153" s="11"/>
    </row>
    <row r="154" spans="1:38" x14ac:dyDescent="0.25">
      <c r="A154" s="38">
        <f>+Données!A154</f>
        <v>5655</v>
      </c>
      <c r="B154" s="249" t="str">
        <f>+Données!B154</f>
        <v>Yens</v>
      </c>
      <c r="C154" s="237">
        <f>+Ecrêtage!C154</f>
        <v>73733.325734265731</v>
      </c>
      <c r="D154" s="235"/>
      <c r="E154" s="237">
        <f>Données!AF154+Données!AG154+Données!AH154</f>
        <v>0</v>
      </c>
      <c r="F154" s="235">
        <f t="shared" si="17"/>
        <v>589866.60587412585</v>
      </c>
      <c r="G154" s="8">
        <f t="shared" si="18"/>
        <v>0</v>
      </c>
      <c r="H154" s="316">
        <f t="shared" si="19"/>
        <v>0</v>
      </c>
      <c r="J154" s="8">
        <f>Données!AN154</f>
        <v>0</v>
      </c>
      <c r="K154" s="215">
        <f t="shared" si="20"/>
        <v>73733.325734265731</v>
      </c>
      <c r="L154" s="12">
        <f t="shared" si="21"/>
        <v>0</v>
      </c>
      <c r="M154" s="316">
        <f t="shared" si="22"/>
        <v>0</v>
      </c>
      <c r="O154" s="42">
        <f t="shared" si="23"/>
        <v>0</v>
      </c>
      <c r="P154" s="273"/>
      <c r="Q154" s="228"/>
      <c r="R154" s="228"/>
      <c r="S154" s="228"/>
      <c r="T154" s="228"/>
      <c r="U154" s="228"/>
      <c r="AF154" s="11"/>
      <c r="AG154" s="11"/>
      <c r="AH154" s="11"/>
      <c r="AI154" s="11"/>
      <c r="AJ154" s="11"/>
      <c r="AK154" s="11"/>
      <c r="AL154" s="11"/>
    </row>
    <row r="155" spans="1:38" s="219" customFormat="1" x14ac:dyDescent="0.25">
      <c r="A155" s="38">
        <f>+Données!A155</f>
        <v>5656</v>
      </c>
      <c r="B155" s="249" t="str">
        <f>+Données!B155</f>
        <v>Hautemorges</v>
      </c>
      <c r="C155" s="237">
        <f>+Ecrêtage!C155</f>
        <v>172159.8076957982</v>
      </c>
      <c r="D155" s="235"/>
      <c r="E155" s="237">
        <f>Données!AF155+Données!AG155+Données!AH155</f>
        <v>3895111</v>
      </c>
      <c r="F155" s="235">
        <f t="shared" si="17"/>
        <v>1377278.4615663856</v>
      </c>
      <c r="G155" s="8">
        <f t="shared" si="18"/>
        <v>2517832.5384336142</v>
      </c>
      <c r="H155" s="316">
        <f t="shared" si="19"/>
        <v>-1888374.4038252106</v>
      </c>
      <c r="I155" s="238"/>
      <c r="J155" s="8">
        <f>Données!AN155</f>
        <v>285732</v>
      </c>
      <c r="K155" s="215">
        <f t="shared" si="20"/>
        <v>172159.8076957982</v>
      </c>
      <c r="L155" s="238">
        <f t="shared" si="21"/>
        <v>113572.1923042018</v>
      </c>
      <c r="M155" s="316">
        <f t="shared" si="22"/>
        <v>-85179.144228151359</v>
      </c>
      <c r="N155" s="238"/>
      <c r="O155" s="42">
        <f t="shared" si="23"/>
        <v>-1973553.5480533619</v>
      </c>
      <c r="P155" s="273"/>
      <c r="Q155" s="228"/>
      <c r="R155" s="228"/>
      <c r="S155" s="228"/>
      <c r="T155" s="228"/>
      <c r="U155" s="228"/>
    </row>
    <row r="156" spans="1:38" x14ac:dyDescent="0.25">
      <c r="A156" s="38">
        <f>+Données!A156</f>
        <v>5661</v>
      </c>
      <c r="B156" s="249" t="str">
        <f>+Données!B156</f>
        <v>Boulens</v>
      </c>
      <c r="C156" s="237">
        <f>+Ecrêtage!C156</f>
        <v>11226.317902097902</v>
      </c>
      <c r="D156" s="235"/>
      <c r="E156" s="237">
        <f>Données!AF156+Données!AG156+Données!AH156</f>
        <v>95200</v>
      </c>
      <c r="F156" s="235">
        <f t="shared" si="17"/>
        <v>89810.543216783219</v>
      </c>
      <c r="G156" s="8">
        <f t="shared" si="18"/>
        <v>5389.4567832167813</v>
      </c>
      <c r="H156" s="316">
        <f t="shared" si="19"/>
        <v>-4042.092587412586</v>
      </c>
      <c r="J156" s="8">
        <f>Données!AN156</f>
        <v>28979</v>
      </c>
      <c r="K156" s="215">
        <f t="shared" si="20"/>
        <v>11226.317902097902</v>
      </c>
      <c r="L156" s="12">
        <f t="shared" si="21"/>
        <v>17752.682097902099</v>
      </c>
      <c r="M156" s="316">
        <f t="shared" si="22"/>
        <v>-13314.511573426575</v>
      </c>
      <c r="O156" s="42">
        <f t="shared" si="23"/>
        <v>-17356.604160839161</v>
      </c>
      <c r="P156" s="273"/>
      <c r="Q156" s="228"/>
      <c r="R156" s="228"/>
      <c r="S156" s="228"/>
      <c r="T156" s="228"/>
      <c r="U156" s="228"/>
      <c r="AF156" s="11"/>
      <c r="AG156" s="11"/>
      <c r="AH156" s="11"/>
      <c r="AI156" s="11"/>
      <c r="AJ156" s="11"/>
      <c r="AK156" s="11"/>
      <c r="AL156" s="11"/>
    </row>
    <row r="157" spans="1:38" x14ac:dyDescent="0.25">
      <c r="A157" s="38">
        <f>+Données!A157</f>
        <v>5663</v>
      </c>
      <c r="B157" s="249" t="str">
        <f>+Données!B157</f>
        <v>Bussy-sur-Moudon</v>
      </c>
      <c r="C157" s="237">
        <f>+Ecrêtage!C157</f>
        <v>5263.613630573248</v>
      </c>
      <c r="D157" s="235"/>
      <c r="E157" s="237">
        <f>Données!AF157+Données!AG157+Données!AH157</f>
        <v>56692</v>
      </c>
      <c r="F157" s="235">
        <f t="shared" si="17"/>
        <v>42108.909044585984</v>
      </c>
      <c r="G157" s="8">
        <f t="shared" si="18"/>
        <v>14583.090955414016</v>
      </c>
      <c r="H157" s="316">
        <f t="shared" si="19"/>
        <v>-10937.318216560512</v>
      </c>
      <c r="J157" s="8">
        <f>Données!AN157</f>
        <v>-9057</v>
      </c>
      <c r="K157" s="215">
        <f t="shared" si="20"/>
        <v>5263.613630573248</v>
      </c>
      <c r="L157" s="12">
        <f t="shared" si="21"/>
        <v>0</v>
      </c>
      <c r="M157" s="316">
        <f t="shared" si="22"/>
        <v>0</v>
      </c>
      <c r="O157" s="42">
        <f t="shared" si="23"/>
        <v>-10937.318216560512</v>
      </c>
      <c r="P157" s="273"/>
      <c r="Q157" s="228"/>
      <c r="R157" s="228"/>
      <c r="S157" s="228"/>
      <c r="T157" s="228"/>
      <c r="U157" s="228"/>
      <c r="AF157" s="11"/>
      <c r="AG157" s="11"/>
      <c r="AH157" s="11"/>
      <c r="AI157" s="11"/>
      <c r="AJ157" s="11"/>
      <c r="AK157" s="11"/>
      <c r="AL157" s="11"/>
    </row>
    <row r="158" spans="1:38" x14ac:dyDescent="0.25">
      <c r="A158" s="38">
        <f>+Données!A158</f>
        <v>5665</v>
      </c>
      <c r="B158" s="249" t="str">
        <f>+Données!B158</f>
        <v>Chavannes-sur-Moudon</v>
      </c>
      <c r="C158" s="237">
        <f>+Ecrêtage!C158</f>
        <v>4920.7560000000012</v>
      </c>
      <c r="D158" s="235"/>
      <c r="E158" s="237">
        <f>Données!AF158+Données!AG158+Données!AH158</f>
        <v>42789</v>
      </c>
      <c r="F158" s="235">
        <f t="shared" si="17"/>
        <v>39366.04800000001</v>
      </c>
      <c r="G158" s="8">
        <f t="shared" si="18"/>
        <v>3422.9519999999902</v>
      </c>
      <c r="H158" s="316">
        <f t="shared" si="19"/>
        <v>-2567.2139999999927</v>
      </c>
      <c r="J158" s="8">
        <f>Données!AN158</f>
        <v>-8477</v>
      </c>
      <c r="K158" s="215">
        <f t="shared" si="20"/>
        <v>4920.7560000000012</v>
      </c>
      <c r="L158" s="12">
        <f t="shared" si="21"/>
        <v>0</v>
      </c>
      <c r="M158" s="316">
        <f t="shared" si="22"/>
        <v>0</v>
      </c>
      <c r="O158" s="42">
        <f t="shared" si="23"/>
        <v>-2567.2139999999927</v>
      </c>
      <c r="P158" s="273"/>
      <c r="Q158" s="228"/>
      <c r="R158" s="228"/>
      <c r="S158" s="228"/>
      <c r="T158" s="228"/>
      <c r="U158" s="228"/>
      <c r="AF158" s="11"/>
      <c r="AG158" s="11"/>
      <c r="AH158" s="11"/>
      <c r="AI158" s="11"/>
      <c r="AJ158" s="11"/>
      <c r="AK158" s="11"/>
      <c r="AL158" s="11"/>
    </row>
    <row r="159" spans="1:38" x14ac:dyDescent="0.25">
      <c r="A159" s="38">
        <f>+Données!A159</f>
        <v>5669</v>
      </c>
      <c r="B159" s="249" t="str">
        <f>+Données!B159</f>
        <v>Curtilles</v>
      </c>
      <c r="C159" s="237">
        <f>+Ecrêtage!C159</f>
        <v>9337.6116438356166</v>
      </c>
      <c r="D159" s="235"/>
      <c r="E159" s="237">
        <f>Données!AF159+Données!AG159+Données!AH159</f>
        <v>74781</v>
      </c>
      <c r="F159" s="235">
        <f t="shared" si="17"/>
        <v>74700.893150684933</v>
      </c>
      <c r="G159" s="8">
        <f t="shared" si="18"/>
        <v>80.106849315066938</v>
      </c>
      <c r="H159" s="316">
        <f t="shared" si="19"/>
        <v>-60.080136986300204</v>
      </c>
      <c r="J159" s="8">
        <f>Données!AN159</f>
        <v>339</v>
      </c>
      <c r="K159" s="215">
        <f t="shared" si="20"/>
        <v>9337.6116438356166</v>
      </c>
      <c r="L159" s="12">
        <f t="shared" si="21"/>
        <v>0</v>
      </c>
      <c r="M159" s="316">
        <f t="shared" si="22"/>
        <v>0</v>
      </c>
      <c r="O159" s="42">
        <f t="shared" si="23"/>
        <v>-60.080136986300204</v>
      </c>
      <c r="P159" s="273"/>
      <c r="Q159" s="228"/>
      <c r="R159" s="228"/>
      <c r="S159" s="228"/>
      <c r="T159" s="228"/>
      <c r="U159" s="228"/>
      <c r="AF159" s="11"/>
      <c r="AG159" s="11"/>
      <c r="AH159" s="11"/>
      <c r="AI159" s="11"/>
      <c r="AJ159" s="11"/>
      <c r="AK159" s="11"/>
      <c r="AL159" s="11"/>
    </row>
    <row r="160" spans="1:38" x14ac:dyDescent="0.25">
      <c r="A160" s="38">
        <f>+Données!A160</f>
        <v>5671</v>
      </c>
      <c r="B160" s="249" t="str">
        <f>+Données!B160</f>
        <v>Dompierre</v>
      </c>
      <c r="C160" s="237">
        <f>+Ecrêtage!C160</f>
        <v>6463.499743589743</v>
      </c>
      <c r="D160" s="235"/>
      <c r="E160" s="237">
        <f>Données!AF160+Données!AG160+Données!AH160</f>
        <v>48094</v>
      </c>
      <c r="F160" s="235">
        <f t="shared" si="17"/>
        <v>51707.997948717944</v>
      </c>
      <c r="G160" s="8">
        <f t="shared" si="18"/>
        <v>0</v>
      </c>
      <c r="H160" s="316">
        <f t="shared" si="19"/>
        <v>0</v>
      </c>
      <c r="J160" s="8">
        <f>Données!AN160</f>
        <v>4404</v>
      </c>
      <c r="K160" s="215">
        <f t="shared" si="20"/>
        <v>6463.499743589743</v>
      </c>
      <c r="L160" s="12">
        <f t="shared" si="21"/>
        <v>0</v>
      </c>
      <c r="M160" s="316">
        <f t="shared" si="22"/>
        <v>0</v>
      </c>
      <c r="O160" s="42">
        <f t="shared" si="23"/>
        <v>0</v>
      </c>
      <c r="P160" s="273"/>
      <c r="Q160" s="228"/>
      <c r="R160" s="228"/>
      <c r="S160" s="228"/>
      <c r="T160" s="228"/>
      <c r="U160" s="228"/>
      <c r="AF160" s="11"/>
      <c r="AG160" s="11"/>
      <c r="AH160" s="11"/>
      <c r="AI160" s="11"/>
      <c r="AJ160" s="11"/>
      <c r="AK160" s="11"/>
      <c r="AL160" s="11"/>
    </row>
    <row r="161" spans="1:38" x14ac:dyDescent="0.25">
      <c r="A161" s="38">
        <f>+Données!A161</f>
        <v>5673</v>
      </c>
      <c r="B161" s="249" t="str">
        <f>+Données!B161</f>
        <v>Hermenches</v>
      </c>
      <c r="C161" s="237">
        <f>+Ecrêtage!C161</f>
        <v>10227.21768707483</v>
      </c>
      <c r="D161" s="235"/>
      <c r="E161" s="237">
        <f>Données!AF161+Données!AG161+Données!AH161</f>
        <v>328594</v>
      </c>
      <c r="F161" s="235">
        <f t="shared" si="17"/>
        <v>81817.741496598639</v>
      </c>
      <c r="G161" s="8">
        <f t="shared" si="18"/>
        <v>246776.25850340136</v>
      </c>
      <c r="H161" s="316">
        <f t="shared" si="19"/>
        <v>-185082.19387755101</v>
      </c>
      <c r="J161" s="8">
        <f>Données!AN161</f>
        <v>54755</v>
      </c>
      <c r="K161" s="215">
        <f t="shared" si="20"/>
        <v>10227.21768707483</v>
      </c>
      <c r="L161" s="12">
        <f t="shared" si="21"/>
        <v>44527.78231292517</v>
      </c>
      <c r="M161" s="316">
        <f t="shared" si="22"/>
        <v>-33395.836734693876</v>
      </c>
      <c r="O161" s="42">
        <f t="shared" si="23"/>
        <v>-218478.03061224488</v>
      </c>
      <c r="P161" s="273"/>
      <c r="Q161" s="228"/>
      <c r="R161" s="228"/>
      <c r="S161" s="228"/>
      <c r="T161" s="228"/>
      <c r="U161" s="228"/>
      <c r="AF161" s="11"/>
      <c r="AG161" s="11"/>
      <c r="AH161" s="11"/>
      <c r="AI161" s="11"/>
      <c r="AJ161" s="11"/>
      <c r="AK161" s="11"/>
      <c r="AL161" s="11"/>
    </row>
    <row r="162" spans="1:38" x14ac:dyDescent="0.25">
      <c r="A162" s="38">
        <f>+Données!A162</f>
        <v>5674</v>
      </c>
      <c r="B162" s="249" t="str">
        <f>+Données!B162</f>
        <v>Lovatens</v>
      </c>
      <c r="C162" s="237">
        <f>+Ecrêtage!C162</f>
        <v>4222.7066666666669</v>
      </c>
      <c r="D162" s="235"/>
      <c r="E162" s="237">
        <f>Données!AF162+Données!AG162+Données!AH162</f>
        <v>68055</v>
      </c>
      <c r="F162" s="235">
        <f t="shared" si="17"/>
        <v>33781.653333333335</v>
      </c>
      <c r="G162" s="8">
        <f t="shared" si="18"/>
        <v>34273.346666666665</v>
      </c>
      <c r="H162" s="316">
        <f t="shared" si="19"/>
        <v>-25705.01</v>
      </c>
      <c r="J162" s="8">
        <f>Données!AN162</f>
        <v>1498</v>
      </c>
      <c r="K162" s="215">
        <f t="shared" si="20"/>
        <v>4222.7066666666669</v>
      </c>
      <c r="L162" s="12">
        <f t="shared" si="21"/>
        <v>0</v>
      </c>
      <c r="M162" s="316">
        <f t="shared" si="22"/>
        <v>0</v>
      </c>
      <c r="O162" s="42">
        <f t="shared" si="23"/>
        <v>-25705.01</v>
      </c>
      <c r="P162" s="273"/>
      <c r="Q162" s="228"/>
      <c r="R162" s="228"/>
      <c r="S162" s="228"/>
      <c r="T162" s="228"/>
      <c r="U162" s="228"/>
      <c r="AF162" s="11"/>
      <c r="AG162" s="11"/>
      <c r="AH162" s="11"/>
      <c r="AI162" s="11"/>
      <c r="AJ162" s="11"/>
      <c r="AK162" s="11"/>
      <c r="AL162" s="11"/>
    </row>
    <row r="163" spans="1:38" x14ac:dyDescent="0.25">
      <c r="A163" s="38">
        <f>+Données!A163</f>
        <v>5675</v>
      </c>
      <c r="B163" s="249" t="str">
        <f>+Données!B163</f>
        <v>Lucens</v>
      </c>
      <c r="C163" s="237">
        <f>+Ecrêtage!C163</f>
        <v>105149.82705723906</v>
      </c>
      <c r="D163" s="235"/>
      <c r="E163" s="237">
        <f>Données!AF163+Données!AG163+Données!AH163</f>
        <v>1544781</v>
      </c>
      <c r="F163" s="235">
        <f t="shared" si="17"/>
        <v>841198.61645791249</v>
      </c>
      <c r="G163" s="8">
        <f t="shared" si="18"/>
        <v>703582.38354208751</v>
      </c>
      <c r="H163" s="316">
        <f t="shared" si="19"/>
        <v>-527686.78765656566</v>
      </c>
      <c r="J163" s="8">
        <f>Données!AN163</f>
        <v>44789</v>
      </c>
      <c r="K163" s="215">
        <f t="shared" si="20"/>
        <v>105149.82705723906</v>
      </c>
      <c r="L163" s="12">
        <f t="shared" si="21"/>
        <v>0</v>
      </c>
      <c r="M163" s="316">
        <f t="shared" si="22"/>
        <v>0</v>
      </c>
      <c r="O163" s="42">
        <f t="shared" si="23"/>
        <v>-527686.78765656566</v>
      </c>
      <c r="P163" s="273"/>
      <c r="Q163" s="228"/>
      <c r="R163" s="228"/>
      <c r="S163" s="228"/>
      <c r="T163" s="228"/>
      <c r="U163" s="228"/>
      <c r="AF163" s="11"/>
      <c r="AG163" s="11"/>
      <c r="AH163" s="11"/>
      <c r="AI163" s="11"/>
      <c r="AJ163" s="11"/>
      <c r="AK163" s="11"/>
      <c r="AL163" s="11"/>
    </row>
    <row r="164" spans="1:38" x14ac:dyDescent="0.25">
      <c r="A164" s="38">
        <f>+Données!A164</f>
        <v>5678</v>
      </c>
      <c r="B164" s="249" t="str">
        <f>+Données!B164</f>
        <v>Moudon</v>
      </c>
      <c r="C164" s="237">
        <f>+Ecrêtage!C164</f>
        <v>124814.5703448276</v>
      </c>
      <c r="D164" s="235"/>
      <c r="E164" s="237">
        <f>Données!AF164+Données!AG164+Données!AH164</f>
        <v>2778892</v>
      </c>
      <c r="F164" s="235">
        <f t="shared" si="17"/>
        <v>998516.56275862083</v>
      </c>
      <c r="G164" s="8">
        <f t="shared" si="18"/>
        <v>1780375.4372413792</v>
      </c>
      <c r="H164" s="316">
        <f t="shared" si="19"/>
        <v>-1335281.5779310344</v>
      </c>
      <c r="J164" s="8">
        <f>Données!AN164</f>
        <v>85330</v>
      </c>
      <c r="K164" s="215">
        <f t="shared" si="20"/>
        <v>124814.5703448276</v>
      </c>
      <c r="L164" s="12">
        <f t="shared" si="21"/>
        <v>0</v>
      </c>
      <c r="M164" s="316">
        <f t="shared" si="22"/>
        <v>0</v>
      </c>
      <c r="O164" s="42">
        <f t="shared" si="23"/>
        <v>-1335281.5779310344</v>
      </c>
      <c r="P164" s="273"/>
      <c r="Q164" s="228"/>
      <c r="R164" s="228"/>
      <c r="S164" s="228"/>
      <c r="T164" s="228"/>
      <c r="U164" s="228"/>
      <c r="AF164" s="11"/>
      <c r="AG164" s="11"/>
      <c r="AH164" s="11"/>
      <c r="AI164" s="11"/>
      <c r="AJ164" s="11"/>
      <c r="AK164" s="11"/>
      <c r="AL164" s="11"/>
    </row>
    <row r="165" spans="1:38" x14ac:dyDescent="0.25">
      <c r="A165" s="38">
        <f>+Données!A165</f>
        <v>5680</v>
      </c>
      <c r="B165" s="249" t="str">
        <f>+Données!B165</f>
        <v>Ogens</v>
      </c>
      <c r="C165" s="237">
        <f>+Ecrêtage!C165</f>
        <v>8501.7127777777787</v>
      </c>
      <c r="D165" s="235"/>
      <c r="E165" s="237">
        <f>Données!AF165+Données!AG165+Données!AH165</f>
        <v>84569</v>
      </c>
      <c r="F165" s="235">
        <f t="shared" si="17"/>
        <v>68013.702222222229</v>
      </c>
      <c r="G165" s="8">
        <f t="shared" si="18"/>
        <v>16555.297777777771</v>
      </c>
      <c r="H165" s="316">
        <f t="shared" si="19"/>
        <v>-12416.473333333328</v>
      </c>
      <c r="J165" s="8">
        <f>Données!AN165</f>
        <v>16475</v>
      </c>
      <c r="K165" s="215">
        <f t="shared" si="20"/>
        <v>8501.7127777777787</v>
      </c>
      <c r="L165" s="12">
        <f t="shared" si="21"/>
        <v>7973.2872222222213</v>
      </c>
      <c r="M165" s="316">
        <f t="shared" si="22"/>
        <v>-5979.965416666666</v>
      </c>
      <c r="O165" s="42">
        <f t="shared" si="23"/>
        <v>-18396.438749999994</v>
      </c>
      <c r="P165" s="273"/>
      <c r="Q165" s="228"/>
      <c r="R165" s="228"/>
      <c r="S165" s="228"/>
      <c r="T165" s="228"/>
      <c r="U165" s="228"/>
      <c r="AF165" s="11"/>
      <c r="AG165" s="11"/>
      <c r="AH165" s="11"/>
      <c r="AI165" s="11"/>
      <c r="AJ165" s="11"/>
      <c r="AK165" s="11"/>
      <c r="AL165" s="11"/>
    </row>
    <row r="166" spans="1:38" x14ac:dyDescent="0.25">
      <c r="A166" s="38">
        <f>+Données!A166</f>
        <v>5683</v>
      </c>
      <c r="B166" s="249" t="str">
        <f>+Données!B166</f>
        <v>Prévonloup</v>
      </c>
      <c r="C166" s="237">
        <f>+Ecrêtage!C166</f>
        <v>5386.3598620689654</v>
      </c>
      <c r="D166" s="235"/>
      <c r="E166" s="237">
        <f>Données!AF166+Données!AG166+Données!AH166</f>
        <v>32992</v>
      </c>
      <c r="F166" s="235">
        <f t="shared" si="17"/>
        <v>43090.878896551723</v>
      </c>
      <c r="G166" s="8">
        <f t="shared" si="18"/>
        <v>0</v>
      </c>
      <c r="H166" s="316">
        <f t="shared" si="19"/>
        <v>0</v>
      </c>
      <c r="J166" s="8">
        <f>Données!AN166</f>
        <v>-12640</v>
      </c>
      <c r="K166" s="215">
        <f t="shared" si="20"/>
        <v>5386.3598620689654</v>
      </c>
      <c r="L166" s="12">
        <f t="shared" si="21"/>
        <v>0</v>
      </c>
      <c r="M166" s="316">
        <f t="shared" si="22"/>
        <v>0</v>
      </c>
      <c r="O166" s="42">
        <f t="shared" si="23"/>
        <v>0</v>
      </c>
      <c r="P166" s="273"/>
      <c r="Q166" s="228"/>
      <c r="R166" s="228"/>
      <c r="S166" s="228"/>
      <c r="T166" s="228"/>
      <c r="U166" s="228"/>
      <c r="AF166" s="11"/>
      <c r="AG166" s="11"/>
      <c r="AH166" s="11"/>
      <c r="AI166" s="11"/>
      <c r="AJ166" s="11"/>
      <c r="AK166" s="11"/>
      <c r="AL166" s="11"/>
    </row>
    <row r="167" spans="1:38" x14ac:dyDescent="0.25">
      <c r="A167" s="38">
        <f>+Données!A167</f>
        <v>5684</v>
      </c>
      <c r="B167" s="249" t="str">
        <f>+Données!B167</f>
        <v>Rossenges</v>
      </c>
      <c r="C167" s="237">
        <f>+Ecrêtage!C167</f>
        <v>3253.4312666666665</v>
      </c>
      <c r="D167" s="235"/>
      <c r="E167" s="237">
        <f>Données!AF167+Données!AG167+Données!AH167</f>
        <v>19126</v>
      </c>
      <c r="F167" s="235">
        <f t="shared" si="17"/>
        <v>26027.450133333332</v>
      </c>
      <c r="G167" s="8">
        <f t="shared" si="18"/>
        <v>0</v>
      </c>
      <c r="H167" s="316">
        <f t="shared" si="19"/>
        <v>0</v>
      </c>
      <c r="J167" s="8">
        <f>Données!AN167</f>
        <v>1</v>
      </c>
      <c r="K167" s="215">
        <f t="shared" si="20"/>
        <v>3253.4312666666665</v>
      </c>
      <c r="L167" s="12">
        <f t="shared" si="21"/>
        <v>0</v>
      </c>
      <c r="M167" s="316">
        <f t="shared" si="22"/>
        <v>0</v>
      </c>
      <c r="O167" s="42">
        <f t="shared" si="23"/>
        <v>0</v>
      </c>
      <c r="P167" s="273"/>
      <c r="Q167" s="228"/>
      <c r="R167" s="228"/>
      <c r="S167" s="228"/>
      <c r="T167" s="228"/>
      <c r="U167" s="228"/>
      <c r="AF167" s="11"/>
      <c r="AG167" s="11"/>
      <c r="AH167" s="11"/>
      <c r="AI167" s="11"/>
      <c r="AJ167" s="11"/>
      <c r="AK167" s="11"/>
      <c r="AL167" s="11"/>
    </row>
    <row r="168" spans="1:38" x14ac:dyDescent="0.25">
      <c r="A168" s="38">
        <f>+Données!A168</f>
        <v>5688</v>
      </c>
      <c r="B168" s="249" t="str">
        <f>+Données!B168</f>
        <v>Syens</v>
      </c>
      <c r="C168" s="237">
        <f>+Ecrêtage!C168</f>
        <v>6192.4015384615377</v>
      </c>
      <c r="D168" s="235"/>
      <c r="E168" s="237">
        <f>Données!AF168+Données!AG168+Données!AH168</f>
        <v>59727</v>
      </c>
      <c r="F168" s="235">
        <f t="shared" si="17"/>
        <v>49539.212307692302</v>
      </c>
      <c r="G168" s="8">
        <f t="shared" si="18"/>
        <v>10187.787692307698</v>
      </c>
      <c r="H168" s="316">
        <f t="shared" si="19"/>
        <v>-7640.8407692307737</v>
      </c>
      <c r="J168" s="8">
        <f>Données!AN168</f>
        <v>28349</v>
      </c>
      <c r="K168" s="215">
        <f t="shared" si="20"/>
        <v>6192.4015384615377</v>
      </c>
      <c r="L168" s="12">
        <f t="shared" si="21"/>
        <v>22156.598461538462</v>
      </c>
      <c r="M168" s="316">
        <f t="shared" si="22"/>
        <v>-16617.448846153846</v>
      </c>
      <c r="O168" s="42">
        <f t="shared" si="23"/>
        <v>-24258.28961538462</v>
      </c>
      <c r="P168" s="273"/>
      <c r="Q168" s="228"/>
      <c r="R168" s="228"/>
      <c r="S168" s="228"/>
      <c r="T168" s="228"/>
      <c r="U168" s="228"/>
      <c r="AF168" s="11"/>
      <c r="AG168" s="11"/>
      <c r="AH168" s="11"/>
      <c r="AI168" s="11"/>
      <c r="AJ168" s="11"/>
      <c r="AK168" s="11"/>
      <c r="AL168" s="11"/>
    </row>
    <row r="169" spans="1:38" x14ac:dyDescent="0.25">
      <c r="A169" s="38">
        <f>+Données!A169</f>
        <v>5690</v>
      </c>
      <c r="B169" s="249" t="str">
        <f>+Données!B169</f>
        <v>Villars-le-Comte</v>
      </c>
      <c r="C169" s="237">
        <f>+Ecrêtage!C169</f>
        <v>3509.9673809523806</v>
      </c>
      <c r="D169" s="235"/>
      <c r="E169" s="237">
        <f>Données!AF169+Données!AG169+Données!AH169</f>
        <v>56053</v>
      </c>
      <c r="F169" s="235">
        <f t="shared" si="17"/>
        <v>28079.739047619045</v>
      </c>
      <c r="G169" s="8">
        <f t="shared" si="18"/>
        <v>27973.260952380955</v>
      </c>
      <c r="H169" s="316">
        <f t="shared" si="19"/>
        <v>-20979.945714285717</v>
      </c>
      <c r="J169" s="8">
        <f>Données!AN169</f>
        <v>882</v>
      </c>
      <c r="K169" s="215">
        <f t="shared" si="20"/>
        <v>3509.9673809523806</v>
      </c>
      <c r="L169" s="12">
        <f t="shared" si="21"/>
        <v>0</v>
      </c>
      <c r="M169" s="316">
        <f t="shared" si="22"/>
        <v>0</v>
      </c>
      <c r="O169" s="42">
        <f t="shared" si="23"/>
        <v>-20979.945714285717</v>
      </c>
      <c r="P169" s="273"/>
      <c r="Q169" s="228"/>
      <c r="R169" s="228"/>
      <c r="S169" s="228"/>
      <c r="T169" s="228"/>
      <c r="U169" s="228"/>
      <c r="AF169" s="11"/>
      <c r="AG169" s="11"/>
      <c r="AH169" s="11"/>
      <c r="AI169" s="11"/>
      <c r="AJ169" s="11"/>
      <c r="AK169" s="11"/>
      <c r="AL169" s="11"/>
    </row>
    <row r="170" spans="1:38" x14ac:dyDescent="0.25">
      <c r="A170" s="38">
        <f>+Données!A170</f>
        <v>5692</v>
      </c>
      <c r="B170" s="249" t="str">
        <f>+Données!B170</f>
        <v>Vucherens</v>
      </c>
      <c r="C170" s="237">
        <f>+Ecrêtage!C170</f>
        <v>18792.58012987013</v>
      </c>
      <c r="D170" s="235"/>
      <c r="E170" s="237">
        <f>Données!AF170+Données!AG170+Données!AH170</f>
        <v>257183</v>
      </c>
      <c r="F170" s="235">
        <f t="shared" si="17"/>
        <v>150340.64103896104</v>
      </c>
      <c r="G170" s="8">
        <f t="shared" si="18"/>
        <v>106842.35896103896</v>
      </c>
      <c r="H170" s="316">
        <f t="shared" si="19"/>
        <v>-80131.769220779213</v>
      </c>
      <c r="J170" s="8">
        <f>Données!AN170</f>
        <v>6077</v>
      </c>
      <c r="K170" s="215">
        <f t="shared" si="20"/>
        <v>18792.58012987013</v>
      </c>
      <c r="L170" s="12">
        <f t="shared" si="21"/>
        <v>0</v>
      </c>
      <c r="M170" s="316">
        <f t="shared" si="22"/>
        <v>0</v>
      </c>
      <c r="O170" s="42">
        <f t="shared" si="23"/>
        <v>-80131.769220779213</v>
      </c>
      <c r="P170" s="273"/>
      <c r="Q170" s="228"/>
      <c r="R170" s="228"/>
      <c r="S170" s="228"/>
      <c r="T170" s="228"/>
      <c r="U170" s="228"/>
      <c r="AF170" s="11"/>
      <c r="AG170" s="11"/>
      <c r="AH170" s="11"/>
      <c r="AI170" s="11"/>
      <c r="AJ170" s="11"/>
      <c r="AK170" s="11"/>
      <c r="AL170" s="11"/>
    </row>
    <row r="171" spans="1:38" x14ac:dyDescent="0.25">
      <c r="A171" s="38">
        <f>+Données!A171</f>
        <v>5693</v>
      </c>
      <c r="B171" s="249" t="str">
        <f>+Données!B171</f>
        <v>Montanaire</v>
      </c>
      <c r="C171" s="237">
        <f>+Ecrêtage!C171</f>
        <v>75687.075428571436</v>
      </c>
      <c r="D171" s="235"/>
      <c r="E171" s="237">
        <f>Données!AF171+Données!AG171+Données!AH171</f>
        <v>1172552</v>
      </c>
      <c r="F171" s="235">
        <f t="shared" si="17"/>
        <v>605496.60342857148</v>
      </c>
      <c r="G171" s="8">
        <f t="shared" si="18"/>
        <v>567055.39657142852</v>
      </c>
      <c r="H171" s="316">
        <f t="shared" si="19"/>
        <v>-425291.54742857139</v>
      </c>
      <c r="J171" s="8">
        <f>Données!AN171</f>
        <v>166847</v>
      </c>
      <c r="K171" s="215">
        <f t="shared" si="20"/>
        <v>75687.075428571436</v>
      </c>
      <c r="L171" s="12">
        <f t="shared" si="21"/>
        <v>91159.924571428564</v>
      </c>
      <c r="M171" s="316">
        <f t="shared" si="22"/>
        <v>-68369.943428571423</v>
      </c>
      <c r="O171" s="42">
        <f t="shared" si="23"/>
        <v>-493661.49085714284</v>
      </c>
      <c r="P171" s="273"/>
      <c r="Q171" s="228"/>
      <c r="R171" s="228"/>
      <c r="S171" s="228"/>
      <c r="T171" s="228"/>
      <c r="U171" s="228"/>
      <c r="AF171" s="11"/>
      <c r="AG171" s="11"/>
      <c r="AH171" s="11"/>
      <c r="AI171" s="11"/>
      <c r="AJ171" s="11"/>
      <c r="AK171" s="11"/>
      <c r="AL171" s="11"/>
    </row>
    <row r="172" spans="1:38" x14ac:dyDescent="0.25">
      <c r="A172" s="38">
        <f>+Données!A172</f>
        <v>5701</v>
      </c>
      <c r="B172" s="249" t="str">
        <f>+Données!B172</f>
        <v>Arnex-sur-Nyon</v>
      </c>
      <c r="C172" s="237">
        <f>+Ecrêtage!C172</f>
        <v>14488.632285714286</v>
      </c>
      <c r="D172" s="235"/>
      <c r="E172" s="237">
        <f>Données!AF172+Données!AG172+Données!AH172</f>
        <v>0</v>
      </c>
      <c r="F172" s="235">
        <f t="shared" si="17"/>
        <v>115909.05828571429</v>
      </c>
      <c r="G172" s="8">
        <f t="shared" si="18"/>
        <v>0</v>
      </c>
      <c r="H172" s="316">
        <f t="shared" si="19"/>
        <v>0</v>
      </c>
      <c r="J172" s="8">
        <f>Données!AN172</f>
        <v>0</v>
      </c>
      <c r="K172" s="215">
        <f t="shared" si="20"/>
        <v>14488.632285714286</v>
      </c>
      <c r="L172" s="12">
        <f t="shared" si="21"/>
        <v>0</v>
      </c>
      <c r="M172" s="316">
        <f t="shared" si="22"/>
        <v>0</v>
      </c>
      <c r="O172" s="42">
        <f t="shared" si="23"/>
        <v>0</v>
      </c>
      <c r="P172" s="273"/>
      <c r="Q172" s="228"/>
      <c r="R172" s="228"/>
      <c r="S172" s="228"/>
      <c r="T172" s="228"/>
      <c r="U172" s="228"/>
      <c r="AF172" s="11"/>
      <c r="AG172" s="11"/>
      <c r="AH172" s="11"/>
      <c r="AI172" s="11"/>
      <c r="AJ172" s="11"/>
      <c r="AK172" s="11"/>
      <c r="AL172" s="11"/>
    </row>
    <row r="173" spans="1:38" x14ac:dyDescent="0.25">
      <c r="A173" s="38">
        <f>+Données!A173</f>
        <v>5702</v>
      </c>
      <c r="B173" s="249" t="str">
        <f>+Données!B173</f>
        <v>Arzier-Le Muids</v>
      </c>
      <c r="C173" s="237">
        <f>+Ecrêtage!C173</f>
        <v>174855.39411458338</v>
      </c>
      <c r="D173" s="235"/>
      <c r="E173" s="237">
        <f>Données!AF173+Données!AG173+Données!AH173</f>
        <v>1032409</v>
      </c>
      <c r="F173" s="235">
        <f t="shared" si="17"/>
        <v>1398843.1529166671</v>
      </c>
      <c r="G173" s="8">
        <f t="shared" si="18"/>
        <v>0</v>
      </c>
      <c r="H173" s="316">
        <f t="shared" si="19"/>
        <v>0</v>
      </c>
      <c r="J173" s="8">
        <f>Données!AN173</f>
        <v>799249</v>
      </c>
      <c r="K173" s="215">
        <f t="shared" si="20"/>
        <v>174855.39411458338</v>
      </c>
      <c r="L173" s="12">
        <f t="shared" si="21"/>
        <v>624393.60588541662</v>
      </c>
      <c r="M173" s="316">
        <f t="shared" si="22"/>
        <v>-468295.20441406243</v>
      </c>
      <c r="O173" s="42">
        <f t="shared" si="23"/>
        <v>-468295.20441406243</v>
      </c>
      <c r="P173" s="273"/>
      <c r="Q173" s="228"/>
      <c r="R173" s="228"/>
      <c r="S173" s="228"/>
      <c r="T173" s="228"/>
      <c r="U173" s="228"/>
      <c r="AF173" s="11"/>
      <c r="AG173" s="11"/>
      <c r="AH173" s="11"/>
      <c r="AI173" s="11"/>
      <c r="AJ173" s="11"/>
      <c r="AK173" s="11"/>
      <c r="AL173" s="11"/>
    </row>
    <row r="174" spans="1:38" x14ac:dyDescent="0.25">
      <c r="A174" s="38">
        <f>+Données!A174</f>
        <v>5703</v>
      </c>
      <c r="B174" s="249" t="str">
        <f>+Données!B174</f>
        <v>Bassins</v>
      </c>
      <c r="C174" s="237">
        <f>+Ecrêtage!C174</f>
        <v>66798.778167487675</v>
      </c>
      <c r="D174" s="235"/>
      <c r="E174" s="237">
        <f>Données!AF174+Données!AG174+Données!AH174</f>
        <v>0</v>
      </c>
      <c r="F174" s="235">
        <f t="shared" si="17"/>
        <v>534390.2253399014</v>
      </c>
      <c r="G174" s="8">
        <f t="shared" si="18"/>
        <v>0</v>
      </c>
      <c r="H174" s="316">
        <f t="shared" si="19"/>
        <v>0</v>
      </c>
      <c r="J174" s="8">
        <f>Données!AN174</f>
        <v>0</v>
      </c>
      <c r="K174" s="215">
        <f t="shared" si="20"/>
        <v>66798.778167487675</v>
      </c>
      <c r="L174" s="12">
        <f t="shared" si="21"/>
        <v>0</v>
      </c>
      <c r="M174" s="316">
        <f t="shared" si="22"/>
        <v>0</v>
      </c>
      <c r="O174" s="42">
        <f t="shared" si="23"/>
        <v>0</v>
      </c>
      <c r="P174" s="273"/>
      <c r="Q174" s="228"/>
      <c r="R174" s="228"/>
      <c r="S174" s="228"/>
      <c r="T174" s="228"/>
      <c r="U174" s="228"/>
      <c r="AF174" s="11"/>
      <c r="AG174" s="11"/>
      <c r="AH174" s="11"/>
      <c r="AI174" s="11"/>
      <c r="AJ174" s="11"/>
      <c r="AK174" s="11"/>
      <c r="AL174" s="11"/>
    </row>
    <row r="175" spans="1:38" x14ac:dyDescent="0.25">
      <c r="A175" s="38">
        <f>+Données!A175</f>
        <v>5704</v>
      </c>
      <c r="B175" s="249" t="str">
        <f>+Données!B175</f>
        <v>Begnins</v>
      </c>
      <c r="C175" s="237">
        <f>+Ecrêtage!C175</f>
        <v>146339.67776000002</v>
      </c>
      <c r="D175" s="235"/>
      <c r="E175" s="237">
        <f>Données!AF175+Données!AG175+Données!AH175</f>
        <v>1000132</v>
      </c>
      <c r="F175" s="235">
        <f t="shared" si="17"/>
        <v>1170717.4220800002</v>
      </c>
      <c r="G175" s="8">
        <f t="shared" si="18"/>
        <v>0</v>
      </c>
      <c r="H175" s="316">
        <f t="shared" si="19"/>
        <v>0</v>
      </c>
      <c r="J175" s="8">
        <f>Données!AN175</f>
        <v>36378</v>
      </c>
      <c r="K175" s="215">
        <f t="shared" si="20"/>
        <v>146339.67776000002</v>
      </c>
      <c r="L175" s="12">
        <f t="shared" si="21"/>
        <v>0</v>
      </c>
      <c r="M175" s="316">
        <f t="shared" si="22"/>
        <v>0</v>
      </c>
      <c r="O175" s="42">
        <f t="shared" si="23"/>
        <v>0</v>
      </c>
      <c r="P175" s="273"/>
      <c r="Q175" s="228"/>
      <c r="R175" s="228"/>
      <c r="S175" s="228"/>
      <c r="T175" s="228"/>
      <c r="U175" s="228"/>
      <c r="AF175" s="11"/>
      <c r="AG175" s="11"/>
      <c r="AH175" s="11"/>
      <c r="AI175" s="11"/>
      <c r="AJ175" s="11"/>
      <c r="AK175" s="11"/>
      <c r="AL175" s="11"/>
    </row>
    <row r="176" spans="1:38" x14ac:dyDescent="0.25">
      <c r="A176" s="38">
        <f>+Données!A176</f>
        <v>5705</v>
      </c>
      <c r="B176" s="249" t="str">
        <f>+Données!B176</f>
        <v>Bogis-Bossey</v>
      </c>
      <c r="C176" s="237">
        <f>+Ecrêtage!C176</f>
        <v>51950.537852349</v>
      </c>
      <c r="D176" s="235"/>
      <c r="E176" s="237">
        <f>Données!AF176+Données!AG176+Données!AH176</f>
        <v>0</v>
      </c>
      <c r="F176" s="235">
        <f t="shared" si="17"/>
        <v>415604.302818792</v>
      </c>
      <c r="G176" s="8">
        <f t="shared" si="18"/>
        <v>0</v>
      </c>
      <c r="H176" s="316">
        <f t="shared" si="19"/>
        <v>0</v>
      </c>
      <c r="J176" s="8">
        <f>Données!AN176</f>
        <v>0</v>
      </c>
      <c r="K176" s="215">
        <f t="shared" si="20"/>
        <v>51950.537852349</v>
      </c>
      <c r="L176" s="12">
        <f t="shared" si="21"/>
        <v>0</v>
      </c>
      <c r="M176" s="316">
        <f t="shared" si="22"/>
        <v>0</v>
      </c>
      <c r="O176" s="42">
        <f t="shared" si="23"/>
        <v>0</v>
      </c>
      <c r="P176" s="273"/>
      <c r="Q176" s="228"/>
      <c r="R176" s="228"/>
      <c r="S176" s="228"/>
      <c r="T176" s="228"/>
      <c r="U176" s="228"/>
      <c r="AF176" s="11"/>
      <c r="AG176" s="11"/>
      <c r="AH176" s="11"/>
      <c r="AI176" s="11"/>
      <c r="AJ176" s="11"/>
      <c r="AK176" s="11"/>
      <c r="AL176" s="11"/>
    </row>
    <row r="177" spans="1:38" x14ac:dyDescent="0.25">
      <c r="A177" s="38">
        <f>+Données!A177</f>
        <v>5706</v>
      </c>
      <c r="B177" s="249" t="str">
        <f>+Données!B177</f>
        <v>Borex</v>
      </c>
      <c r="C177" s="237">
        <f>+Ecrêtage!C177</f>
        <v>71207.729649122819</v>
      </c>
      <c r="D177" s="235"/>
      <c r="E177" s="237">
        <f>Données!AF177+Données!AG177+Données!AH177</f>
        <v>0</v>
      </c>
      <c r="F177" s="235">
        <f t="shared" si="17"/>
        <v>569661.83719298255</v>
      </c>
      <c r="G177" s="8">
        <f t="shared" si="18"/>
        <v>0</v>
      </c>
      <c r="H177" s="316">
        <f t="shared" si="19"/>
        <v>0</v>
      </c>
      <c r="J177" s="8">
        <f>Données!AN177</f>
        <v>0</v>
      </c>
      <c r="K177" s="215">
        <f t="shared" si="20"/>
        <v>71207.729649122819</v>
      </c>
      <c r="L177" s="12">
        <f t="shared" si="21"/>
        <v>0</v>
      </c>
      <c r="M177" s="316">
        <f t="shared" si="22"/>
        <v>0</v>
      </c>
      <c r="O177" s="42">
        <f t="shared" si="23"/>
        <v>0</v>
      </c>
      <c r="P177" s="273"/>
      <c r="Q177" s="228"/>
      <c r="R177" s="228"/>
      <c r="S177" s="228"/>
      <c r="T177" s="228"/>
      <c r="U177" s="228"/>
      <c r="AF177" s="11"/>
      <c r="AG177" s="11"/>
      <c r="AH177" s="11"/>
      <c r="AI177" s="11"/>
      <c r="AJ177" s="11"/>
      <c r="AK177" s="11"/>
      <c r="AL177" s="11"/>
    </row>
    <row r="178" spans="1:38" x14ac:dyDescent="0.25">
      <c r="A178" s="38">
        <f>+Données!A178</f>
        <v>5707</v>
      </c>
      <c r="B178" s="249" t="str">
        <f>+Données!B178</f>
        <v>Chavannes-de-Bogis</v>
      </c>
      <c r="C178" s="237">
        <f>+Ecrêtage!C178</f>
        <v>88004.58971264369</v>
      </c>
      <c r="D178" s="235"/>
      <c r="E178" s="237">
        <f>Données!AF178+Données!AG178+Données!AH178</f>
        <v>0</v>
      </c>
      <c r="F178" s="235">
        <f t="shared" si="17"/>
        <v>704036.71770114952</v>
      </c>
      <c r="G178" s="8">
        <f t="shared" si="18"/>
        <v>0</v>
      </c>
      <c r="H178" s="316">
        <f t="shared" si="19"/>
        <v>0</v>
      </c>
      <c r="J178" s="8">
        <f>Données!AN178</f>
        <v>0</v>
      </c>
      <c r="K178" s="215">
        <f t="shared" si="20"/>
        <v>88004.58971264369</v>
      </c>
      <c r="L178" s="12">
        <f t="shared" si="21"/>
        <v>0</v>
      </c>
      <c r="M178" s="316">
        <f t="shared" si="22"/>
        <v>0</v>
      </c>
      <c r="O178" s="42">
        <f t="shared" si="23"/>
        <v>0</v>
      </c>
      <c r="P178" s="273"/>
      <c r="Q178" s="228"/>
      <c r="R178" s="228"/>
      <c r="S178" s="228"/>
      <c r="T178" s="228"/>
      <c r="U178" s="228"/>
      <c r="AF178" s="11"/>
      <c r="AG178" s="11"/>
      <c r="AH178" s="11"/>
      <c r="AI178" s="11"/>
      <c r="AJ178" s="11"/>
      <c r="AK178" s="11"/>
      <c r="AL178" s="11"/>
    </row>
    <row r="179" spans="1:38" x14ac:dyDescent="0.25">
      <c r="A179" s="38">
        <f>+Données!A179</f>
        <v>5708</v>
      </c>
      <c r="B179" s="249" t="str">
        <f>+Données!B179</f>
        <v>Chavannes-des-Bois</v>
      </c>
      <c r="C179" s="237">
        <f>+Ecrêtage!C179</f>
        <v>66993.89235294117</v>
      </c>
      <c r="D179" s="235"/>
      <c r="E179" s="237">
        <f>Données!AF179+Données!AG179+Données!AH179</f>
        <v>0</v>
      </c>
      <c r="F179" s="235">
        <f t="shared" si="17"/>
        <v>535951.13882352936</v>
      </c>
      <c r="G179" s="8">
        <f t="shared" si="18"/>
        <v>0</v>
      </c>
      <c r="H179" s="316">
        <f t="shared" si="19"/>
        <v>0</v>
      </c>
      <c r="J179" s="8">
        <f>Données!AN179</f>
        <v>0</v>
      </c>
      <c r="K179" s="215">
        <f t="shared" si="20"/>
        <v>66993.89235294117</v>
      </c>
      <c r="L179" s="12">
        <f t="shared" si="21"/>
        <v>0</v>
      </c>
      <c r="M179" s="316">
        <f t="shared" si="22"/>
        <v>0</v>
      </c>
      <c r="O179" s="42">
        <f t="shared" si="23"/>
        <v>0</v>
      </c>
      <c r="P179" s="273"/>
      <c r="Q179" s="228"/>
      <c r="R179" s="228"/>
      <c r="S179" s="228"/>
      <c r="T179" s="228"/>
      <c r="U179" s="228"/>
      <c r="AF179" s="11"/>
      <c r="AG179" s="11"/>
      <c r="AH179" s="11"/>
      <c r="AI179" s="11"/>
      <c r="AJ179" s="11"/>
      <c r="AK179" s="11"/>
      <c r="AL179" s="11"/>
    </row>
    <row r="180" spans="1:38" x14ac:dyDescent="0.25">
      <c r="A180" s="38">
        <f>+Données!A180</f>
        <v>5709</v>
      </c>
      <c r="B180" s="249" t="str">
        <f>+Données!B180</f>
        <v>Chéserex</v>
      </c>
      <c r="C180" s="237">
        <f>+Ecrêtage!C180</f>
        <v>88341.005087719284</v>
      </c>
      <c r="D180" s="235"/>
      <c r="E180" s="237">
        <f>Données!AF180+Données!AG180+Données!AH180</f>
        <v>502651</v>
      </c>
      <c r="F180" s="235">
        <f t="shared" si="17"/>
        <v>706728.04070175427</v>
      </c>
      <c r="G180" s="8">
        <f t="shared" si="18"/>
        <v>0</v>
      </c>
      <c r="H180" s="316">
        <f t="shared" si="19"/>
        <v>0</v>
      </c>
      <c r="J180" s="8">
        <f>Données!AN180</f>
        <v>26313</v>
      </c>
      <c r="K180" s="215">
        <f t="shared" si="20"/>
        <v>88341.005087719284</v>
      </c>
      <c r="L180" s="12">
        <f t="shared" si="21"/>
        <v>0</v>
      </c>
      <c r="M180" s="316">
        <f t="shared" si="22"/>
        <v>0</v>
      </c>
      <c r="O180" s="42">
        <f t="shared" si="23"/>
        <v>0</v>
      </c>
      <c r="P180" s="273"/>
      <c r="Q180" s="228"/>
      <c r="R180" s="228"/>
      <c r="S180" s="228"/>
      <c r="T180" s="228"/>
      <c r="U180" s="228"/>
      <c r="AF180" s="11"/>
      <c r="AG180" s="11"/>
      <c r="AH180" s="11"/>
      <c r="AI180" s="11"/>
      <c r="AJ180" s="11"/>
      <c r="AK180" s="11"/>
      <c r="AL180" s="11"/>
    </row>
    <row r="181" spans="1:38" x14ac:dyDescent="0.25">
      <c r="A181" s="38">
        <f>+Données!A181</f>
        <v>5710</v>
      </c>
      <c r="B181" s="249" t="str">
        <f>+Données!B181</f>
        <v>Coinsins</v>
      </c>
      <c r="C181" s="237">
        <f>+Ecrêtage!C181</f>
        <v>43388.780196078442</v>
      </c>
      <c r="D181" s="235"/>
      <c r="E181" s="237">
        <f>Données!AF181+Données!AG181+Données!AH181</f>
        <v>159558</v>
      </c>
      <c r="F181" s="235">
        <f t="shared" si="17"/>
        <v>347110.24156862753</v>
      </c>
      <c r="G181" s="8">
        <f t="shared" si="18"/>
        <v>0</v>
      </c>
      <c r="H181" s="316">
        <f t="shared" si="19"/>
        <v>0</v>
      </c>
      <c r="J181" s="8">
        <f>Données!AN181</f>
        <v>20653</v>
      </c>
      <c r="K181" s="215">
        <f t="shared" si="20"/>
        <v>43388.780196078442</v>
      </c>
      <c r="L181" s="12">
        <f t="shared" si="21"/>
        <v>0</v>
      </c>
      <c r="M181" s="316">
        <f t="shared" si="22"/>
        <v>0</v>
      </c>
      <c r="O181" s="42">
        <f t="shared" si="23"/>
        <v>0</v>
      </c>
      <c r="P181" s="273"/>
      <c r="Q181" s="228"/>
      <c r="R181" s="228"/>
      <c r="S181" s="228"/>
      <c r="T181" s="228"/>
      <c r="U181" s="228"/>
      <c r="AF181" s="11"/>
      <c r="AG181" s="11"/>
      <c r="AH181" s="11"/>
      <c r="AI181" s="11"/>
      <c r="AJ181" s="11"/>
      <c r="AK181" s="11"/>
      <c r="AL181" s="11"/>
    </row>
    <row r="182" spans="1:38" x14ac:dyDescent="0.25">
      <c r="A182" s="38">
        <f>+Données!A182</f>
        <v>5711</v>
      </c>
      <c r="B182" s="249" t="str">
        <f>+Données!B182</f>
        <v>Commugny</v>
      </c>
      <c r="C182" s="237">
        <f>+Ecrêtage!C182</f>
        <v>286267.46263340261</v>
      </c>
      <c r="D182" s="235"/>
      <c r="E182" s="237">
        <f>Données!AF182+Données!AG182+Données!AH182</f>
        <v>992003</v>
      </c>
      <c r="F182" s="235">
        <f t="shared" si="17"/>
        <v>2290139.7010672209</v>
      </c>
      <c r="G182" s="8">
        <f t="shared" si="18"/>
        <v>0</v>
      </c>
      <c r="H182" s="316">
        <f t="shared" si="19"/>
        <v>0</v>
      </c>
      <c r="J182" s="8">
        <f>Données!AN182</f>
        <v>2369</v>
      </c>
      <c r="K182" s="215">
        <f t="shared" si="20"/>
        <v>286267.46263340261</v>
      </c>
      <c r="L182" s="12">
        <f t="shared" si="21"/>
        <v>0</v>
      </c>
      <c r="M182" s="316">
        <f t="shared" si="22"/>
        <v>0</v>
      </c>
      <c r="O182" s="42">
        <f t="shared" si="23"/>
        <v>0</v>
      </c>
      <c r="P182" s="273"/>
      <c r="Q182" s="228"/>
      <c r="R182" s="228"/>
      <c r="S182" s="228"/>
      <c r="T182" s="228"/>
      <c r="U182" s="228"/>
      <c r="AF182" s="11"/>
      <c r="AG182" s="11"/>
      <c r="AH182" s="11"/>
      <c r="AI182" s="11"/>
      <c r="AJ182" s="11"/>
      <c r="AK182" s="11"/>
      <c r="AL182" s="11"/>
    </row>
    <row r="183" spans="1:38" x14ac:dyDescent="0.25">
      <c r="A183" s="38">
        <f>+Données!A183</f>
        <v>5712</v>
      </c>
      <c r="B183" s="249" t="str">
        <f>+Données!B183</f>
        <v>Coppet</v>
      </c>
      <c r="C183" s="237">
        <f>+Ecrêtage!C183</f>
        <v>333743.32396226411</v>
      </c>
      <c r="D183" s="235"/>
      <c r="E183" s="237">
        <f>Données!AF183+Données!AG183+Données!AH183</f>
        <v>1245073</v>
      </c>
      <c r="F183" s="235">
        <f t="shared" si="17"/>
        <v>2669946.5916981129</v>
      </c>
      <c r="G183" s="8">
        <f t="shared" si="18"/>
        <v>0</v>
      </c>
      <c r="H183" s="316">
        <f t="shared" si="19"/>
        <v>0</v>
      </c>
      <c r="J183" s="8">
        <f>Données!AN183</f>
        <v>0</v>
      </c>
      <c r="K183" s="215">
        <f t="shared" si="20"/>
        <v>333743.32396226411</v>
      </c>
      <c r="L183" s="12">
        <f t="shared" si="21"/>
        <v>0</v>
      </c>
      <c r="M183" s="316">
        <f t="shared" si="22"/>
        <v>0</v>
      </c>
      <c r="O183" s="42">
        <f t="shared" si="23"/>
        <v>0</v>
      </c>
      <c r="P183" s="273"/>
      <c r="Q183" s="228"/>
      <c r="R183" s="228"/>
      <c r="S183" s="228"/>
      <c r="T183" s="228"/>
      <c r="U183" s="228"/>
      <c r="AF183" s="11"/>
      <c r="AG183" s="11"/>
      <c r="AH183" s="11"/>
      <c r="AI183" s="11"/>
      <c r="AJ183" s="11"/>
      <c r="AK183" s="11"/>
      <c r="AL183" s="11"/>
    </row>
    <row r="184" spans="1:38" x14ac:dyDescent="0.25">
      <c r="A184" s="38">
        <f>+Données!A184</f>
        <v>5713</v>
      </c>
      <c r="B184" s="249" t="str">
        <f>+Données!B184</f>
        <v>Crans</v>
      </c>
      <c r="C184" s="237">
        <f>+Ecrêtage!C184</f>
        <v>302501.76750000002</v>
      </c>
      <c r="D184" s="235"/>
      <c r="E184" s="237">
        <f>Données!AF184+Données!AG184+Données!AH184</f>
        <v>726080</v>
      </c>
      <c r="F184" s="235">
        <f t="shared" si="17"/>
        <v>2420014.14</v>
      </c>
      <c r="G184" s="8">
        <f t="shared" si="18"/>
        <v>0</v>
      </c>
      <c r="H184" s="316">
        <f t="shared" si="19"/>
        <v>0</v>
      </c>
      <c r="J184" s="8">
        <f>Données!AN184</f>
        <v>17848</v>
      </c>
      <c r="K184" s="215">
        <f t="shared" si="20"/>
        <v>302501.76750000002</v>
      </c>
      <c r="L184" s="12">
        <f t="shared" si="21"/>
        <v>0</v>
      </c>
      <c r="M184" s="316">
        <f t="shared" si="22"/>
        <v>0</v>
      </c>
      <c r="O184" s="42">
        <f t="shared" si="23"/>
        <v>0</v>
      </c>
      <c r="P184" s="273"/>
      <c r="Q184" s="228"/>
      <c r="R184" s="228"/>
      <c r="S184" s="228"/>
      <c r="T184" s="228"/>
      <c r="U184" s="228"/>
      <c r="AF184" s="11"/>
      <c r="AG184" s="11"/>
      <c r="AH184" s="11"/>
      <c r="AI184" s="11"/>
      <c r="AJ184" s="11"/>
      <c r="AK184" s="11"/>
      <c r="AL184" s="11"/>
    </row>
    <row r="185" spans="1:38" x14ac:dyDescent="0.25">
      <c r="A185" s="38">
        <f>+Données!A185</f>
        <v>5714</v>
      </c>
      <c r="B185" s="249" t="str">
        <f>+Données!B185</f>
        <v>Crassier</v>
      </c>
      <c r="C185" s="237">
        <f>+Ecrêtage!C185</f>
        <v>62133.653235294114</v>
      </c>
      <c r="D185" s="235"/>
      <c r="E185" s="237">
        <f>Données!AF185+Données!AG185+Données!AH185</f>
        <v>0</v>
      </c>
      <c r="F185" s="235">
        <f t="shared" si="17"/>
        <v>497069.22588235291</v>
      </c>
      <c r="G185" s="8">
        <f t="shared" si="18"/>
        <v>0</v>
      </c>
      <c r="H185" s="316">
        <f t="shared" si="19"/>
        <v>0</v>
      </c>
      <c r="J185" s="8">
        <f>Données!AN185</f>
        <v>0</v>
      </c>
      <c r="K185" s="215">
        <f t="shared" si="20"/>
        <v>62133.653235294114</v>
      </c>
      <c r="L185" s="12">
        <f t="shared" si="21"/>
        <v>0</v>
      </c>
      <c r="M185" s="316">
        <f t="shared" si="22"/>
        <v>0</v>
      </c>
      <c r="O185" s="42">
        <f t="shared" si="23"/>
        <v>0</v>
      </c>
      <c r="P185" s="273"/>
      <c r="Q185" s="228"/>
      <c r="R185" s="228"/>
      <c r="S185" s="228"/>
      <c r="T185" s="228"/>
      <c r="U185" s="228"/>
      <c r="AF185" s="11"/>
      <c r="AG185" s="11"/>
      <c r="AH185" s="11"/>
      <c r="AI185" s="11"/>
      <c r="AJ185" s="11"/>
      <c r="AK185" s="11"/>
      <c r="AL185" s="11"/>
    </row>
    <row r="186" spans="1:38" x14ac:dyDescent="0.25">
      <c r="A186" s="38">
        <f>+Données!A186</f>
        <v>5715</v>
      </c>
      <c r="B186" s="249" t="str">
        <f>+Données!B186</f>
        <v>Duillier</v>
      </c>
      <c r="C186" s="237">
        <f>+Ecrêtage!C186</f>
        <v>70392.808484848487</v>
      </c>
      <c r="D186" s="235"/>
      <c r="E186" s="237">
        <f>Données!AF186+Données!AG186+Données!AH186</f>
        <v>0</v>
      </c>
      <c r="F186" s="235">
        <f t="shared" si="17"/>
        <v>563142.46787878789</v>
      </c>
      <c r="G186" s="8">
        <f t="shared" si="18"/>
        <v>0</v>
      </c>
      <c r="H186" s="316">
        <f t="shared" si="19"/>
        <v>0</v>
      </c>
      <c r="J186" s="8">
        <f>Données!AN186</f>
        <v>0</v>
      </c>
      <c r="K186" s="215">
        <f t="shared" si="20"/>
        <v>70392.808484848487</v>
      </c>
      <c r="L186" s="12">
        <f t="shared" si="21"/>
        <v>0</v>
      </c>
      <c r="M186" s="316">
        <f t="shared" si="22"/>
        <v>0</v>
      </c>
      <c r="O186" s="42">
        <f t="shared" si="23"/>
        <v>0</v>
      </c>
      <c r="P186" s="273"/>
      <c r="Q186" s="228"/>
      <c r="R186" s="228"/>
      <c r="S186" s="228"/>
      <c r="T186" s="228"/>
      <c r="U186" s="228"/>
      <c r="AF186" s="11"/>
      <c r="AG186" s="11"/>
      <c r="AH186" s="11"/>
      <c r="AI186" s="11"/>
      <c r="AJ186" s="11"/>
      <c r="AK186" s="11"/>
      <c r="AL186" s="11"/>
    </row>
    <row r="187" spans="1:38" x14ac:dyDescent="0.25">
      <c r="A187" s="38">
        <f>+Données!A187</f>
        <v>5716</v>
      </c>
      <c r="B187" s="249" t="str">
        <f>+Données!B187</f>
        <v>Eysins</v>
      </c>
      <c r="C187" s="237">
        <f>+Ecrêtage!C187</f>
        <v>203469.72924369748</v>
      </c>
      <c r="D187" s="235"/>
      <c r="E187" s="237">
        <f>Données!AF187+Données!AG187+Données!AH187</f>
        <v>0</v>
      </c>
      <c r="F187" s="235">
        <f t="shared" si="17"/>
        <v>1627757.8339495799</v>
      </c>
      <c r="G187" s="8">
        <f t="shared" si="18"/>
        <v>0</v>
      </c>
      <c r="H187" s="316">
        <f t="shared" si="19"/>
        <v>0</v>
      </c>
      <c r="J187" s="8">
        <f>Données!AN187</f>
        <v>0</v>
      </c>
      <c r="K187" s="215">
        <f t="shared" si="20"/>
        <v>203469.72924369748</v>
      </c>
      <c r="L187" s="12">
        <f t="shared" si="21"/>
        <v>0</v>
      </c>
      <c r="M187" s="316">
        <f t="shared" si="22"/>
        <v>0</v>
      </c>
      <c r="O187" s="42">
        <f t="shared" si="23"/>
        <v>0</v>
      </c>
      <c r="P187" s="273"/>
      <c r="Q187" s="228"/>
      <c r="R187" s="228"/>
      <c r="S187" s="228"/>
      <c r="T187" s="228"/>
      <c r="U187" s="228"/>
      <c r="AF187" s="11"/>
      <c r="AG187" s="11"/>
      <c r="AH187" s="11"/>
      <c r="AI187" s="11"/>
      <c r="AJ187" s="11"/>
      <c r="AK187" s="11"/>
      <c r="AL187" s="11"/>
    </row>
    <row r="188" spans="1:38" x14ac:dyDescent="0.25">
      <c r="A188" s="38">
        <f>+Données!A188</f>
        <v>5717</v>
      </c>
      <c r="B188" s="249" t="str">
        <f>+Données!B188</f>
        <v>Founex</v>
      </c>
      <c r="C188" s="237">
        <f>+Ecrêtage!C188</f>
        <v>390717.85842105263</v>
      </c>
      <c r="D188" s="235"/>
      <c r="E188" s="237">
        <f>Données!AF188+Données!AG188+Données!AH188</f>
        <v>0</v>
      </c>
      <c r="F188" s="235">
        <f t="shared" si="17"/>
        <v>3125742.8673684211</v>
      </c>
      <c r="G188" s="8">
        <f t="shared" si="18"/>
        <v>0</v>
      </c>
      <c r="H188" s="316">
        <f t="shared" si="19"/>
        <v>0</v>
      </c>
      <c r="J188" s="8">
        <f>Données!AN188</f>
        <v>0</v>
      </c>
      <c r="K188" s="215">
        <f t="shared" si="20"/>
        <v>390717.85842105263</v>
      </c>
      <c r="L188" s="12">
        <f t="shared" si="21"/>
        <v>0</v>
      </c>
      <c r="M188" s="316">
        <f t="shared" si="22"/>
        <v>0</v>
      </c>
      <c r="O188" s="42">
        <f t="shared" si="23"/>
        <v>0</v>
      </c>
      <c r="P188" s="273"/>
      <c r="Q188" s="228"/>
      <c r="R188" s="228"/>
      <c r="S188" s="228"/>
      <c r="T188" s="228"/>
      <c r="U188" s="228"/>
      <c r="AF188" s="11"/>
      <c r="AG188" s="11"/>
      <c r="AH188" s="11"/>
      <c r="AI188" s="11"/>
      <c r="AJ188" s="11"/>
      <c r="AK188" s="11"/>
      <c r="AL188" s="11"/>
    </row>
    <row r="189" spans="1:38" s="156" customFormat="1" x14ac:dyDescent="0.25">
      <c r="A189" s="38">
        <f>+Données!A189</f>
        <v>5718</v>
      </c>
      <c r="B189" s="249" t="str">
        <f>+Données!B189</f>
        <v>Genolier</v>
      </c>
      <c r="C189" s="237">
        <f>+Ecrêtage!C189</f>
        <v>192258.25363636363</v>
      </c>
      <c r="D189" s="235"/>
      <c r="E189" s="237">
        <f>Données!AF189+Données!AG189+Données!AH189</f>
        <v>0</v>
      </c>
      <c r="F189" s="235">
        <f t="shared" si="17"/>
        <v>1538066.0290909091</v>
      </c>
      <c r="G189" s="8">
        <f t="shared" si="18"/>
        <v>0</v>
      </c>
      <c r="H189" s="316">
        <f t="shared" si="19"/>
        <v>0</v>
      </c>
      <c r="I189" s="238"/>
      <c r="J189" s="8">
        <f>Données!AN189</f>
        <v>0</v>
      </c>
      <c r="K189" s="338">
        <f t="shared" si="20"/>
        <v>192258.25363636363</v>
      </c>
      <c r="L189" s="1">
        <f t="shared" si="21"/>
        <v>0</v>
      </c>
      <c r="M189" s="316">
        <f t="shared" si="22"/>
        <v>0</v>
      </c>
      <c r="N189" s="238"/>
      <c r="O189" s="42">
        <f t="shared" si="23"/>
        <v>0</v>
      </c>
      <c r="P189" s="273"/>
      <c r="Q189" s="228"/>
      <c r="R189" s="228"/>
      <c r="S189" s="228"/>
      <c r="T189" s="228"/>
      <c r="U189" s="228"/>
      <c r="V189" s="219"/>
      <c r="W189" s="219"/>
      <c r="X189" s="219"/>
      <c r="Y189" s="219"/>
      <c r="Z189" s="219"/>
      <c r="AA189" s="219"/>
      <c r="AB189" s="219"/>
      <c r="AC189" s="219"/>
      <c r="AD189" s="219"/>
      <c r="AE189" s="219"/>
    </row>
    <row r="190" spans="1:38" x14ac:dyDescent="0.25">
      <c r="A190" s="38">
        <f>+Données!A190</f>
        <v>5719</v>
      </c>
      <c r="B190" s="249" t="str">
        <f>+Données!B190</f>
        <v>Gingins</v>
      </c>
      <c r="C190" s="237">
        <f>+Ecrêtage!C190</f>
        <v>151290.43366666668</v>
      </c>
      <c r="D190" s="235"/>
      <c r="E190" s="237">
        <f>Données!AF190+Données!AG190+Données!AH190</f>
        <v>0</v>
      </c>
      <c r="F190" s="235">
        <f t="shared" si="17"/>
        <v>1210323.4693333334</v>
      </c>
      <c r="G190" s="8">
        <f t="shared" si="18"/>
        <v>0</v>
      </c>
      <c r="H190" s="316">
        <f t="shared" si="19"/>
        <v>0</v>
      </c>
      <c r="J190" s="8">
        <f>Données!AN190</f>
        <v>0</v>
      </c>
      <c r="K190" s="215">
        <f t="shared" si="20"/>
        <v>151290.43366666668</v>
      </c>
      <c r="L190" s="12">
        <f t="shared" si="21"/>
        <v>0</v>
      </c>
      <c r="M190" s="316">
        <f t="shared" si="22"/>
        <v>0</v>
      </c>
      <c r="O190" s="42">
        <f t="shared" si="23"/>
        <v>0</v>
      </c>
      <c r="P190" s="273"/>
      <c r="Q190" s="228"/>
      <c r="R190" s="228"/>
      <c r="S190" s="228"/>
      <c r="T190" s="228"/>
      <c r="U190" s="228"/>
      <c r="AF190" s="11"/>
      <c r="AG190" s="11"/>
      <c r="AH190" s="11"/>
      <c r="AI190" s="11"/>
      <c r="AJ190" s="11"/>
      <c r="AK190" s="11"/>
      <c r="AL190" s="11"/>
    </row>
    <row r="191" spans="1:38" x14ac:dyDescent="0.25">
      <c r="A191" s="38">
        <f>+Données!A191</f>
        <v>5720</v>
      </c>
      <c r="B191" s="249" t="str">
        <f>+Données!B191</f>
        <v>Givrins</v>
      </c>
      <c r="C191" s="237">
        <f>+Ecrêtage!C191</f>
        <v>74789.584809286913</v>
      </c>
      <c r="D191" s="235"/>
      <c r="E191" s="237">
        <f>Données!AF191+Données!AG191+Données!AH191</f>
        <v>392447</v>
      </c>
      <c r="F191" s="235">
        <f t="shared" si="17"/>
        <v>598316.6784742953</v>
      </c>
      <c r="G191" s="8">
        <f t="shared" si="18"/>
        <v>0</v>
      </c>
      <c r="H191" s="316">
        <f t="shared" si="19"/>
        <v>0</v>
      </c>
      <c r="J191" s="8">
        <f>Données!AN191</f>
        <v>135853</v>
      </c>
      <c r="K191" s="215">
        <f t="shared" si="20"/>
        <v>74789.584809286913</v>
      </c>
      <c r="L191" s="12">
        <f t="shared" si="21"/>
        <v>61063.415190713087</v>
      </c>
      <c r="M191" s="316">
        <f t="shared" si="22"/>
        <v>-45797.561393034819</v>
      </c>
      <c r="O191" s="42">
        <f t="shared" si="23"/>
        <v>-45797.561393034819</v>
      </c>
      <c r="P191" s="273"/>
      <c r="Q191" s="228"/>
      <c r="R191" s="228"/>
      <c r="S191" s="228"/>
      <c r="T191" s="228"/>
      <c r="U191" s="228"/>
      <c r="AF191" s="11"/>
      <c r="AG191" s="11"/>
      <c r="AH191" s="11"/>
      <c r="AI191" s="11"/>
      <c r="AJ191" s="11"/>
      <c r="AK191" s="11"/>
      <c r="AL191" s="11"/>
    </row>
    <row r="192" spans="1:38" x14ac:dyDescent="0.25">
      <c r="A192" s="38">
        <f>+Données!A192</f>
        <v>5721</v>
      </c>
      <c r="B192" s="249" t="str">
        <f>+Données!B192</f>
        <v>Gland</v>
      </c>
      <c r="C192" s="237">
        <f>+Ecrêtage!C192</f>
        <v>722641.89508196723</v>
      </c>
      <c r="D192" s="235"/>
      <c r="E192" s="237">
        <f>Données!AF192+Données!AG192+Données!AH192</f>
        <v>4161047</v>
      </c>
      <c r="F192" s="235">
        <f t="shared" si="17"/>
        <v>5781135.1606557379</v>
      </c>
      <c r="G192" s="8">
        <f t="shared" si="18"/>
        <v>0</v>
      </c>
      <c r="H192" s="316">
        <f t="shared" si="19"/>
        <v>0</v>
      </c>
      <c r="J192" s="8">
        <f>Données!AN192</f>
        <v>30073</v>
      </c>
      <c r="K192" s="215">
        <f t="shared" si="20"/>
        <v>722641.89508196723</v>
      </c>
      <c r="L192" s="12">
        <f t="shared" si="21"/>
        <v>0</v>
      </c>
      <c r="M192" s="316">
        <f t="shared" si="22"/>
        <v>0</v>
      </c>
      <c r="O192" s="42">
        <f t="shared" si="23"/>
        <v>0</v>
      </c>
      <c r="P192" s="273"/>
      <c r="Q192" s="228"/>
      <c r="R192" s="228"/>
      <c r="S192" s="228"/>
      <c r="T192" s="228"/>
      <c r="U192" s="228"/>
      <c r="AF192" s="11"/>
      <c r="AG192" s="11"/>
      <c r="AH192" s="11"/>
      <c r="AI192" s="11"/>
      <c r="AJ192" s="11"/>
      <c r="AK192" s="11"/>
      <c r="AL192" s="11"/>
    </row>
    <row r="193" spans="1:38" x14ac:dyDescent="0.25">
      <c r="A193" s="38">
        <f>+Données!A193</f>
        <v>5722</v>
      </c>
      <c r="B193" s="249" t="str">
        <f>+Données!B193</f>
        <v>Grens</v>
      </c>
      <c r="C193" s="237">
        <f>+Ecrêtage!C193</f>
        <v>22316.235806451619</v>
      </c>
      <c r="D193" s="235"/>
      <c r="E193" s="237">
        <f>Données!AF193+Données!AG193+Données!AH193</f>
        <v>0</v>
      </c>
      <c r="F193" s="235">
        <f t="shared" si="17"/>
        <v>178529.88645161295</v>
      </c>
      <c r="G193" s="8">
        <f t="shared" si="18"/>
        <v>0</v>
      </c>
      <c r="H193" s="316">
        <f t="shared" si="19"/>
        <v>0</v>
      </c>
      <c r="J193" s="8">
        <f>Données!AN193</f>
        <v>0</v>
      </c>
      <c r="K193" s="215">
        <f t="shared" si="20"/>
        <v>22316.235806451619</v>
      </c>
      <c r="L193" s="12">
        <f t="shared" si="21"/>
        <v>0</v>
      </c>
      <c r="M193" s="316">
        <f t="shared" si="22"/>
        <v>0</v>
      </c>
      <c r="O193" s="42">
        <f t="shared" si="23"/>
        <v>0</v>
      </c>
      <c r="P193" s="273"/>
      <c r="Q193" s="228"/>
      <c r="R193" s="228"/>
      <c r="S193" s="228"/>
      <c r="T193" s="228"/>
      <c r="U193" s="228"/>
      <c r="AF193" s="11"/>
      <c r="AG193" s="11"/>
      <c r="AH193" s="11"/>
      <c r="AI193" s="11"/>
      <c r="AJ193" s="11"/>
      <c r="AK193" s="11"/>
      <c r="AL193" s="11"/>
    </row>
    <row r="194" spans="1:38" x14ac:dyDescent="0.25">
      <c r="A194" s="38">
        <f>+Données!A194</f>
        <v>5723</v>
      </c>
      <c r="B194" s="249" t="str">
        <f>+Données!B194</f>
        <v>Mies</v>
      </c>
      <c r="C194" s="237">
        <f>+Ecrêtage!C194</f>
        <v>245963.39999999997</v>
      </c>
      <c r="D194" s="235"/>
      <c r="E194" s="237">
        <f>Données!AF194+Données!AG194+Données!AH194</f>
        <v>0</v>
      </c>
      <c r="F194" s="235">
        <f t="shared" si="17"/>
        <v>1967707.1999999997</v>
      </c>
      <c r="G194" s="8">
        <f t="shared" si="18"/>
        <v>0</v>
      </c>
      <c r="H194" s="316">
        <f t="shared" si="19"/>
        <v>0</v>
      </c>
      <c r="J194" s="8">
        <f>Données!AN194</f>
        <v>0</v>
      </c>
      <c r="K194" s="215">
        <f t="shared" si="20"/>
        <v>245963.39999999997</v>
      </c>
      <c r="L194" s="12">
        <f t="shared" si="21"/>
        <v>0</v>
      </c>
      <c r="M194" s="316">
        <f t="shared" si="22"/>
        <v>0</v>
      </c>
      <c r="O194" s="42">
        <f t="shared" si="23"/>
        <v>0</v>
      </c>
      <c r="P194" s="273"/>
      <c r="Q194" s="228"/>
      <c r="R194" s="228"/>
      <c r="S194" s="228"/>
      <c r="T194" s="228"/>
      <c r="U194" s="228"/>
      <c r="AF194" s="11"/>
      <c r="AG194" s="11"/>
      <c r="AH194" s="11"/>
      <c r="AI194" s="11"/>
      <c r="AJ194" s="11"/>
      <c r="AK194" s="11"/>
      <c r="AL194" s="11"/>
    </row>
    <row r="195" spans="1:38" x14ac:dyDescent="0.25">
      <c r="A195" s="38">
        <f>+Données!A195</f>
        <v>5724</v>
      </c>
      <c r="B195" s="249" t="str">
        <f>+Données!B195</f>
        <v>Nyon</v>
      </c>
      <c r="C195" s="237">
        <f>+Ecrêtage!C195</f>
        <v>1461398.290765027</v>
      </c>
      <c r="D195" s="235"/>
      <c r="E195" s="237">
        <f>Données!AF195+Données!AG195+Données!AH195</f>
        <v>12777404</v>
      </c>
      <c r="F195" s="235">
        <f t="shared" si="17"/>
        <v>11691186.326120216</v>
      </c>
      <c r="G195" s="8">
        <f t="shared" si="18"/>
        <v>1086217.6738797836</v>
      </c>
      <c r="H195" s="316">
        <f t="shared" si="19"/>
        <v>-814663.2554098377</v>
      </c>
      <c r="J195" s="8">
        <f>Données!AN195</f>
        <v>265287</v>
      </c>
      <c r="K195" s="215">
        <f t="shared" si="20"/>
        <v>1461398.290765027</v>
      </c>
      <c r="L195" s="12">
        <f t="shared" si="21"/>
        <v>0</v>
      </c>
      <c r="M195" s="316">
        <f t="shared" si="22"/>
        <v>0</v>
      </c>
      <c r="O195" s="42">
        <f t="shared" si="23"/>
        <v>-814663.2554098377</v>
      </c>
      <c r="P195" s="273"/>
      <c r="Q195" s="228"/>
      <c r="R195" s="228"/>
      <c r="S195" s="228"/>
      <c r="T195" s="228"/>
      <c r="U195" s="228"/>
      <c r="AF195" s="11"/>
      <c r="AG195" s="11"/>
      <c r="AH195" s="11"/>
      <c r="AI195" s="11"/>
      <c r="AJ195" s="11"/>
      <c r="AK195" s="11"/>
      <c r="AL195" s="11"/>
    </row>
    <row r="196" spans="1:38" x14ac:dyDescent="0.25">
      <c r="A196" s="38">
        <f>+Données!A196</f>
        <v>5725</v>
      </c>
      <c r="B196" s="249" t="str">
        <f>+Données!B196</f>
        <v>Prangins</v>
      </c>
      <c r="C196" s="237">
        <f>+Ecrêtage!C196</f>
        <v>354965.57820779225</v>
      </c>
      <c r="D196" s="235"/>
      <c r="E196" s="237">
        <f>Données!AF196+Données!AG196+Données!AH196</f>
        <v>1803784</v>
      </c>
      <c r="F196" s="235">
        <f t="shared" si="17"/>
        <v>2839724.625662338</v>
      </c>
      <c r="G196" s="8">
        <f t="shared" si="18"/>
        <v>0</v>
      </c>
      <c r="H196" s="316">
        <f t="shared" si="19"/>
        <v>0</v>
      </c>
      <c r="J196" s="8">
        <f>Données!AN196</f>
        <v>29051</v>
      </c>
      <c r="K196" s="215">
        <f t="shared" si="20"/>
        <v>354965.57820779225</v>
      </c>
      <c r="L196" s="12">
        <f t="shared" si="21"/>
        <v>0</v>
      </c>
      <c r="M196" s="316">
        <f t="shared" si="22"/>
        <v>0</v>
      </c>
      <c r="O196" s="42">
        <f t="shared" si="23"/>
        <v>0</v>
      </c>
      <c r="P196" s="273"/>
      <c r="Q196" s="228"/>
      <c r="R196" s="228"/>
      <c r="S196" s="228"/>
      <c r="T196" s="228"/>
      <c r="U196" s="228"/>
      <c r="AF196" s="11"/>
      <c r="AG196" s="11"/>
      <c r="AH196" s="11"/>
      <c r="AI196" s="11"/>
      <c r="AJ196" s="11"/>
      <c r="AK196" s="11"/>
      <c r="AL196" s="11"/>
    </row>
    <row r="197" spans="1:38" x14ac:dyDescent="0.25">
      <c r="A197" s="38">
        <f>+Données!A197</f>
        <v>5726</v>
      </c>
      <c r="B197" s="249" t="str">
        <f>+Données!B197</f>
        <v>La Rippe</v>
      </c>
      <c r="C197" s="237">
        <f>+Ecrêtage!C197</f>
        <v>70364.194375000006</v>
      </c>
      <c r="D197" s="235"/>
      <c r="E197" s="237">
        <f>Données!AF197+Données!AG197+Données!AH197</f>
        <v>0</v>
      </c>
      <c r="F197" s="235">
        <f t="shared" si="17"/>
        <v>562913.55500000005</v>
      </c>
      <c r="G197" s="8">
        <f t="shared" si="18"/>
        <v>0</v>
      </c>
      <c r="H197" s="316">
        <f t="shared" si="19"/>
        <v>0</v>
      </c>
      <c r="J197" s="8">
        <f>Données!AN197</f>
        <v>0</v>
      </c>
      <c r="K197" s="215">
        <f t="shared" si="20"/>
        <v>70364.194375000006</v>
      </c>
      <c r="L197" s="12">
        <f t="shared" si="21"/>
        <v>0</v>
      </c>
      <c r="M197" s="316">
        <f t="shared" si="22"/>
        <v>0</v>
      </c>
      <c r="O197" s="42">
        <f t="shared" si="23"/>
        <v>0</v>
      </c>
      <c r="P197" s="273"/>
      <c r="Q197" s="228"/>
      <c r="R197" s="228"/>
      <c r="S197" s="228"/>
      <c r="T197" s="228"/>
      <c r="U197" s="228"/>
      <c r="AF197" s="11"/>
      <c r="AG197" s="11"/>
      <c r="AH197" s="11"/>
      <c r="AI197" s="11"/>
      <c r="AJ197" s="11"/>
      <c r="AK197" s="11"/>
      <c r="AL197" s="11"/>
    </row>
    <row r="198" spans="1:38" x14ac:dyDescent="0.25">
      <c r="A198" s="38">
        <f>+Données!A198</f>
        <v>5727</v>
      </c>
      <c r="B198" s="249" t="str">
        <f>+Données!B198</f>
        <v>Saint-Cergue</v>
      </c>
      <c r="C198" s="237">
        <f>+Ecrêtage!C198</f>
        <v>106171.3535858586</v>
      </c>
      <c r="D198" s="235"/>
      <c r="E198" s="237">
        <f>Données!AF198+Données!AG198+Données!AH198</f>
        <v>1400585</v>
      </c>
      <c r="F198" s="235">
        <f t="shared" si="17"/>
        <v>849370.82868686877</v>
      </c>
      <c r="G198" s="8">
        <f t="shared" si="18"/>
        <v>551214.17131313123</v>
      </c>
      <c r="H198" s="316">
        <f t="shared" si="19"/>
        <v>-413410.62848484842</v>
      </c>
      <c r="J198" s="8">
        <f>Données!AN198</f>
        <v>183430</v>
      </c>
      <c r="K198" s="215">
        <f t="shared" si="20"/>
        <v>106171.3535858586</v>
      </c>
      <c r="L198" s="12">
        <f t="shared" si="21"/>
        <v>77258.646414141404</v>
      </c>
      <c r="M198" s="316">
        <f t="shared" si="22"/>
        <v>-57943.984810606053</v>
      </c>
      <c r="O198" s="42">
        <f t="shared" si="23"/>
        <v>-471354.61329545447</v>
      </c>
      <c r="P198" s="273"/>
      <c r="Q198" s="228"/>
      <c r="R198" s="228"/>
      <c r="S198" s="228"/>
      <c r="T198" s="228"/>
      <c r="U198" s="228"/>
      <c r="AF198" s="11"/>
      <c r="AG198" s="11"/>
      <c r="AH198" s="11"/>
      <c r="AI198" s="11"/>
      <c r="AJ198" s="11"/>
      <c r="AK198" s="11"/>
      <c r="AL198" s="11"/>
    </row>
    <row r="199" spans="1:38" x14ac:dyDescent="0.25">
      <c r="A199" s="38">
        <f>+Données!A199</f>
        <v>5728</v>
      </c>
      <c r="B199" s="249" t="str">
        <f>+Données!B199</f>
        <v>Signy-Avenex</v>
      </c>
      <c r="C199" s="237">
        <f>+Ecrêtage!C199</f>
        <v>56428.273965517248</v>
      </c>
      <c r="D199" s="235"/>
      <c r="E199" s="237">
        <f>Données!AF199+Données!AG199+Données!AH199</f>
        <v>0</v>
      </c>
      <c r="F199" s="235">
        <f t="shared" ref="F199:F262" si="24">+C199*$G$5</f>
        <v>451426.19172413799</v>
      </c>
      <c r="G199" s="8">
        <f t="shared" ref="G199:G262" si="25">IF(E199&gt;F199,E199-F199,0)</f>
        <v>0</v>
      </c>
      <c r="H199" s="316">
        <f t="shared" ref="H199:H262" si="26">-G199*H$5</f>
        <v>0</v>
      </c>
      <c r="J199" s="8">
        <f>Données!AN199</f>
        <v>0</v>
      </c>
      <c r="K199" s="215">
        <f t="shared" ref="K199:K262" si="27">C199*L$5</f>
        <v>56428.273965517248</v>
      </c>
      <c r="L199" s="12">
        <f t="shared" ref="L199:L262" si="28">IF(J199&gt;K199,J199-K199,0)</f>
        <v>0</v>
      </c>
      <c r="M199" s="316">
        <f t="shared" ref="M199:M262" si="29">-L199*M$5</f>
        <v>0</v>
      </c>
      <c r="O199" s="42">
        <f t="shared" ref="O199:O262" si="30">M199+H199</f>
        <v>0</v>
      </c>
      <c r="P199" s="273"/>
      <c r="Q199" s="228"/>
      <c r="R199" s="228"/>
      <c r="S199" s="228"/>
      <c r="T199" s="228"/>
      <c r="U199" s="228"/>
      <c r="AF199" s="11"/>
      <c r="AG199" s="11"/>
      <c r="AH199" s="11"/>
      <c r="AI199" s="11"/>
      <c r="AJ199" s="11"/>
      <c r="AK199" s="11"/>
      <c r="AL199" s="11"/>
    </row>
    <row r="200" spans="1:38" x14ac:dyDescent="0.25">
      <c r="A200" s="38">
        <f>+Données!A200</f>
        <v>5729</v>
      </c>
      <c r="B200" s="249" t="str">
        <f>+Données!B200</f>
        <v>Tannay</v>
      </c>
      <c r="C200" s="237">
        <f>+Ecrêtage!C200</f>
        <v>161668.92523415975</v>
      </c>
      <c r="D200" s="235"/>
      <c r="E200" s="237">
        <f>Données!AF200+Données!AG200+Données!AH200</f>
        <v>0</v>
      </c>
      <c r="F200" s="235">
        <f t="shared" si="24"/>
        <v>1293351.401873278</v>
      </c>
      <c r="G200" s="8">
        <f t="shared" si="25"/>
        <v>0</v>
      </c>
      <c r="H200" s="316">
        <f t="shared" si="26"/>
        <v>0</v>
      </c>
      <c r="J200" s="8">
        <f>Données!AN200</f>
        <v>0</v>
      </c>
      <c r="K200" s="215">
        <f t="shared" si="27"/>
        <v>161668.92523415975</v>
      </c>
      <c r="L200" s="12">
        <f t="shared" si="28"/>
        <v>0</v>
      </c>
      <c r="M200" s="316">
        <f t="shared" si="29"/>
        <v>0</v>
      </c>
      <c r="O200" s="42">
        <f t="shared" si="30"/>
        <v>0</v>
      </c>
      <c r="P200" s="273"/>
      <c r="Q200" s="228"/>
      <c r="R200" s="228"/>
      <c r="S200" s="228"/>
      <c r="T200" s="228"/>
      <c r="U200" s="228"/>
      <c r="AF200" s="11"/>
      <c r="AG200" s="11"/>
      <c r="AH200" s="11"/>
      <c r="AI200" s="11"/>
      <c r="AJ200" s="11"/>
      <c r="AK200" s="11"/>
      <c r="AL200" s="11"/>
    </row>
    <row r="201" spans="1:38" x14ac:dyDescent="0.25">
      <c r="A201" s="38">
        <f>+Données!A201</f>
        <v>5730</v>
      </c>
      <c r="B201" s="249" t="str">
        <f>+Données!B201</f>
        <v>Trélex</v>
      </c>
      <c r="C201" s="237">
        <f>+Ecrêtage!C201</f>
        <v>125084.29905905908</v>
      </c>
      <c r="D201" s="235"/>
      <c r="E201" s="237">
        <f>Données!AF201+Données!AG201+Données!AH201</f>
        <v>438179</v>
      </c>
      <c r="F201" s="235">
        <f t="shared" si="24"/>
        <v>1000674.3924724726</v>
      </c>
      <c r="G201" s="8">
        <f t="shared" si="25"/>
        <v>0</v>
      </c>
      <c r="H201" s="316">
        <f t="shared" si="26"/>
        <v>0</v>
      </c>
      <c r="J201" s="8">
        <f>Données!AN201</f>
        <v>44683</v>
      </c>
      <c r="K201" s="215">
        <f t="shared" si="27"/>
        <v>125084.29905905908</v>
      </c>
      <c r="L201" s="12">
        <f t="shared" si="28"/>
        <v>0</v>
      </c>
      <c r="M201" s="316">
        <f t="shared" si="29"/>
        <v>0</v>
      </c>
      <c r="O201" s="42">
        <f t="shared" si="30"/>
        <v>0</v>
      </c>
      <c r="P201" s="273"/>
      <c r="Q201" s="228"/>
      <c r="R201" s="228"/>
      <c r="S201" s="228"/>
      <c r="T201" s="228"/>
      <c r="U201" s="228"/>
      <c r="AF201" s="11"/>
      <c r="AG201" s="11"/>
      <c r="AH201" s="11"/>
      <c r="AI201" s="11"/>
      <c r="AJ201" s="11"/>
      <c r="AK201" s="11"/>
      <c r="AL201" s="11"/>
    </row>
    <row r="202" spans="1:38" x14ac:dyDescent="0.25">
      <c r="A202" s="38">
        <f>+Données!A202</f>
        <v>5731</v>
      </c>
      <c r="B202" s="249" t="str">
        <f>+Données!B202</f>
        <v>Le Vaud</v>
      </c>
      <c r="C202" s="237">
        <f>+Ecrêtage!C202</f>
        <v>69594.777477477473</v>
      </c>
      <c r="D202" s="235"/>
      <c r="E202" s="237">
        <f>Données!AF202+Données!AG202+Données!AH202</f>
        <v>763052</v>
      </c>
      <c r="F202" s="235">
        <f t="shared" si="24"/>
        <v>556758.21981981979</v>
      </c>
      <c r="G202" s="8">
        <f t="shared" si="25"/>
        <v>206293.78018018021</v>
      </c>
      <c r="H202" s="316">
        <f t="shared" si="26"/>
        <v>-154720.33513513516</v>
      </c>
      <c r="J202" s="8">
        <f>Données!AN202</f>
        <v>-44602</v>
      </c>
      <c r="K202" s="215">
        <f t="shared" si="27"/>
        <v>69594.777477477473</v>
      </c>
      <c r="L202" s="12">
        <f t="shared" si="28"/>
        <v>0</v>
      </c>
      <c r="M202" s="316">
        <f t="shared" si="29"/>
        <v>0</v>
      </c>
      <c r="O202" s="42">
        <f t="shared" si="30"/>
        <v>-154720.33513513516</v>
      </c>
      <c r="P202" s="273"/>
      <c r="Q202" s="228"/>
      <c r="R202" s="228"/>
      <c r="S202" s="228"/>
      <c r="T202" s="228"/>
      <c r="U202" s="228"/>
      <c r="AF202" s="11"/>
      <c r="AG202" s="11"/>
      <c r="AH202" s="11"/>
      <c r="AI202" s="11"/>
      <c r="AJ202" s="11"/>
      <c r="AK202" s="11"/>
      <c r="AL202" s="11"/>
    </row>
    <row r="203" spans="1:38" x14ac:dyDescent="0.25">
      <c r="A203" s="38">
        <f>+Données!A203</f>
        <v>5732</v>
      </c>
      <c r="B203" s="249" t="str">
        <f>+Données!B203</f>
        <v>Vich</v>
      </c>
      <c r="C203" s="237">
        <f>+Ecrêtage!C203</f>
        <v>86531.798253968242</v>
      </c>
      <c r="D203" s="235"/>
      <c r="E203" s="237">
        <f>Données!AF203+Données!AG203+Données!AH203</f>
        <v>465599</v>
      </c>
      <c r="F203" s="235">
        <f t="shared" si="24"/>
        <v>692254.38603174593</v>
      </c>
      <c r="G203" s="8">
        <f t="shared" si="25"/>
        <v>0</v>
      </c>
      <c r="H203" s="316">
        <f t="shared" si="26"/>
        <v>0</v>
      </c>
      <c r="J203" s="8">
        <f>Données!AN203</f>
        <v>28689</v>
      </c>
      <c r="K203" s="215">
        <f t="shared" si="27"/>
        <v>86531.798253968242</v>
      </c>
      <c r="L203" s="12">
        <f t="shared" si="28"/>
        <v>0</v>
      </c>
      <c r="M203" s="316">
        <f t="shared" si="29"/>
        <v>0</v>
      </c>
      <c r="O203" s="42">
        <f t="shared" si="30"/>
        <v>0</v>
      </c>
      <c r="P203" s="273"/>
      <c r="Q203" s="228"/>
      <c r="R203" s="228"/>
      <c r="S203" s="228"/>
      <c r="T203" s="228"/>
      <c r="U203" s="228"/>
      <c r="AF203" s="11"/>
      <c r="AG203" s="11"/>
      <c r="AH203" s="11"/>
      <c r="AI203" s="11"/>
      <c r="AJ203" s="11"/>
      <c r="AK203" s="11"/>
      <c r="AL203" s="11"/>
    </row>
    <row r="204" spans="1:38" x14ac:dyDescent="0.25">
      <c r="A204" s="38">
        <f>+Données!A204</f>
        <v>5741</v>
      </c>
      <c r="B204" s="249" t="str">
        <f>+Données!B204</f>
        <v>L'Abergement</v>
      </c>
      <c r="C204" s="237">
        <f>+Ecrêtage!C204</f>
        <v>8987.1447119341574</v>
      </c>
      <c r="D204" s="235"/>
      <c r="E204" s="237">
        <f>Données!AF204+Données!AG204+Données!AH204</f>
        <v>208561</v>
      </c>
      <c r="F204" s="235">
        <f t="shared" si="24"/>
        <v>71897.157695473259</v>
      </c>
      <c r="G204" s="8">
        <f t="shared" si="25"/>
        <v>136663.84230452674</v>
      </c>
      <c r="H204" s="316">
        <f t="shared" si="26"/>
        <v>-102497.88172839506</v>
      </c>
      <c r="J204" s="8">
        <f>Données!AN204</f>
        <v>17320</v>
      </c>
      <c r="K204" s="215">
        <f t="shared" si="27"/>
        <v>8987.1447119341574</v>
      </c>
      <c r="L204" s="12">
        <f t="shared" si="28"/>
        <v>8332.8552880658426</v>
      </c>
      <c r="M204" s="316">
        <f t="shared" si="29"/>
        <v>-6249.641466049382</v>
      </c>
      <c r="O204" s="42">
        <f t="shared" si="30"/>
        <v>-108747.52319444444</v>
      </c>
      <c r="P204" s="273"/>
      <c r="Q204" s="228"/>
      <c r="R204" s="228"/>
      <c r="S204" s="228"/>
      <c r="T204" s="228"/>
      <c r="U204" s="228"/>
      <c r="AF204" s="11"/>
      <c r="AG204" s="11"/>
      <c r="AH204" s="11"/>
      <c r="AI204" s="11"/>
      <c r="AJ204" s="11"/>
      <c r="AK204" s="11"/>
      <c r="AL204" s="11"/>
    </row>
    <row r="205" spans="1:38" x14ac:dyDescent="0.25">
      <c r="A205" s="38">
        <f>+Données!A205</f>
        <v>5742</v>
      </c>
      <c r="B205" s="249" t="str">
        <f>+Données!B205</f>
        <v>Agiez</v>
      </c>
      <c r="C205" s="237">
        <f>+Ecrêtage!C205</f>
        <v>10159.753552631579</v>
      </c>
      <c r="D205" s="235"/>
      <c r="E205" s="237">
        <f>Données!AF205+Données!AG205+Données!AH205</f>
        <v>139282</v>
      </c>
      <c r="F205" s="235">
        <f t="shared" si="24"/>
        <v>81278.02842105263</v>
      </c>
      <c r="G205" s="8">
        <f t="shared" si="25"/>
        <v>58003.97157894737</v>
      </c>
      <c r="H205" s="316">
        <f t="shared" si="26"/>
        <v>-43502.978684210524</v>
      </c>
      <c r="J205" s="8">
        <f>Données!AN205</f>
        <v>21330</v>
      </c>
      <c r="K205" s="215">
        <f t="shared" si="27"/>
        <v>10159.753552631579</v>
      </c>
      <c r="L205" s="12">
        <f t="shared" si="28"/>
        <v>11170.246447368421</v>
      </c>
      <c r="M205" s="316">
        <f t="shared" si="29"/>
        <v>-8377.6848355263155</v>
      </c>
      <c r="O205" s="42">
        <f t="shared" si="30"/>
        <v>-51880.663519736838</v>
      </c>
      <c r="P205" s="273"/>
      <c r="Q205" s="228"/>
      <c r="R205" s="228"/>
      <c r="S205" s="228"/>
      <c r="T205" s="228"/>
      <c r="U205" s="228"/>
      <c r="AF205" s="11"/>
      <c r="AG205" s="11"/>
      <c r="AH205" s="11"/>
      <c r="AI205" s="11"/>
      <c r="AJ205" s="11"/>
      <c r="AK205" s="11"/>
      <c r="AL205" s="11"/>
    </row>
    <row r="206" spans="1:38" x14ac:dyDescent="0.25">
      <c r="A206" s="38">
        <f>+Données!A206</f>
        <v>5743</v>
      </c>
      <c r="B206" s="249" t="str">
        <f>+Données!B206</f>
        <v>Arnex-sur-Orbe</v>
      </c>
      <c r="C206" s="237">
        <f>+Ecrêtage!C206</f>
        <v>18533.004577464792</v>
      </c>
      <c r="D206" s="235"/>
      <c r="E206" s="237">
        <f>Données!AF206+Données!AG206+Données!AH206</f>
        <v>282209</v>
      </c>
      <c r="F206" s="235">
        <f t="shared" si="24"/>
        <v>148264.03661971833</v>
      </c>
      <c r="G206" s="8">
        <f t="shared" si="25"/>
        <v>133944.96338028167</v>
      </c>
      <c r="H206" s="316">
        <f t="shared" si="26"/>
        <v>-100458.72253521124</v>
      </c>
      <c r="J206" s="8">
        <f>Données!AN206</f>
        <v>7592</v>
      </c>
      <c r="K206" s="215">
        <f t="shared" si="27"/>
        <v>18533.004577464792</v>
      </c>
      <c r="L206" s="12">
        <f t="shared" si="28"/>
        <v>0</v>
      </c>
      <c r="M206" s="316">
        <f t="shared" si="29"/>
        <v>0</v>
      </c>
      <c r="O206" s="42">
        <f t="shared" si="30"/>
        <v>-100458.72253521124</v>
      </c>
      <c r="P206" s="273"/>
      <c r="Q206" s="228"/>
      <c r="R206" s="228"/>
      <c r="S206" s="228"/>
      <c r="T206" s="228"/>
      <c r="U206" s="228"/>
      <c r="AF206" s="11"/>
      <c r="AG206" s="11"/>
      <c r="AH206" s="11"/>
      <c r="AI206" s="11"/>
      <c r="AJ206" s="11"/>
      <c r="AK206" s="11"/>
      <c r="AL206" s="11"/>
    </row>
    <row r="207" spans="1:38" x14ac:dyDescent="0.25">
      <c r="A207" s="38">
        <f>+Données!A207</f>
        <v>5744</v>
      </c>
      <c r="B207" s="249" t="str">
        <f>+Données!B207</f>
        <v>Ballaigues</v>
      </c>
      <c r="C207" s="237">
        <f>+Ecrêtage!C207</f>
        <v>49180.794769230772</v>
      </c>
      <c r="D207" s="235"/>
      <c r="E207" s="237">
        <f>Données!AF207+Données!AG207+Données!AH207</f>
        <v>868011</v>
      </c>
      <c r="F207" s="235">
        <f t="shared" si="24"/>
        <v>393446.35815384617</v>
      </c>
      <c r="G207" s="8">
        <f t="shared" si="25"/>
        <v>474564.64184615383</v>
      </c>
      <c r="H207" s="316">
        <f t="shared" si="26"/>
        <v>-355923.48138461536</v>
      </c>
      <c r="J207" s="8">
        <f>Données!AN207</f>
        <v>102658</v>
      </c>
      <c r="K207" s="215">
        <f t="shared" si="27"/>
        <v>49180.794769230772</v>
      </c>
      <c r="L207" s="12">
        <f t="shared" si="28"/>
        <v>53477.205230769228</v>
      </c>
      <c r="M207" s="316">
        <f t="shared" si="29"/>
        <v>-40107.903923076919</v>
      </c>
      <c r="O207" s="42">
        <f t="shared" si="30"/>
        <v>-396031.38530769228</v>
      </c>
      <c r="P207" s="273"/>
      <c r="Q207" s="228"/>
      <c r="R207" s="228"/>
      <c r="S207" s="228"/>
      <c r="T207" s="228"/>
      <c r="U207" s="228"/>
      <c r="AF207" s="11"/>
      <c r="AG207" s="11"/>
      <c r="AH207" s="11"/>
      <c r="AI207" s="11"/>
      <c r="AJ207" s="11"/>
      <c r="AK207" s="11"/>
      <c r="AL207" s="11"/>
    </row>
    <row r="208" spans="1:38" x14ac:dyDescent="0.25">
      <c r="A208" s="38">
        <f>+Données!A208</f>
        <v>5745</v>
      </c>
      <c r="B208" s="249" t="str">
        <f>+Données!B208</f>
        <v>Baulmes</v>
      </c>
      <c r="C208" s="237">
        <f>+Ecrêtage!C208</f>
        <v>28469.206405228757</v>
      </c>
      <c r="D208" s="235"/>
      <c r="E208" s="237">
        <f>Données!AF208+Données!AG208+Données!AH208</f>
        <v>488174</v>
      </c>
      <c r="F208" s="235">
        <f t="shared" si="24"/>
        <v>227753.65124183006</v>
      </c>
      <c r="G208" s="8">
        <f t="shared" si="25"/>
        <v>260420.34875816994</v>
      </c>
      <c r="H208" s="316">
        <f t="shared" si="26"/>
        <v>-195315.26156862747</v>
      </c>
      <c r="J208" s="8">
        <f>Données!AN208</f>
        <v>350664</v>
      </c>
      <c r="K208" s="215">
        <f t="shared" si="27"/>
        <v>28469.206405228757</v>
      </c>
      <c r="L208" s="12">
        <f t="shared" si="28"/>
        <v>322194.79359477124</v>
      </c>
      <c r="M208" s="316">
        <f t="shared" si="29"/>
        <v>-241646.09519607842</v>
      </c>
      <c r="O208" s="42">
        <f t="shared" si="30"/>
        <v>-436961.35676470585</v>
      </c>
      <c r="P208" s="273"/>
      <c r="Q208" s="228"/>
      <c r="R208" s="228"/>
      <c r="S208" s="228"/>
      <c r="T208" s="228"/>
      <c r="U208" s="228"/>
      <c r="AF208" s="11"/>
      <c r="AG208" s="11"/>
      <c r="AH208" s="11"/>
      <c r="AI208" s="11"/>
      <c r="AJ208" s="11"/>
      <c r="AK208" s="11"/>
      <c r="AL208" s="11"/>
    </row>
    <row r="209" spans="1:38" x14ac:dyDescent="0.25">
      <c r="A209" s="38">
        <f>+Données!A209</f>
        <v>5746</v>
      </c>
      <c r="B209" s="249" t="str">
        <f>+Données!B209</f>
        <v>Bavois</v>
      </c>
      <c r="C209" s="237">
        <f>+Ecrêtage!C209</f>
        <v>27466.739977168949</v>
      </c>
      <c r="D209" s="235"/>
      <c r="E209" s="237">
        <f>Données!AF209+Données!AG209+Données!AH209</f>
        <v>456021</v>
      </c>
      <c r="F209" s="235">
        <f t="shared" si="24"/>
        <v>219733.91981735159</v>
      </c>
      <c r="G209" s="8">
        <f t="shared" si="25"/>
        <v>236287.08018264841</v>
      </c>
      <c r="H209" s="316">
        <f t="shared" si="26"/>
        <v>-177215.31013698631</v>
      </c>
      <c r="J209" s="8">
        <f>Données!AN209</f>
        <v>44755</v>
      </c>
      <c r="K209" s="215">
        <f t="shared" si="27"/>
        <v>27466.739977168949</v>
      </c>
      <c r="L209" s="12">
        <f t="shared" si="28"/>
        <v>17288.260022831051</v>
      </c>
      <c r="M209" s="316">
        <f t="shared" si="29"/>
        <v>-12966.195017123289</v>
      </c>
      <c r="O209" s="42">
        <f t="shared" si="30"/>
        <v>-190181.50515410962</v>
      </c>
      <c r="P209" s="273"/>
      <c r="Q209" s="228"/>
      <c r="R209" s="228"/>
      <c r="S209" s="228"/>
      <c r="T209" s="228"/>
      <c r="U209" s="228"/>
      <c r="AF209" s="11"/>
      <c r="AG209" s="11"/>
      <c r="AH209" s="11"/>
      <c r="AI209" s="11"/>
      <c r="AJ209" s="11"/>
      <c r="AK209" s="11"/>
      <c r="AL209" s="11"/>
    </row>
    <row r="210" spans="1:38" x14ac:dyDescent="0.25">
      <c r="A210" s="38">
        <f>+Données!A210</f>
        <v>5747</v>
      </c>
      <c r="B210" s="249" t="str">
        <f>+Données!B210</f>
        <v>Bofflens</v>
      </c>
      <c r="C210" s="237">
        <f>+Ecrêtage!C210</f>
        <v>5807.8631884057959</v>
      </c>
      <c r="D210" s="235"/>
      <c r="E210" s="237">
        <f>Données!AF210+Données!AG210+Données!AH210</f>
        <v>77727</v>
      </c>
      <c r="F210" s="235">
        <f t="shared" si="24"/>
        <v>46462.905507246367</v>
      </c>
      <c r="G210" s="8">
        <f t="shared" si="25"/>
        <v>31264.094492753633</v>
      </c>
      <c r="H210" s="316">
        <f t="shared" si="26"/>
        <v>-23448.070869565225</v>
      </c>
      <c r="J210" s="8">
        <f>Données!AN210</f>
        <v>4296</v>
      </c>
      <c r="K210" s="215">
        <f t="shared" si="27"/>
        <v>5807.8631884057959</v>
      </c>
      <c r="L210" s="12">
        <f t="shared" si="28"/>
        <v>0</v>
      </c>
      <c r="M210" s="316">
        <f t="shared" si="29"/>
        <v>0</v>
      </c>
      <c r="O210" s="42">
        <f t="shared" si="30"/>
        <v>-23448.070869565225</v>
      </c>
      <c r="P210" s="273"/>
      <c r="Q210" s="228"/>
      <c r="R210" s="228"/>
      <c r="S210" s="228"/>
      <c r="T210" s="228"/>
      <c r="U210" s="228"/>
      <c r="AF210" s="11"/>
      <c r="AG210" s="11"/>
      <c r="AH210" s="11"/>
      <c r="AI210" s="11"/>
      <c r="AJ210" s="11"/>
      <c r="AK210" s="11"/>
      <c r="AL210" s="11"/>
    </row>
    <row r="211" spans="1:38" x14ac:dyDescent="0.25">
      <c r="A211" s="38">
        <f>+Données!A211</f>
        <v>5748</v>
      </c>
      <c r="B211" s="249" t="str">
        <f>+Données!B211</f>
        <v>Bretonnières</v>
      </c>
      <c r="C211" s="237">
        <f>+Ecrêtage!C211</f>
        <v>6643.1211820330973</v>
      </c>
      <c r="D211" s="235"/>
      <c r="E211" s="237">
        <f>Données!AF211+Données!AG211+Données!AH211</f>
        <v>130013</v>
      </c>
      <c r="F211" s="235">
        <f t="shared" si="24"/>
        <v>53144.969456264778</v>
      </c>
      <c r="G211" s="8">
        <f t="shared" si="25"/>
        <v>76868.030543735222</v>
      </c>
      <c r="H211" s="316">
        <f t="shared" si="26"/>
        <v>-57651.022907801416</v>
      </c>
      <c r="J211" s="8">
        <f>Données!AN211</f>
        <v>4161</v>
      </c>
      <c r="K211" s="215">
        <f t="shared" si="27"/>
        <v>6643.1211820330973</v>
      </c>
      <c r="L211" s="12">
        <f t="shared" si="28"/>
        <v>0</v>
      </c>
      <c r="M211" s="316">
        <f t="shared" si="29"/>
        <v>0</v>
      </c>
      <c r="O211" s="42">
        <f t="shared" si="30"/>
        <v>-57651.022907801416</v>
      </c>
      <c r="P211" s="273"/>
      <c r="Q211" s="228"/>
      <c r="R211" s="228"/>
      <c r="S211" s="228"/>
      <c r="T211" s="228"/>
      <c r="U211" s="228"/>
      <c r="AF211" s="11"/>
      <c r="AG211" s="11"/>
      <c r="AH211" s="11"/>
      <c r="AI211" s="11"/>
      <c r="AJ211" s="11"/>
      <c r="AK211" s="11"/>
      <c r="AL211" s="11"/>
    </row>
    <row r="212" spans="1:38" x14ac:dyDescent="0.25">
      <c r="A212" s="38">
        <f>+Données!A212</f>
        <v>5749</v>
      </c>
      <c r="B212" s="249" t="str">
        <f>+Données!B212</f>
        <v>Chavornay</v>
      </c>
      <c r="C212" s="237">
        <f>+Ecrêtage!C212</f>
        <v>153319.43815602834</v>
      </c>
      <c r="D212" s="235"/>
      <c r="E212" s="237">
        <f>Données!AF212+Données!AG212+Données!AH212</f>
        <v>2025915</v>
      </c>
      <c r="F212" s="235">
        <f t="shared" si="24"/>
        <v>1226555.5052482267</v>
      </c>
      <c r="G212" s="8">
        <f t="shared" si="25"/>
        <v>799359.49475177331</v>
      </c>
      <c r="H212" s="316">
        <f t="shared" si="26"/>
        <v>-599519.62106382998</v>
      </c>
      <c r="J212" s="8">
        <f>Données!AN212</f>
        <v>199292</v>
      </c>
      <c r="K212" s="215">
        <f t="shared" si="27"/>
        <v>153319.43815602834</v>
      </c>
      <c r="L212" s="12">
        <f t="shared" si="28"/>
        <v>45972.561843971664</v>
      </c>
      <c r="M212" s="316">
        <f t="shared" si="29"/>
        <v>-34479.421382978748</v>
      </c>
      <c r="O212" s="42">
        <f t="shared" si="30"/>
        <v>-633999.04244680877</v>
      </c>
      <c r="P212" s="273"/>
      <c r="Q212" s="228"/>
      <c r="R212" s="228"/>
      <c r="S212" s="228"/>
      <c r="T212" s="228"/>
      <c r="U212" s="228"/>
      <c r="AF212" s="11"/>
      <c r="AG212" s="11"/>
      <c r="AH212" s="11"/>
      <c r="AI212" s="11"/>
      <c r="AJ212" s="11"/>
      <c r="AK212" s="11"/>
      <c r="AL212" s="11"/>
    </row>
    <row r="213" spans="1:38" x14ac:dyDescent="0.25">
      <c r="A213" s="38">
        <f>+Données!A213</f>
        <v>5750</v>
      </c>
      <c r="B213" s="249" t="str">
        <f>+Données!B213</f>
        <v>Les Clées</v>
      </c>
      <c r="C213" s="237">
        <f>+Ecrêtage!C213</f>
        <v>4819.7572916666668</v>
      </c>
      <c r="D213" s="235"/>
      <c r="E213" s="237">
        <f>Données!AF213+Données!AG213+Données!AH213</f>
        <v>80588</v>
      </c>
      <c r="F213" s="235">
        <f t="shared" si="24"/>
        <v>38558.058333333334</v>
      </c>
      <c r="G213" s="8">
        <f t="shared" si="25"/>
        <v>42029.941666666666</v>
      </c>
      <c r="H213" s="316">
        <f t="shared" si="26"/>
        <v>-31522.456249999999</v>
      </c>
      <c r="J213" s="8">
        <f>Données!AN213</f>
        <v>23780</v>
      </c>
      <c r="K213" s="215">
        <f t="shared" si="27"/>
        <v>4819.7572916666668</v>
      </c>
      <c r="L213" s="12">
        <f t="shared" si="28"/>
        <v>18960.242708333331</v>
      </c>
      <c r="M213" s="316">
        <f t="shared" si="29"/>
        <v>-14220.182031249999</v>
      </c>
      <c r="O213" s="42">
        <f t="shared" si="30"/>
        <v>-45742.638281249994</v>
      </c>
      <c r="P213" s="273"/>
      <c r="Q213" s="228"/>
      <c r="R213" s="228"/>
      <c r="S213" s="228"/>
      <c r="T213" s="228"/>
      <c r="U213" s="228"/>
      <c r="AF213" s="11"/>
      <c r="AG213" s="11"/>
      <c r="AH213" s="11"/>
      <c r="AI213" s="11"/>
      <c r="AJ213" s="11"/>
      <c r="AK213" s="11"/>
      <c r="AL213" s="11"/>
    </row>
    <row r="214" spans="1:38" x14ac:dyDescent="0.25">
      <c r="A214" s="38">
        <f>+Données!A214</f>
        <v>5752</v>
      </c>
      <c r="B214" s="249" t="str">
        <f>+Données!B214</f>
        <v>Croy</v>
      </c>
      <c r="C214" s="237">
        <f>+Ecrêtage!C214</f>
        <v>9670.8161776061788</v>
      </c>
      <c r="D214" s="235"/>
      <c r="E214" s="237">
        <f>Données!AF214+Données!AG214+Données!AH214</f>
        <v>-17664</v>
      </c>
      <c r="F214" s="235">
        <f t="shared" si="24"/>
        <v>77366.529420849431</v>
      </c>
      <c r="G214" s="8">
        <f t="shared" si="25"/>
        <v>0</v>
      </c>
      <c r="H214" s="316">
        <f t="shared" si="26"/>
        <v>0</v>
      </c>
      <c r="J214" s="8">
        <f>Données!AN214</f>
        <v>2879</v>
      </c>
      <c r="K214" s="215">
        <f t="shared" si="27"/>
        <v>9670.8161776061788</v>
      </c>
      <c r="L214" s="12">
        <f t="shared" si="28"/>
        <v>0</v>
      </c>
      <c r="M214" s="316">
        <f t="shared" si="29"/>
        <v>0</v>
      </c>
      <c r="O214" s="42">
        <f t="shared" si="30"/>
        <v>0</v>
      </c>
      <c r="P214" s="273"/>
      <c r="Q214" s="228"/>
      <c r="R214" s="228"/>
      <c r="S214" s="228"/>
      <c r="T214" s="228"/>
      <c r="U214" s="228"/>
      <c r="AF214" s="11"/>
      <c r="AG214" s="11"/>
      <c r="AH214" s="11"/>
      <c r="AI214" s="11"/>
      <c r="AJ214" s="11"/>
      <c r="AK214" s="11"/>
      <c r="AL214" s="11"/>
    </row>
    <row r="215" spans="1:38" x14ac:dyDescent="0.25">
      <c r="A215" s="38">
        <f>+Données!A215</f>
        <v>5754</v>
      </c>
      <c r="B215" s="249" t="str">
        <f>+Données!B215</f>
        <v>Juriens</v>
      </c>
      <c r="C215" s="237">
        <f>+Ecrêtage!C215</f>
        <v>9073.5155696202528</v>
      </c>
      <c r="D215" s="235"/>
      <c r="E215" s="237">
        <f>Données!AF215+Données!AG215+Données!AH215</f>
        <v>123251</v>
      </c>
      <c r="F215" s="235">
        <f t="shared" si="24"/>
        <v>72588.124556962022</v>
      </c>
      <c r="G215" s="8">
        <f t="shared" si="25"/>
        <v>50662.875443037978</v>
      </c>
      <c r="H215" s="316">
        <f t="shared" si="26"/>
        <v>-37997.156582278483</v>
      </c>
      <c r="J215" s="8">
        <f>Données!AN215</f>
        <v>10618</v>
      </c>
      <c r="K215" s="215">
        <f t="shared" si="27"/>
        <v>9073.5155696202528</v>
      </c>
      <c r="L215" s="12">
        <f t="shared" si="28"/>
        <v>1544.4844303797472</v>
      </c>
      <c r="M215" s="316">
        <f t="shared" si="29"/>
        <v>-1158.3633227848104</v>
      </c>
      <c r="O215" s="42">
        <f t="shared" si="30"/>
        <v>-39155.519905063295</v>
      </c>
      <c r="P215" s="273"/>
      <c r="Q215" s="228"/>
      <c r="R215" s="228"/>
      <c r="S215" s="228"/>
      <c r="T215" s="228"/>
      <c r="U215" s="228"/>
      <c r="AF215" s="11"/>
      <c r="AG215" s="11"/>
      <c r="AH215" s="11"/>
      <c r="AI215" s="11"/>
      <c r="AJ215" s="11"/>
      <c r="AK215" s="11"/>
      <c r="AL215" s="11"/>
    </row>
    <row r="216" spans="1:38" x14ac:dyDescent="0.25">
      <c r="A216" s="38">
        <f>+Données!A216</f>
        <v>5755</v>
      </c>
      <c r="B216" s="249" t="str">
        <f>+Données!B216</f>
        <v>Lignerolle</v>
      </c>
      <c r="C216" s="237">
        <f>+Ecrêtage!C216</f>
        <v>10745.60797088262</v>
      </c>
      <c r="D216" s="235"/>
      <c r="E216" s="237">
        <f>Données!AF216+Données!AG216+Données!AH216</f>
        <v>409423</v>
      </c>
      <c r="F216" s="235">
        <f t="shared" si="24"/>
        <v>85964.863767060961</v>
      </c>
      <c r="G216" s="8">
        <f t="shared" si="25"/>
        <v>323458.13623293902</v>
      </c>
      <c r="H216" s="316">
        <f t="shared" si="26"/>
        <v>-242593.60217470425</v>
      </c>
      <c r="J216" s="8">
        <f>Données!AN216</f>
        <v>75028</v>
      </c>
      <c r="K216" s="215">
        <f t="shared" si="27"/>
        <v>10745.60797088262</v>
      </c>
      <c r="L216" s="12">
        <f t="shared" si="28"/>
        <v>64282.392029117378</v>
      </c>
      <c r="M216" s="316">
        <f t="shared" si="29"/>
        <v>-48211.794021838032</v>
      </c>
      <c r="O216" s="42">
        <f t="shared" si="30"/>
        <v>-290805.39619654231</v>
      </c>
      <c r="P216" s="273"/>
      <c r="Q216" s="228"/>
      <c r="R216" s="228"/>
      <c r="S216" s="228"/>
      <c r="T216" s="228"/>
      <c r="U216" s="228"/>
      <c r="AF216" s="11"/>
      <c r="AG216" s="11"/>
      <c r="AH216" s="11"/>
      <c r="AI216" s="11"/>
      <c r="AJ216" s="11"/>
      <c r="AK216" s="11"/>
      <c r="AL216" s="11"/>
    </row>
    <row r="217" spans="1:38" x14ac:dyDescent="0.25">
      <c r="A217" s="38">
        <f>+Données!A217</f>
        <v>5756</v>
      </c>
      <c r="B217" s="249" t="str">
        <f>+Données!B217</f>
        <v>Montcherand</v>
      </c>
      <c r="C217" s="237">
        <f>+Ecrêtage!C217</f>
        <v>17738.051111111108</v>
      </c>
      <c r="D217" s="235"/>
      <c r="E217" s="237">
        <f>Données!AF217+Données!AG217+Données!AH217</f>
        <v>188693</v>
      </c>
      <c r="F217" s="235">
        <f t="shared" si="24"/>
        <v>141904.40888888887</v>
      </c>
      <c r="G217" s="8">
        <f t="shared" si="25"/>
        <v>46788.591111111135</v>
      </c>
      <c r="H217" s="316">
        <f t="shared" si="26"/>
        <v>-35091.443333333351</v>
      </c>
      <c r="J217" s="8">
        <f>Données!AN217</f>
        <v>15011</v>
      </c>
      <c r="K217" s="215">
        <f t="shared" si="27"/>
        <v>17738.051111111108</v>
      </c>
      <c r="L217" s="12">
        <f t="shared" si="28"/>
        <v>0</v>
      </c>
      <c r="M217" s="316">
        <f t="shared" si="29"/>
        <v>0</v>
      </c>
      <c r="O217" s="42">
        <f t="shared" si="30"/>
        <v>-35091.443333333351</v>
      </c>
      <c r="P217" s="273"/>
      <c r="Q217" s="228"/>
      <c r="R217" s="228"/>
      <c r="S217" s="228"/>
      <c r="T217" s="228"/>
      <c r="U217" s="228"/>
      <c r="AF217" s="11"/>
      <c r="AG217" s="11"/>
      <c r="AH217" s="11"/>
      <c r="AI217" s="11"/>
      <c r="AJ217" s="11"/>
      <c r="AK217" s="11"/>
      <c r="AL217" s="11"/>
    </row>
    <row r="218" spans="1:38" x14ac:dyDescent="0.25">
      <c r="A218" s="38">
        <f>+Données!A218</f>
        <v>5757</v>
      </c>
      <c r="B218" s="249" t="str">
        <f>+Données!B218</f>
        <v>Orbe</v>
      </c>
      <c r="C218" s="237">
        <f>+Ecrêtage!C218</f>
        <v>216123.53284768213</v>
      </c>
      <c r="D218" s="235"/>
      <c r="E218" s="237">
        <f>Données!AF218+Données!AG218+Données!AH218</f>
        <v>4383787</v>
      </c>
      <c r="F218" s="235">
        <f t="shared" si="24"/>
        <v>1728988.262781457</v>
      </c>
      <c r="G218" s="8">
        <f t="shared" si="25"/>
        <v>2654798.737218543</v>
      </c>
      <c r="H218" s="316">
        <f t="shared" si="26"/>
        <v>-1991099.0529139072</v>
      </c>
      <c r="J218" s="8">
        <f>Données!AN218</f>
        <v>127080</v>
      </c>
      <c r="K218" s="215">
        <f t="shared" si="27"/>
        <v>216123.53284768213</v>
      </c>
      <c r="L218" s="12">
        <f t="shared" si="28"/>
        <v>0</v>
      </c>
      <c r="M218" s="316">
        <f t="shared" si="29"/>
        <v>0</v>
      </c>
      <c r="O218" s="42">
        <f t="shared" si="30"/>
        <v>-1991099.0529139072</v>
      </c>
      <c r="P218" s="273"/>
      <c r="Q218" s="228"/>
      <c r="R218" s="228"/>
      <c r="S218" s="228"/>
      <c r="T218" s="228"/>
      <c r="U218" s="228"/>
      <c r="AF218" s="11"/>
      <c r="AG218" s="11"/>
      <c r="AH218" s="11"/>
      <c r="AI218" s="11"/>
      <c r="AJ218" s="11"/>
      <c r="AK218" s="11"/>
      <c r="AL218" s="11"/>
    </row>
    <row r="219" spans="1:38" x14ac:dyDescent="0.25">
      <c r="A219" s="38">
        <f>+Données!A219</f>
        <v>5758</v>
      </c>
      <c r="B219" s="249" t="str">
        <f>+Données!B219</f>
        <v>La Praz</v>
      </c>
      <c r="C219" s="237">
        <f>+Ecrêtage!C219</f>
        <v>4771.6656626506028</v>
      </c>
      <c r="D219" s="235"/>
      <c r="E219" s="237">
        <f>Données!AF219+Données!AG219+Données!AH219</f>
        <v>91494</v>
      </c>
      <c r="F219" s="235">
        <f t="shared" si="24"/>
        <v>38173.325301204823</v>
      </c>
      <c r="G219" s="8">
        <f t="shared" si="25"/>
        <v>53320.674698795177</v>
      </c>
      <c r="H219" s="316">
        <f t="shared" si="26"/>
        <v>-39990.506024096379</v>
      </c>
      <c r="J219" s="8">
        <f>Données!AN219</f>
        <v>556</v>
      </c>
      <c r="K219" s="215">
        <f t="shared" si="27"/>
        <v>4771.6656626506028</v>
      </c>
      <c r="L219" s="12">
        <f t="shared" si="28"/>
        <v>0</v>
      </c>
      <c r="M219" s="316">
        <f t="shared" si="29"/>
        <v>0</v>
      </c>
      <c r="O219" s="42">
        <f t="shared" si="30"/>
        <v>-39990.506024096379</v>
      </c>
      <c r="P219" s="273"/>
      <c r="Q219" s="228"/>
      <c r="R219" s="228"/>
      <c r="S219" s="228"/>
      <c r="T219" s="228"/>
      <c r="U219" s="228"/>
      <c r="AF219" s="11"/>
      <c r="AG219" s="11"/>
      <c r="AH219" s="11"/>
      <c r="AI219" s="11"/>
      <c r="AJ219" s="11"/>
      <c r="AK219" s="11"/>
      <c r="AL219" s="11"/>
    </row>
    <row r="220" spans="1:38" x14ac:dyDescent="0.25">
      <c r="A220" s="38">
        <f>+Données!A220</f>
        <v>5759</v>
      </c>
      <c r="B220" s="249" t="str">
        <f>+Données!B220</f>
        <v>Premier</v>
      </c>
      <c r="C220" s="237">
        <f>+Ecrêtage!C220</f>
        <v>5899.9776100628924</v>
      </c>
      <c r="D220" s="235"/>
      <c r="E220" s="237">
        <f>Données!AF220+Données!AG220+Données!AH220</f>
        <v>128222</v>
      </c>
      <c r="F220" s="235">
        <f t="shared" si="24"/>
        <v>47199.820880503139</v>
      </c>
      <c r="G220" s="8">
        <f t="shared" si="25"/>
        <v>81022.179119496868</v>
      </c>
      <c r="H220" s="316">
        <f t="shared" si="26"/>
        <v>-60766.634339622651</v>
      </c>
      <c r="J220" s="8">
        <f>Données!AN220</f>
        <v>22007</v>
      </c>
      <c r="K220" s="215">
        <f t="shared" si="27"/>
        <v>5899.9776100628924</v>
      </c>
      <c r="L220" s="12">
        <f t="shared" si="28"/>
        <v>16107.022389937109</v>
      </c>
      <c r="M220" s="316">
        <f t="shared" si="29"/>
        <v>-12080.266792452832</v>
      </c>
      <c r="O220" s="42">
        <f t="shared" si="30"/>
        <v>-72846.90113207548</v>
      </c>
      <c r="P220" s="273"/>
      <c r="Q220" s="228"/>
      <c r="R220" s="228"/>
      <c r="S220" s="228"/>
      <c r="T220" s="228"/>
      <c r="U220" s="228"/>
      <c r="AF220" s="11"/>
      <c r="AG220" s="11"/>
      <c r="AH220" s="11"/>
      <c r="AI220" s="11"/>
      <c r="AJ220" s="11"/>
      <c r="AK220" s="11"/>
      <c r="AL220" s="11"/>
    </row>
    <row r="221" spans="1:38" x14ac:dyDescent="0.25">
      <c r="A221" s="38">
        <f>+Données!A221</f>
        <v>5760</v>
      </c>
      <c r="B221" s="249" t="str">
        <f>+Données!B221</f>
        <v>Rances</v>
      </c>
      <c r="C221" s="237">
        <f>+Ecrêtage!C221</f>
        <v>14480.898997821349</v>
      </c>
      <c r="D221" s="235"/>
      <c r="E221" s="237">
        <f>Données!AF221+Données!AG221+Données!AH221</f>
        <v>194362</v>
      </c>
      <c r="F221" s="235">
        <f t="shared" si="24"/>
        <v>115847.19198257079</v>
      </c>
      <c r="G221" s="8">
        <f t="shared" si="25"/>
        <v>78514.808017429212</v>
      </c>
      <c r="H221" s="316">
        <f t="shared" si="26"/>
        <v>-58886.106013071912</v>
      </c>
      <c r="J221" s="8">
        <f>Données!AN221</f>
        <v>106000</v>
      </c>
      <c r="K221" s="215">
        <f t="shared" si="27"/>
        <v>14480.898997821349</v>
      </c>
      <c r="L221" s="12">
        <f t="shared" si="28"/>
        <v>91519.10100217865</v>
      </c>
      <c r="M221" s="316">
        <f t="shared" si="29"/>
        <v>-68639.325751633995</v>
      </c>
      <c r="O221" s="42">
        <f t="shared" si="30"/>
        <v>-127525.43176470591</v>
      </c>
      <c r="P221" s="273"/>
      <c r="Q221" s="228"/>
      <c r="R221" s="228"/>
      <c r="S221" s="228"/>
      <c r="T221" s="228"/>
      <c r="U221" s="228"/>
      <c r="AF221" s="11"/>
      <c r="AG221" s="11"/>
      <c r="AH221" s="11"/>
      <c r="AI221" s="11"/>
      <c r="AJ221" s="11"/>
      <c r="AK221" s="11"/>
      <c r="AL221" s="11"/>
    </row>
    <row r="222" spans="1:38" x14ac:dyDescent="0.25">
      <c r="A222" s="38">
        <f>+Données!A222</f>
        <v>5761</v>
      </c>
      <c r="B222" s="249" t="str">
        <f>+Données!B222</f>
        <v>Romainmôtier-Envy</v>
      </c>
      <c r="C222" s="237">
        <f>+Ecrêtage!C222</f>
        <v>12913.442693602694</v>
      </c>
      <c r="D222" s="235"/>
      <c r="E222" s="237">
        <f>Données!AF222+Données!AG222+Données!AH222</f>
        <v>296720</v>
      </c>
      <c r="F222" s="235">
        <f t="shared" si="24"/>
        <v>103307.54154882155</v>
      </c>
      <c r="G222" s="8">
        <f t="shared" si="25"/>
        <v>193412.45845117845</v>
      </c>
      <c r="H222" s="316">
        <f t="shared" si="26"/>
        <v>-145059.34383838385</v>
      </c>
      <c r="J222" s="8">
        <f>Données!AN222</f>
        <v>47754</v>
      </c>
      <c r="K222" s="215">
        <f t="shared" si="27"/>
        <v>12913.442693602694</v>
      </c>
      <c r="L222" s="12">
        <f t="shared" si="28"/>
        <v>34840.557306397306</v>
      </c>
      <c r="M222" s="316">
        <f t="shared" si="29"/>
        <v>-26130.417979797981</v>
      </c>
      <c r="O222" s="42">
        <f t="shared" si="30"/>
        <v>-171189.76181818184</v>
      </c>
      <c r="P222" s="273"/>
      <c r="Q222" s="228"/>
      <c r="R222" s="228"/>
      <c r="S222" s="228"/>
      <c r="T222" s="228"/>
      <c r="U222" s="228"/>
      <c r="AF222" s="11"/>
      <c r="AG222" s="11"/>
      <c r="AH222" s="11"/>
      <c r="AI222" s="11"/>
      <c r="AJ222" s="11"/>
      <c r="AK222" s="11"/>
      <c r="AL222" s="11"/>
    </row>
    <row r="223" spans="1:38" x14ac:dyDescent="0.25">
      <c r="A223" s="38">
        <f>+Données!A223</f>
        <v>5762</v>
      </c>
      <c r="B223" s="249" t="str">
        <f>+Données!B223</f>
        <v>Sergey</v>
      </c>
      <c r="C223" s="237">
        <f>+Ecrêtage!C223</f>
        <v>3849.5166666666673</v>
      </c>
      <c r="D223" s="235"/>
      <c r="E223" s="237">
        <f>Données!AF223+Données!AG223+Données!AH223</f>
        <v>64009</v>
      </c>
      <c r="F223" s="235">
        <f t="shared" si="24"/>
        <v>30796.133333333339</v>
      </c>
      <c r="G223" s="8">
        <f t="shared" si="25"/>
        <v>33212.866666666661</v>
      </c>
      <c r="H223" s="316">
        <f t="shared" si="26"/>
        <v>-24909.649999999994</v>
      </c>
      <c r="J223" s="8">
        <f>Données!AN223</f>
        <v>5886</v>
      </c>
      <c r="K223" s="215">
        <f t="shared" si="27"/>
        <v>3849.5166666666673</v>
      </c>
      <c r="L223" s="12">
        <f t="shared" si="28"/>
        <v>2036.4833333333327</v>
      </c>
      <c r="M223" s="316">
        <f t="shared" si="29"/>
        <v>-1527.3624999999995</v>
      </c>
      <c r="O223" s="42">
        <f t="shared" si="30"/>
        <v>-26437.012499999993</v>
      </c>
      <c r="P223" s="273"/>
      <c r="Q223" s="228"/>
      <c r="R223" s="228"/>
      <c r="S223" s="228"/>
      <c r="T223" s="228"/>
      <c r="U223" s="228"/>
      <c r="AF223" s="11"/>
      <c r="AG223" s="11"/>
      <c r="AH223" s="11"/>
      <c r="AI223" s="11"/>
      <c r="AJ223" s="11"/>
      <c r="AK223" s="11"/>
      <c r="AL223" s="11"/>
    </row>
    <row r="224" spans="1:38" x14ac:dyDescent="0.25">
      <c r="A224" s="38">
        <f>+Données!A224</f>
        <v>5763</v>
      </c>
      <c r="B224" s="249" t="str">
        <f>+Données!B224</f>
        <v>Valeyres-sous-Rances</v>
      </c>
      <c r="C224" s="237">
        <f>+Ecrêtage!C224</f>
        <v>22662.54088235294</v>
      </c>
      <c r="D224" s="235"/>
      <c r="E224" s="237">
        <f>Données!AF224+Données!AG224+Données!AH224</f>
        <v>253675</v>
      </c>
      <c r="F224" s="235">
        <f t="shared" si="24"/>
        <v>181300.32705882352</v>
      </c>
      <c r="G224" s="8">
        <f t="shared" si="25"/>
        <v>72374.672941176483</v>
      </c>
      <c r="H224" s="316">
        <f t="shared" si="26"/>
        <v>-54281.004705882362</v>
      </c>
      <c r="J224" s="8">
        <f>Données!AN224</f>
        <v>45576</v>
      </c>
      <c r="K224" s="215">
        <f t="shared" si="27"/>
        <v>22662.54088235294</v>
      </c>
      <c r="L224" s="12">
        <f t="shared" si="28"/>
        <v>22913.45911764706</v>
      </c>
      <c r="M224" s="316">
        <f t="shared" si="29"/>
        <v>-17185.094338235296</v>
      </c>
      <c r="O224" s="42">
        <f t="shared" si="30"/>
        <v>-71466.099044117655</v>
      </c>
      <c r="P224" s="273"/>
      <c r="Q224" s="228"/>
      <c r="R224" s="228"/>
      <c r="S224" s="228"/>
      <c r="T224" s="228"/>
      <c r="U224" s="228"/>
      <c r="AF224" s="11"/>
      <c r="AG224" s="11"/>
      <c r="AH224" s="11"/>
      <c r="AI224" s="11"/>
      <c r="AJ224" s="11"/>
      <c r="AK224" s="11"/>
      <c r="AL224" s="11"/>
    </row>
    <row r="225" spans="1:38" x14ac:dyDescent="0.25">
      <c r="A225" s="38">
        <f>+Données!A225</f>
        <v>5764</v>
      </c>
      <c r="B225" s="249" t="str">
        <f>+Données!B225</f>
        <v>Vallorbe</v>
      </c>
      <c r="C225" s="237">
        <f>+Ecrêtage!C225</f>
        <v>83671.674265734255</v>
      </c>
      <c r="D225" s="235"/>
      <c r="E225" s="237">
        <f>Données!AF225+Données!AG225+Données!AH225</f>
        <v>2904843</v>
      </c>
      <c r="F225" s="235">
        <f t="shared" si="24"/>
        <v>669373.39412587404</v>
      </c>
      <c r="G225" s="8">
        <f t="shared" si="25"/>
        <v>2235469.6058741258</v>
      </c>
      <c r="H225" s="316">
        <f t="shared" si="26"/>
        <v>-1676602.2044055944</v>
      </c>
      <c r="J225" s="8">
        <f>Données!AN225</f>
        <v>728541</v>
      </c>
      <c r="K225" s="215">
        <f t="shared" si="27"/>
        <v>83671.674265734255</v>
      </c>
      <c r="L225" s="12">
        <f t="shared" si="28"/>
        <v>644869.32573426573</v>
      </c>
      <c r="M225" s="316">
        <f t="shared" si="29"/>
        <v>-483651.99430069933</v>
      </c>
      <c r="O225" s="42">
        <f t="shared" si="30"/>
        <v>-2160254.1987062935</v>
      </c>
      <c r="P225" s="273"/>
      <c r="Q225" s="228"/>
      <c r="R225" s="228"/>
      <c r="S225" s="228"/>
      <c r="T225" s="228"/>
      <c r="U225" s="228"/>
      <c r="AF225" s="11"/>
      <c r="AG225" s="11"/>
      <c r="AH225" s="11"/>
      <c r="AI225" s="11"/>
      <c r="AJ225" s="11"/>
      <c r="AK225" s="11"/>
      <c r="AL225" s="11"/>
    </row>
    <row r="226" spans="1:38" x14ac:dyDescent="0.25">
      <c r="A226" s="38">
        <f>+Données!A226</f>
        <v>5765</v>
      </c>
      <c r="B226" s="249" t="str">
        <f>+Données!B226</f>
        <v>Vaulion</v>
      </c>
      <c r="C226" s="237">
        <f>+Ecrêtage!C226</f>
        <v>10278.622098765432</v>
      </c>
      <c r="D226" s="235"/>
      <c r="E226" s="237">
        <f>Données!AF226+Données!AG226+Données!AH226</f>
        <v>258949</v>
      </c>
      <c r="F226" s="235">
        <f t="shared" si="24"/>
        <v>82228.976790123459</v>
      </c>
      <c r="G226" s="8">
        <f t="shared" si="25"/>
        <v>176720.02320987656</v>
      </c>
      <c r="H226" s="316">
        <f t="shared" si="26"/>
        <v>-132540.0174074074</v>
      </c>
      <c r="J226" s="8">
        <f>Données!AN226</f>
        <v>5276</v>
      </c>
      <c r="K226" s="215">
        <f t="shared" si="27"/>
        <v>10278.622098765432</v>
      </c>
      <c r="L226" s="12">
        <f t="shared" si="28"/>
        <v>0</v>
      </c>
      <c r="M226" s="316">
        <f t="shared" si="29"/>
        <v>0</v>
      </c>
      <c r="O226" s="42">
        <f t="shared" si="30"/>
        <v>-132540.0174074074</v>
      </c>
      <c r="P226" s="273"/>
      <c r="Q226" s="228"/>
      <c r="R226" s="228"/>
      <c r="S226" s="228"/>
      <c r="T226" s="228"/>
      <c r="U226" s="228"/>
      <c r="AF226" s="11"/>
      <c r="AG226" s="11"/>
      <c r="AH226" s="11"/>
      <c r="AI226" s="11"/>
      <c r="AJ226" s="11"/>
      <c r="AK226" s="11"/>
      <c r="AL226" s="11"/>
    </row>
    <row r="227" spans="1:38" x14ac:dyDescent="0.25">
      <c r="A227" s="38">
        <f>+Données!A227</f>
        <v>5766</v>
      </c>
      <c r="B227" s="249" t="str">
        <f>+Données!B227</f>
        <v>Vuiteboeuf</v>
      </c>
      <c r="C227" s="237">
        <f>+Ecrêtage!C227</f>
        <v>15553.757238095239</v>
      </c>
      <c r="D227" s="235"/>
      <c r="E227" s="237">
        <f>Données!AF227+Données!AG227+Données!AH227</f>
        <v>192090</v>
      </c>
      <c r="F227" s="235">
        <f t="shared" si="24"/>
        <v>124430.05790476191</v>
      </c>
      <c r="G227" s="8">
        <f t="shared" si="25"/>
        <v>67659.94209523809</v>
      </c>
      <c r="H227" s="316">
        <f t="shared" si="26"/>
        <v>-50744.956571428571</v>
      </c>
      <c r="J227" s="8">
        <f>Données!AN227</f>
        <v>28970</v>
      </c>
      <c r="K227" s="215">
        <f t="shared" si="27"/>
        <v>15553.757238095239</v>
      </c>
      <c r="L227" s="12">
        <f t="shared" si="28"/>
        <v>13416.242761904761</v>
      </c>
      <c r="M227" s="316">
        <f t="shared" si="29"/>
        <v>-10062.182071428571</v>
      </c>
      <c r="O227" s="42">
        <f t="shared" si="30"/>
        <v>-60807.138642857142</v>
      </c>
      <c r="P227" s="273"/>
      <c r="Q227" s="228"/>
      <c r="R227" s="228"/>
      <c r="S227" s="228"/>
      <c r="T227" s="228"/>
      <c r="U227" s="228"/>
      <c r="AF227" s="11"/>
      <c r="AG227" s="11"/>
      <c r="AH227" s="11"/>
      <c r="AI227" s="11"/>
      <c r="AJ227" s="11"/>
      <c r="AK227" s="11"/>
      <c r="AL227" s="11"/>
    </row>
    <row r="228" spans="1:38" x14ac:dyDescent="0.25">
      <c r="A228" s="38">
        <f>+Données!A228</f>
        <v>5785</v>
      </c>
      <c r="B228" s="249" t="str">
        <f>+Données!B228</f>
        <v>Corcelles-le-Jorat</v>
      </c>
      <c r="C228" s="237">
        <f>+Ecrêtage!C228</f>
        <v>14579.038701298701</v>
      </c>
      <c r="D228" s="235"/>
      <c r="E228" s="237">
        <f>Données!AF228+Données!AG228+Données!AH228</f>
        <v>176008</v>
      </c>
      <c r="F228" s="235">
        <f t="shared" si="24"/>
        <v>116632.30961038961</v>
      </c>
      <c r="G228" s="8">
        <f t="shared" si="25"/>
        <v>59375.69038961039</v>
      </c>
      <c r="H228" s="316">
        <f t="shared" si="26"/>
        <v>-44531.767792207793</v>
      </c>
      <c r="J228" s="8">
        <f>Données!AN228</f>
        <v>37621</v>
      </c>
      <c r="K228" s="215">
        <f t="shared" si="27"/>
        <v>14579.038701298701</v>
      </c>
      <c r="L228" s="12">
        <f t="shared" si="28"/>
        <v>23041.961298701299</v>
      </c>
      <c r="M228" s="316">
        <f t="shared" si="29"/>
        <v>-17281.470974025975</v>
      </c>
      <c r="O228" s="42">
        <f t="shared" si="30"/>
        <v>-61813.238766233771</v>
      </c>
      <c r="P228" s="273"/>
      <c r="Q228" s="228"/>
      <c r="R228" s="228"/>
      <c r="S228" s="228"/>
      <c r="T228" s="228"/>
      <c r="U228" s="228"/>
      <c r="AF228" s="11"/>
      <c r="AG228" s="11"/>
      <c r="AH228" s="11"/>
      <c r="AI228" s="11"/>
      <c r="AJ228" s="11"/>
      <c r="AK228" s="11"/>
      <c r="AL228" s="11"/>
    </row>
    <row r="229" spans="1:38" x14ac:dyDescent="0.25">
      <c r="A229" s="38">
        <f>+Données!A229</f>
        <v>5790</v>
      </c>
      <c r="B229" s="249" t="str">
        <f>+Données!B229</f>
        <v>Maracon</v>
      </c>
      <c r="C229" s="237">
        <f>+Ecrêtage!C229</f>
        <v>15171.684832214765</v>
      </c>
      <c r="D229" s="235"/>
      <c r="E229" s="237">
        <f>Données!AF229+Données!AG229+Données!AH229</f>
        <v>265867</v>
      </c>
      <c r="F229" s="235">
        <f t="shared" si="24"/>
        <v>121373.47865771812</v>
      </c>
      <c r="G229" s="8">
        <f t="shared" si="25"/>
        <v>144493.52134228189</v>
      </c>
      <c r="H229" s="316">
        <f t="shared" si="26"/>
        <v>-108370.14100671142</v>
      </c>
      <c r="J229" s="8">
        <f>Données!AN229</f>
        <v>7815</v>
      </c>
      <c r="K229" s="215">
        <f t="shared" si="27"/>
        <v>15171.684832214765</v>
      </c>
      <c r="L229" s="12">
        <f t="shared" si="28"/>
        <v>0</v>
      </c>
      <c r="M229" s="316">
        <f t="shared" si="29"/>
        <v>0</v>
      </c>
      <c r="O229" s="42">
        <f t="shared" si="30"/>
        <v>-108370.14100671142</v>
      </c>
      <c r="P229" s="273"/>
      <c r="Q229" s="228"/>
      <c r="R229" s="228"/>
      <c r="S229" s="228"/>
      <c r="T229" s="228"/>
      <c r="U229" s="228"/>
      <c r="AF229" s="11"/>
      <c r="AG229" s="11"/>
      <c r="AH229" s="11"/>
      <c r="AI229" s="11"/>
      <c r="AJ229" s="11"/>
      <c r="AK229" s="11"/>
      <c r="AL229" s="11"/>
    </row>
    <row r="230" spans="1:38" x14ac:dyDescent="0.25">
      <c r="A230" s="38">
        <f>+Données!A230</f>
        <v>5792</v>
      </c>
      <c r="B230" s="249" t="str">
        <f>+Données!B230</f>
        <v>Montpreveyres</v>
      </c>
      <c r="C230" s="237">
        <f>+Ecrêtage!C230</f>
        <v>20162.237880794706</v>
      </c>
      <c r="D230" s="235"/>
      <c r="E230" s="237">
        <f>Données!AF230+Données!AG230+Données!AH230</f>
        <v>355806</v>
      </c>
      <c r="F230" s="235">
        <f t="shared" si="24"/>
        <v>161297.90304635765</v>
      </c>
      <c r="G230" s="8">
        <f t="shared" si="25"/>
        <v>194508.09695364235</v>
      </c>
      <c r="H230" s="316">
        <f t="shared" si="26"/>
        <v>-145881.07271523177</v>
      </c>
      <c r="J230" s="8">
        <f>Données!AN230</f>
        <v>-11349</v>
      </c>
      <c r="K230" s="215">
        <f t="shared" si="27"/>
        <v>20162.237880794706</v>
      </c>
      <c r="L230" s="12">
        <f t="shared" si="28"/>
        <v>0</v>
      </c>
      <c r="M230" s="316">
        <f t="shared" si="29"/>
        <v>0</v>
      </c>
      <c r="O230" s="42">
        <f t="shared" si="30"/>
        <v>-145881.07271523177</v>
      </c>
      <c r="P230" s="273"/>
      <c r="Q230" s="228"/>
      <c r="R230" s="228"/>
      <c r="S230" s="228"/>
      <c r="T230" s="228"/>
      <c r="U230" s="228"/>
      <c r="AF230" s="11"/>
      <c r="AG230" s="11"/>
      <c r="AH230" s="11"/>
      <c r="AI230" s="11"/>
      <c r="AJ230" s="11"/>
      <c r="AK230" s="11"/>
      <c r="AL230" s="11"/>
    </row>
    <row r="231" spans="1:38" x14ac:dyDescent="0.25">
      <c r="A231" s="38">
        <f>+Données!A231</f>
        <v>5798</v>
      </c>
      <c r="B231" s="249" t="str">
        <f>+Données!B231</f>
        <v>Ropraz</v>
      </c>
      <c r="C231" s="237">
        <f>+Ecrêtage!C231</f>
        <v>17442.468645161291</v>
      </c>
      <c r="D231" s="235"/>
      <c r="E231" s="237">
        <f>Données!AF231+Données!AG231+Données!AH231</f>
        <v>208543</v>
      </c>
      <c r="F231" s="235">
        <f t="shared" si="24"/>
        <v>139539.74916129032</v>
      </c>
      <c r="G231" s="8">
        <f t="shared" si="25"/>
        <v>69003.250838709675</v>
      </c>
      <c r="H231" s="316">
        <f t="shared" si="26"/>
        <v>-51752.438129032256</v>
      </c>
      <c r="J231" s="8">
        <f>Données!AN231</f>
        <v>-4834</v>
      </c>
      <c r="K231" s="215">
        <f t="shared" si="27"/>
        <v>17442.468645161291</v>
      </c>
      <c r="L231" s="12">
        <f t="shared" si="28"/>
        <v>0</v>
      </c>
      <c r="M231" s="316">
        <f t="shared" si="29"/>
        <v>0</v>
      </c>
      <c r="O231" s="42">
        <f t="shared" si="30"/>
        <v>-51752.438129032256</v>
      </c>
      <c r="P231" s="273"/>
      <c r="Q231" s="228"/>
      <c r="R231" s="228"/>
      <c r="S231" s="228"/>
      <c r="T231" s="228"/>
      <c r="U231" s="228"/>
      <c r="AF231" s="11"/>
      <c r="AG231" s="11"/>
      <c r="AH231" s="11"/>
      <c r="AI231" s="11"/>
      <c r="AJ231" s="11"/>
      <c r="AK231" s="11"/>
      <c r="AL231" s="11"/>
    </row>
    <row r="232" spans="1:38" x14ac:dyDescent="0.25">
      <c r="A232" s="38">
        <f>+Données!A232</f>
        <v>5799</v>
      </c>
      <c r="B232" s="249" t="str">
        <f>+Données!B232</f>
        <v>Servion</v>
      </c>
      <c r="C232" s="237">
        <f>+Ecrêtage!C232</f>
        <v>71741.835797101463</v>
      </c>
      <c r="D232" s="235"/>
      <c r="E232" s="237">
        <f>Données!AF232+Données!AG232+Données!AH232</f>
        <v>1024125</v>
      </c>
      <c r="F232" s="235">
        <f t="shared" si="24"/>
        <v>573934.6863768117</v>
      </c>
      <c r="G232" s="8">
        <f t="shared" si="25"/>
        <v>450190.3136231883</v>
      </c>
      <c r="H232" s="316">
        <f t="shared" si="26"/>
        <v>-337642.73521739122</v>
      </c>
      <c r="J232" s="8">
        <f>Données!AN232</f>
        <v>55862</v>
      </c>
      <c r="K232" s="215">
        <f t="shared" si="27"/>
        <v>71741.835797101463</v>
      </c>
      <c r="L232" s="12">
        <f t="shared" si="28"/>
        <v>0</v>
      </c>
      <c r="M232" s="316">
        <f t="shared" si="29"/>
        <v>0</v>
      </c>
      <c r="O232" s="42">
        <f t="shared" si="30"/>
        <v>-337642.73521739122</v>
      </c>
      <c r="P232" s="273"/>
      <c r="Q232" s="228"/>
      <c r="R232" s="228"/>
      <c r="S232" s="228"/>
      <c r="T232" s="228"/>
      <c r="U232" s="228"/>
      <c r="AF232" s="11"/>
      <c r="AG232" s="11"/>
      <c r="AH232" s="11"/>
      <c r="AI232" s="11"/>
      <c r="AJ232" s="11"/>
      <c r="AK232" s="11"/>
      <c r="AL232" s="11"/>
    </row>
    <row r="233" spans="1:38" x14ac:dyDescent="0.25">
      <c r="A233" s="38">
        <f>+Données!A233</f>
        <v>5803</v>
      </c>
      <c r="B233" s="249" t="str">
        <f>+Données!B233</f>
        <v>Vulliens</v>
      </c>
      <c r="C233" s="237">
        <f>+Ecrêtage!C233</f>
        <v>17996.04157894737</v>
      </c>
      <c r="D233" s="235"/>
      <c r="E233" s="237">
        <f>Données!AF233+Données!AG233+Données!AH233</f>
        <v>222253</v>
      </c>
      <c r="F233" s="235">
        <f t="shared" si="24"/>
        <v>143968.33263157896</v>
      </c>
      <c r="G233" s="8">
        <f t="shared" si="25"/>
        <v>78284.66736842104</v>
      </c>
      <c r="H233" s="316">
        <f t="shared" si="26"/>
        <v>-58713.50052631578</v>
      </c>
      <c r="J233" s="8">
        <f>Données!AN233</f>
        <v>6057</v>
      </c>
      <c r="K233" s="215">
        <f t="shared" si="27"/>
        <v>17996.04157894737</v>
      </c>
      <c r="L233" s="12">
        <f t="shared" si="28"/>
        <v>0</v>
      </c>
      <c r="M233" s="316">
        <f t="shared" si="29"/>
        <v>0</v>
      </c>
      <c r="O233" s="42">
        <f t="shared" si="30"/>
        <v>-58713.50052631578</v>
      </c>
      <c r="P233" s="273"/>
      <c r="Q233" s="228"/>
      <c r="R233" s="228"/>
      <c r="S233" s="228"/>
      <c r="T233" s="228"/>
      <c r="U233" s="228"/>
      <c r="AF233" s="11"/>
      <c r="AG233" s="11"/>
      <c r="AH233" s="11"/>
      <c r="AI233" s="11"/>
      <c r="AJ233" s="11"/>
      <c r="AK233" s="11"/>
      <c r="AL233" s="11"/>
    </row>
    <row r="234" spans="1:38" x14ac:dyDescent="0.25">
      <c r="A234" s="38">
        <f>+Données!A234</f>
        <v>5804</v>
      </c>
      <c r="B234" s="249" t="str">
        <f>+Données!B234</f>
        <v>Jorat-Menthue</v>
      </c>
      <c r="C234" s="237">
        <f>+Ecrêtage!C234</f>
        <v>46853.078156028365</v>
      </c>
      <c r="D234" s="235"/>
      <c r="E234" s="237">
        <f>Données!AF234+Données!AG234+Données!AH234</f>
        <v>940772</v>
      </c>
      <c r="F234" s="235">
        <f t="shared" si="24"/>
        <v>374824.62524822692</v>
      </c>
      <c r="G234" s="8">
        <f t="shared" si="25"/>
        <v>565947.37475177308</v>
      </c>
      <c r="H234" s="316">
        <f t="shared" si="26"/>
        <v>-424460.53106382978</v>
      </c>
      <c r="J234" s="8">
        <f>Données!AN234</f>
        <v>189436</v>
      </c>
      <c r="K234" s="215">
        <f t="shared" si="27"/>
        <v>46853.078156028365</v>
      </c>
      <c r="L234" s="12">
        <f t="shared" si="28"/>
        <v>142582.92184397165</v>
      </c>
      <c r="M234" s="316">
        <f t="shared" si="29"/>
        <v>-106937.19138297874</v>
      </c>
      <c r="O234" s="42">
        <f t="shared" si="30"/>
        <v>-531397.72244680848</v>
      </c>
      <c r="P234" s="273"/>
      <c r="Q234" s="228"/>
      <c r="R234" s="228"/>
      <c r="S234" s="228"/>
      <c r="T234" s="228"/>
      <c r="U234" s="228"/>
      <c r="AF234" s="11"/>
      <c r="AG234" s="11"/>
      <c r="AH234" s="11"/>
      <c r="AI234" s="11"/>
      <c r="AJ234" s="11"/>
      <c r="AK234" s="11"/>
      <c r="AL234" s="11"/>
    </row>
    <row r="235" spans="1:38" x14ac:dyDescent="0.25">
      <c r="A235" s="38">
        <f>+Données!A235</f>
        <v>5805</v>
      </c>
      <c r="B235" s="249" t="str">
        <f>+Données!B235</f>
        <v>Oron</v>
      </c>
      <c r="C235" s="237">
        <f>+Ecrêtage!C235</f>
        <v>175444.22906111775</v>
      </c>
      <c r="D235" s="235"/>
      <c r="E235" s="237">
        <f>Données!AF235+Données!AG235+Données!AH235</f>
        <v>2702000</v>
      </c>
      <c r="F235" s="235">
        <f t="shared" si="24"/>
        <v>1403553.832488942</v>
      </c>
      <c r="G235" s="8">
        <f t="shared" si="25"/>
        <v>1298446.167511058</v>
      </c>
      <c r="H235" s="316">
        <f t="shared" si="26"/>
        <v>-973834.62563329353</v>
      </c>
      <c r="J235" s="8">
        <f>Données!AN235</f>
        <v>26137</v>
      </c>
      <c r="K235" s="215">
        <f t="shared" si="27"/>
        <v>175444.22906111775</v>
      </c>
      <c r="L235" s="12">
        <f t="shared" si="28"/>
        <v>0</v>
      </c>
      <c r="M235" s="316">
        <f t="shared" si="29"/>
        <v>0</v>
      </c>
      <c r="O235" s="42">
        <f t="shared" si="30"/>
        <v>-973834.62563329353</v>
      </c>
      <c r="P235" s="273"/>
      <c r="Q235" s="228"/>
      <c r="R235" s="228"/>
      <c r="S235" s="228"/>
      <c r="T235" s="228"/>
      <c r="U235" s="228"/>
      <c r="AF235" s="11"/>
      <c r="AG235" s="11"/>
      <c r="AH235" s="11"/>
      <c r="AI235" s="11"/>
      <c r="AJ235" s="11"/>
      <c r="AK235" s="11"/>
      <c r="AL235" s="11"/>
    </row>
    <row r="236" spans="1:38" x14ac:dyDescent="0.25">
      <c r="A236" s="38">
        <f>+Données!A236</f>
        <v>5806</v>
      </c>
      <c r="B236" s="249" t="str">
        <f>+Données!B236</f>
        <v>Jorat-Mézières</v>
      </c>
      <c r="C236" s="237">
        <f>+Ecrêtage!C236</f>
        <v>102069.34178082191</v>
      </c>
      <c r="D236" s="235"/>
      <c r="E236" s="237">
        <f>Données!AF236+Données!AG236+Données!AH236</f>
        <v>1363125</v>
      </c>
      <c r="F236" s="235">
        <f t="shared" si="24"/>
        <v>816554.73424657527</v>
      </c>
      <c r="G236" s="8">
        <f t="shared" si="25"/>
        <v>546570.26575342473</v>
      </c>
      <c r="H236" s="316">
        <f t="shared" si="26"/>
        <v>-409927.69931506854</v>
      </c>
      <c r="J236" s="8">
        <f>Données!AN236</f>
        <v>61641</v>
      </c>
      <c r="K236" s="215">
        <f t="shared" si="27"/>
        <v>102069.34178082191</v>
      </c>
      <c r="L236" s="12">
        <f t="shared" si="28"/>
        <v>0</v>
      </c>
      <c r="M236" s="316">
        <f t="shared" si="29"/>
        <v>0</v>
      </c>
      <c r="O236" s="42">
        <f t="shared" si="30"/>
        <v>-409927.69931506854</v>
      </c>
      <c r="P236" s="273"/>
      <c r="Q236" s="228"/>
      <c r="R236" s="228"/>
      <c r="S236" s="228"/>
      <c r="T236" s="228"/>
      <c r="U236" s="228"/>
      <c r="AF236" s="11"/>
      <c r="AG236" s="11"/>
      <c r="AH236" s="11"/>
      <c r="AI236" s="11"/>
      <c r="AJ236" s="11"/>
      <c r="AK236" s="11"/>
      <c r="AL236" s="11"/>
    </row>
    <row r="237" spans="1:38" x14ac:dyDescent="0.25">
      <c r="A237" s="38">
        <f>+Données!A237</f>
        <v>5812</v>
      </c>
      <c r="B237" s="249" t="str">
        <f>+Données!B237</f>
        <v>Champtauroz</v>
      </c>
      <c r="C237" s="237">
        <f>+Ecrêtage!C237</f>
        <v>3351.3333766233759</v>
      </c>
      <c r="D237" s="235"/>
      <c r="E237" s="237">
        <f>Données!AF237+Données!AG237+Données!AH237</f>
        <v>53905</v>
      </c>
      <c r="F237" s="235">
        <f t="shared" si="24"/>
        <v>26810.667012987007</v>
      </c>
      <c r="G237" s="8">
        <f t="shared" si="25"/>
        <v>27094.332987012993</v>
      </c>
      <c r="H237" s="316">
        <f t="shared" si="26"/>
        <v>-20320.749740259744</v>
      </c>
      <c r="J237" s="8">
        <f>Données!AN237</f>
        <v>1096</v>
      </c>
      <c r="K237" s="215">
        <f t="shared" si="27"/>
        <v>3351.3333766233759</v>
      </c>
      <c r="L237" s="12">
        <f t="shared" si="28"/>
        <v>0</v>
      </c>
      <c r="M237" s="316">
        <f t="shared" si="29"/>
        <v>0</v>
      </c>
      <c r="O237" s="42">
        <f t="shared" si="30"/>
        <v>-20320.749740259744</v>
      </c>
      <c r="P237" s="273"/>
      <c r="Q237" s="228"/>
      <c r="R237" s="228"/>
      <c r="S237" s="228"/>
      <c r="T237" s="228"/>
      <c r="U237" s="228"/>
      <c r="AF237" s="11"/>
      <c r="AG237" s="11"/>
      <c r="AH237" s="11"/>
      <c r="AI237" s="11"/>
      <c r="AJ237" s="11"/>
      <c r="AK237" s="11"/>
      <c r="AL237" s="11"/>
    </row>
    <row r="238" spans="1:38" x14ac:dyDescent="0.25">
      <c r="A238" s="38">
        <f>+Données!A238</f>
        <v>5813</v>
      </c>
      <c r="B238" s="249" t="str">
        <f>+Données!B238</f>
        <v>Chevroux</v>
      </c>
      <c r="C238" s="237">
        <f>+Ecrêtage!C238</f>
        <v>15275.291313868614</v>
      </c>
      <c r="D238" s="235"/>
      <c r="E238" s="237">
        <f>Données!AF238+Données!AG238+Données!AH238</f>
        <v>581457</v>
      </c>
      <c r="F238" s="235">
        <f t="shared" si="24"/>
        <v>122202.33051094892</v>
      </c>
      <c r="G238" s="8">
        <f t="shared" si="25"/>
        <v>459254.6694890511</v>
      </c>
      <c r="H238" s="316">
        <f t="shared" si="26"/>
        <v>-344441.0021167883</v>
      </c>
      <c r="J238" s="8">
        <f>Données!AN238</f>
        <v>6159</v>
      </c>
      <c r="K238" s="215">
        <f t="shared" si="27"/>
        <v>15275.291313868614</v>
      </c>
      <c r="L238" s="12">
        <f t="shared" si="28"/>
        <v>0</v>
      </c>
      <c r="M238" s="316">
        <f t="shared" si="29"/>
        <v>0</v>
      </c>
      <c r="O238" s="42">
        <f t="shared" si="30"/>
        <v>-344441.0021167883</v>
      </c>
      <c r="P238" s="273"/>
      <c r="Q238" s="228"/>
      <c r="R238" s="228"/>
      <c r="S238" s="228"/>
      <c r="T238" s="228"/>
      <c r="U238" s="228"/>
      <c r="AF238" s="11"/>
      <c r="AG238" s="11"/>
      <c r="AH238" s="11"/>
      <c r="AI238" s="11"/>
      <c r="AJ238" s="11"/>
      <c r="AK238" s="11"/>
      <c r="AL238" s="11"/>
    </row>
    <row r="239" spans="1:38" x14ac:dyDescent="0.25">
      <c r="A239" s="38">
        <f>+Données!A239</f>
        <v>5816</v>
      </c>
      <c r="B239" s="249" t="str">
        <f>+Données!B239</f>
        <v>Corcelles-près-Payerne</v>
      </c>
      <c r="C239" s="237">
        <f>+Ecrêtage!C239</f>
        <v>65640.914577685078</v>
      </c>
      <c r="D239" s="235"/>
      <c r="E239" s="237">
        <f>Données!AF239+Données!AG239+Données!AH239</f>
        <v>1027936</v>
      </c>
      <c r="F239" s="235">
        <f t="shared" si="24"/>
        <v>525127.31662148063</v>
      </c>
      <c r="G239" s="8">
        <f t="shared" si="25"/>
        <v>502808.68337851937</v>
      </c>
      <c r="H239" s="316">
        <f t="shared" si="26"/>
        <v>-377106.5125338895</v>
      </c>
      <c r="J239" s="8">
        <f>Données!AN239</f>
        <v>8787</v>
      </c>
      <c r="K239" s="215">
        <f t="shared" si="27"/>
        <v>65640.914577685078</v>
      </c>
      <c r="L239" s="12">
        <f t="shared" si="28"/>
        <v>0</v>
      </c>
      <c r="M239" s="316">
        <f t="shared" si="29"/>
        <v>0</v>
      </c>
      <c r="O239" s="42">
        <f t="shared" si="30"/>
        <v>-377106.5125338895</v>
      </c>
      <c r="P239" s="273"/>
      <c r="Q239" s="228"/>
      <c r="R239" s="228"/>
      <c r="S239" s="228"/>
      <c r="T239" s="228"/>
      <c r="U239" s="228"/>
      <c r="AF239" s="11"/>
      <c r="AG239" s="11"/>
      <c r="AH239" s="11"/>
      <c r="AI239" s="11"/>
      <c r="AJ239" s="11"/>
      <c r="AK239" s="11"/>
      <c r="AL239" s="11"/>
    </row>
    <row r="240" spans="1:38" x14ac:dyDescent="0.25">
      <c r="A240" s="38">
        <f>+Données!A240</f>
        <v>5817</v>
      </c>
      <c r="B240" s="249" t="str">
        <f>+Données!B240</f>
        <v>Grandcour</v>
      </c>
      <c r="C240" s="237">
        <f>+Ecrêtage!C240</f>
        <v>24621.518775510202</v>
      </c>
      <c r="D240" s="235"/>
      <c r="E240" s="237">
        <f>Données!AF240+Données!AG240+Données!AH240</f>
        <v>371104</v>
      </c>
      <c r="F240" s="235">
        <f t="shared" si="24"/>
        <v>196972.15020408161</v>
      </c>
      <c r="G240" s="8">
        <f t="shared" si="25"/>
        <v>174131.84979591839</v>
      </c>
      <c r="H240" s="316">
        <f t="shared" si="26"/>
        <v>-130598.88734693879</v>
      </c>
      <c r="J240" s="8">
        <f>Données!AN240</f>
        <v>61296</v>
      </c>
      <c r="K240" s="215">
        <f t="shared" si="27"/>
        <v>24621.518775510202</v>
      </c>
      <c r="L240" s="12">
        <f t="shared" si="28"/>
        <v>36674.481224489798</v>
      </c>
      <c r="M240" s="316">
        <f t="shared" si="29"/>
        <v>-27505.860918367347</v>
      </c>
      <c r="O240" s="42">
        <f t="shared" si="30"/>
        <v>-158104.74826530615</v>
      </c>
      <c r="P240" s="273"/>
      <c r="Q240" s="228"/>
      <c r="R240" s="228"/>
      <c r="S240" s="228"/>
      <c r="T240" s="228"/>
      <c r="U240" s="228"/>
      <c r="AF240" s="11"/>
      <c r="AG240" s="11"/>
      <c r="AH240" s="11"/>
      <c r="AI240" s="11"/>
      <c r="AJ240" s="11"/>
      <c r="AK240" s="11"/>
      <c r="AL240" s="11"/>
    </row>
    <row r="241" spans="1:38" x14ac:dyDescent="0.25">
      <c r="A241" s="38">
        <f>+Données!A241</f>
        <v>5819</v>
      </c>
      <c r="B241" s="249" t="str">
        <f>+Données!B241</f>
        <v>Henniez</v>
      </c>
      <c r="C241" s="237">
        <f>+Ecrêtage!C241</f>
        <v>10100.670434782607</v>
      </c>
      <c r="D241" s="235"/>
      <c r="E241" s="237">
        <f>Données!AF241+Données!AG241+Données!AH241</f>
        <v>257552</v>
      </c>
      <c r="F241" s="235">
        <f t="shared" si="24"/>
        <v>80805.363478260857</v>
      </c>
      <c r="G241" s="8">
        <f t="shared" si="25"/>
        <v>176746.63652173913</v>
      </c>
      <c r="H241" s="316">
        <f t="shared" si="26"/>
        <v>-132559.97739130433</v>
      </c>
      <c r="J241" s="8">
        <f>Données!AN241</f>
        <v>0</v>
      </c>
      <c r="K241" s="215">
        <f t="shared" si="27"/>
        <v>10100.670434782607</v>
      </c>
      <c r="L241" s="12">
        <f t="shared" si="28"/>
        <v>0</v>
      </c>
      <c r="M241" s="316">
        <f t="shared" si="29"/>
        <v>0</v>
      </c>
      <c r="O241" s="42">
        <f t="shared" si="30"/>
        <v>-132559.97739130433</v>
      </c>
      <c r="P241" s="273"/>
      <c r="Q241" s="228"/>
      <c r="R241" s="228"/>
      <c r="S241" s="228"/>
      <c r="T241" s="228"/>
      <c r="U241" s="228"/>
      <c r="AF241" s="11"/>
      <c r="AG241" s="11"/>
      <c r="AH241" s="11"/>
      <c r="AI241" s="11"/>
      <c r="AJ241" s="11"/>
      <c r="AK241" s="11"/>
      <c r="AL241" s="11"/>
    </row>
    <row r="242" spans="1:38" x14ac:dyDescent="0.25">
      <c r="A242" s="38">
        <f>+Données!A242</f>
        <v>5821</v>
      </c>
      <c r="B242" s="249" t="str">
        <f>+Données!B242</f>
        <v>Missy</v>
      </c>
      <c r="C242" s="237">
        <f>+Ecrêtage!C242</f>
        <v>8044.3988888888889</v>
      </c>
      <c r="D242" s="235"/>
      <c r="E242" s="237">
        <f>Données!AF242+Données!AG242+Données!AH242</f>
        <v>100409</v>
      </c>
      <c r="F242" s="235">
        <f t="shared" si="24"/>
        <v>64355.191111111111</v>
      </c>
      <c r="G242" s="8">
        <f t="shared" si="25"/>
        <v>36053.808888888889</v>
      </c>
      <c r="H242" s="316">
        <f t="shared" si="26"/>
        <v>-27040.356666666667</v>
      </c>
      <c r="J242" s="8">
        <f>Données!AN242</f>
        <v>0</v>
      </c>
      <c r="K242" s="215">
        <f t="shared" si="27"/>
        <v>8044.3988888888889</v>
      </c>
      <c r="L242" s="12">
        <f t="shared" si="28"/>
        <v>0</v>
      </c>
      <c r="M242" s="316">
        <f t="shared" si="29"/>
        <v>0</v>
      </c>
      <c r="O242" s="42">
        <f t="shared" si="30"/>
        <v>-27040.356666666667</v>
      </c>
      <c r="P242" s="273"/>
      <c r="Q242" s="228"/>
      <c r="R242" s="228"/>
      <c r="S242" s="228"/>
      <c r="T242" s="228"/>
      <c r="U242" s="228"/>
      <c r="AF242" s="11"/>
      <c r="AG242" s="11"/>
      <c r="AH242" s="11"/>
      <c r="AI242" s="11"/>
      <c r="AJ242" s="11"/>
      <c r="AK242" s="11"/>
      <c r="AL242" s="11"/>
    </row>
    <row r="243" spans="1:38" x14ac:dyDescent="0.25">
      <c r="A243" s="38">
        <f>+Données!A243</f>
        <v>5822</v>
      </c>
      <c r="B243" s="249" t="str">
        <f>+Données!B243</f>
        <v>Payerne</v>
      </c>
      <c r="C243" s="237">
        <f>+Ecrêtage!C243</f>
        <v>239936.5750684932</v>
      </c>
      <c r="D243" s="235"/>
      <c r="E243" s="237">
        <f>Données!AF243+Données!AG243+Données!AH243</f>
        <v>4080549</v>
      </c>
      <c r="F243" s="235">
        <f t="shared" si="24"/>
        <v>1919492.6005479456</v>
      </c>
      <c r="G243" s="8">
        <f t="shared" si="25"/>
        <v>2161056.3994520544</v>
      </c>
      <c r="H243" s="316">
        <f t="shared" si="26"/>
        <v>-1620792.2995890407</v>
      </c>
      <c r="J243" s="8">
        <f>Données!AN243</f>
        <v>128143</v>
      </c>
      <c r="K243" s="215">
        <f t="shared" si="27"/>
        <v>239936.5750684932</v>
      </c>
      <c r="L243" s="12">
        <f t="shared" si="28"/>
        <v>0</v>
      </c>
      <c r="M243" s="316">
        <f t="shared" si="29"/>
        <v>0</v>
      </c>
      <c r="O243" s="42">
        <f t="shared" si="30"/>
        <v>-1620792.2995890407</v>
      </c>
      <c r="P243" s="273"/>
      <c r="Q243" s="228"/>
      <c r="R243" s="228"/>
      <c r="S243" s="228"/>
      <c r="T243" s="228"/>
      <c r="U243" s="228"/>
      <c r="AF243" s="11"/>
      <c r="AG243" s="11"/>
      <c r="AH243" s="11"/>
      <c r="AI243" s="11"/>
      <c r="AJ243" s="11"/>
      <c r="AK243" s="11"/>
      <c r="AL243" s="11"/>
    </row>
    <row r="244" spans="1:38" x14ac:dyDescent="0.25">
      <c r="A244" s="38">
        <f>+Données!A244</f>
        <v>5827</v>
      </c>
      <c r="B244" s="249" t="str">
        <f>+Données!B244</f>
        <v>Trey</v>
      </c>
      <c r="C244" s="237">
        <f>+Ecrêtage!C244</f>
        <v>7747.1149999999998</v>
      </c>
      <c r="D244" s="235"/>
      <c r="E244" s="237">
        <f>Données!AF244+Données!AG244+Données!AH244</f>
        <v>107411</v>
      </c>
      <c r="F244" s="235">
        <f t="shared" si="24"/>
        <v>61976.92</v>
      </c>
      <c r="G244" s="8">
        <f t="shared" si="25"/>
        <v>45434.080000000002</v>
      </c>
      <c r="H244" s="316">
        <f t="shared" si="26"/>
        <v>-34075.56</v>
      </c>
      <c r="J244" s="8">
        <f>Données!AN244</f>
        <v>7205</v>
      </c>
      <c r="K244" s="215">
        <f t="shared" si="27"/>
        <v>7747.1149999999998</v>
      </c>
      <c r="L244" s="12">
        <f t="shared" si="28"/>
        <v>0</v>
      </c>
      <c r="M244" s="316">
        <f t="shared" si="29"/>
        <v>0</v>
      </c>
      <c r="O244" s="42">
        <f t="shared" si="30"/>
        <v>-34075.56</v>
      </c>
      <c r="P244" s="273"/>
      <c r="Q244" s="228"/>
      <c r="R244" s="228"/>
      <c r="S244" s="228"/>
      <c r="T244" s="228"/>
      <c r="U244" s="228"/>
      <c r="AF244" s="11"/>
      <c r="AG244" s="11"/>
      <c r="AH244" s="11"/>
      <c r="AI244" s="11"/>
      <c r="AJ244" s="11"/>
      <c r="AK244" s="11"/>
      <c r="AL244" s="11"/>
    </row>
    <row r="245" spans="1:38" x14ac:dyDescent="0.25">
      <c r="A245" s="38">
        <f>+Données!A245</f>
        <v>5828</v>
      </c>
      <c r="B245" s="249" t="str">
        <f>+Données!B245</f>
        <v>Treytorrens (Payerne)</v>
      </c>
      <c r="C245" s="237">
        <f>+Ecrêtage!C245</f>
        <v>2899.2098989898991</v>
      </c>
      <c r="D245" s="235"/>
      <c r="E245" s="237">
        <f>Données!AF245+Données!AG245+Données!AH245</f>
        <v>53285</v>
      </c>
      <c r="F245" s="235">
        <f t="shared" si="24"/>
        <v>23193.679191919193</v>
      </c>
      <c r="G245" s="8">
        <f t="shared" si="25"/>
        <v>30091.320808080807</v>
      </c>
      <c r="H245" s="316">
        <f t="shared" si="26"/>
        <v>-22568.490606060604</v>
      </c>
      <c r="J245" s="8">
        <f>Données!AN245</f>
        <v>2704</v>
      </c>
      <c r="K245" s="215">
        <f t="shared" si="27"/>
        <v>2899.2098989898991</v>
      </c>
      <c r="L245" s="12">
        <f t="shared" si="28"/>
        <v>0</v>
      </c>
      <c r="M245" s="316">
        <f t="shared" si="29"/>
        <v>0</v>
      </c>
      <c r="O245" s="42">
        <f t="shared" si="30"/>
        <v>-22568.490606060604</v>
      </c>
      <c r="P245" s="273"/>
      <c r="Q245" s="228"/>
      <c r="R245" s="228"/>
      <c r="S245" s="228"/>
      <c r="T245" s="228"/>
      <c r="U245" s="228"/>
      <c r="AF245" s="11"/>
      <c r="AG245" s="11"/>
      <c r="AH245" s="11"/>
      <c r="AI245" s="11"/>
      <c r="AJ245" s="11"/>
      <c r="AK245" s="11"/>
      <c r="AL245" s="11"/>
    </row>
    <row r="246" spans="1:38" x14ac:dyDescent="0.25">
      <c r="A246" s="38">
        <f>+Données!A246</f>
        <v>5830</v>
      </c>
      <c r="B246" s="249" t="str">
        <f>+Données!B246</f>
        <v>Villarzel</v>
      </c>
      <c r="C246" s="237">
        <f>+Ecrêtage!C246</f>
        <v>12409.471600000001</v>
      </c>
      <c r="D246" s="235"/>
      <c r="E246" s="237">
        <f>Données!AF246+Données!AG246+Données!AH246</f>
        <v>256438</v>
      </c>
      <c r="F246" s="235">
        <f t="shared" si="24"/>
        <v>99275.772800000006</v>
      </c>
      <c r="G246" s="8">
        <f t="shared" si="25"/>
        <v>157162.22719999999</v>
      </c>
      <c r="H246" s="316">
        <f t="shared" si="26"/>
        <v>-117871.6704</v>
      </c>
      <c r="J246" s="8">
        <f>Données!AN246</f>
        <v>29852</v>
      </c>
      <c r="K246" s="215">
        <f t="shared" si="27"/>
        <v>12409.471600000001</v>
      </c>
      <c r="L246" s="12">
        <f t="shared" si="28"/>
        <v>17442.528399999999</v>
      </c>
      <c r="M246" s="316">
        <f t="shared" si="29"/>
        <v>-13081.8963</v>
      </c>
      <c r="O246" s="42">
        <f t="shared" si="30"/>
        <v>-130953.5667</v>
      </c>
      <c r="P246" s="273"/>
      <c r="Q246" s="228"/>
      <c r="R246" s="228"/>
      <c r="S246" s="228"/>
      <c r="T246" s="228"/>
      <c r="U246" s="228"/>
      <c r="AF246" s="11"/>
      <c r="AG246" s="11"/>
      <c r="AH246" s="11"/>
      <c r="AI246" s="11"/>
      <c r="AJ246" s="11"/>
      <c r="AK246" s="11"/>
      <c r="AL246" s="11"/>
    </row>
    <row r="247" spans="1:38" x14ac:dyDescent="0.25">
      <c r="A247" s="38">
        <f>+Données!A247</f>
        <v>5831</v>
      </c>
      <c r="B247" s="249" t="str">
        <f>+Données!B247</f>
        <v>Valbroye</v>
      </c>
      <c r="C247" s="237">
        <f>+Ecrêtage!C247</f>
        <v>81061.421607565018</v>
      </c>
      <c r="D247" s="235"/>
      <c r="E247" s="237">
        <f>Données!AF247+Données!AG247+Données!AH247</f>
        <v>1944425</v>
      </c>
      <c r="F247" s="235">
        <f t="shared" si="24"/>
        <v>648491.37286052015</v>
      </c>
      <c r="G247" s="8">
        <f t="shared" si="25"/>
        <v>1295933.6271394799</v>
      </c>
      <c r="H247" s="316">
        <f t="shared" si="26"/>
        <v>-971950.22035460989</v>
      </c>
      <c r="J247" s="8">
        <f>Données!AN247</f>
        <v>34150</v>
      </c>
      <c r="K247" s="215">
        <f t="shared" si="27"/>
        <v>81061.421607565018</v>
      </c>
      <c r="L247" s="12">
        <f t="shared" si="28"/>
        <v>0</v>
      </c>
      <c r="M247" s="316">
        <f t="shared" si="29"/>
        <v>0</v>
      </c>
      <c r="O247" s="42">
        <f t="shared" si="30"/>
        <v>-971950.22035460989</v>
      </c>
      <c r="P247" s="273"/>
      <c r="Q247" s="228"/>
      <c r="R247" s="228"/>
      <c r="S247" s="228"/>
      <c r="T247" s="228"/>
      <c r="U247" s="228"/>
      <c r="AF247" s="11"/>
      <c r="AG247" s="11"/>
      <c r="AH247" s="11"/>
      <c r="AI247" s="11"/>
      <c r="AJ247" s="11"/>
      <c r="AK247" s="11"/>
      <c r="AL247" s="11"/>
    </row>
    <row r="248" spans="1:38" x14ac:dyDescent="0.25">
      <c r="A248" s="38">
        <f>+Données!A248</f>
        <v>5841</v>
      </c>
      <c r="B248" s="249" t="str">
        <f>+Données!B248</f>
        <v>Château-d'Oex</v>
      </c>
      <c r="C248" s="237">
        <f>+Ecrêtage!C248</f>
        <v>110850.82306748466</v>
      </c>
      <c r="D248" s="235"/>
      <c r="E248" s="237">
        <f>Données!AF248+Données!AG248+Données!AH248</f>
        <v>4092156</v>
      </c>
      <c r="F248" s="235">
        <f t="shared" si="24"/>
        <v>886806.58453987725</v>
      </c>
      <c r="G248" s="8">
        <f t="shared" si="25"/>
        <v>3205349.4154601227</v>
      </c>
      <c r="H248" s="316">
        <f t="shared" si="26"/>
        <v>-2404012.0615950921</v>
      </c>
      <c r="J248" s="8">
        <f>Données!AN248</f>
        <v>55252</v>
      </c>
      <c r="K248" s="215">
        <f t="shared" si="27"/>
        <v>110850.82306748466</v>
      </c>
      <c r="L248" s="12">
        <f t="shared" si="28"/>
        <v>0</v>
      </c>
      <c r="M248" s="316">
        <f t="shared" si="29"/>
        <v>0</v>
      </c>
      <c r="O248" s="42">
        <f t="shared" si="30"/>
        <v>-2404012.0615950921</v>
      </c>
      <c r="P248" s="273"/>
      <c r="Q248" s="228"/>
      <c r="R248" s="228"/>
      <c r="S248" s="228"/>
      <c r="T248" s="228"/>
      <c r="U248" s="228"/>
      <c r="AF248" s="11"/>
      <c r="AG248" s="11"/>
      <c r="AH248" s="11"/>
      <c r="AI248" s="11"/>
      <c r="AJ248" s="11"/>
      <c r="AK248" s="11"/>
      <c r="AL248" s="11"/>
    </row>
    <row r="249" spans="1:38" x14ac:dyDescent="0.25">
      <c r="A249" s="38">
        <f>+Données!A249</f>
        <v>5842</v>
      </c>
      <c r="B249" s="249" t="str">
        <f>+Données!B249</f>
        <v>Rossinière</v>
      </c>
      <c r="C249" s="237">
        <f>+Ecrêtage!C249</f>
        <v>14941.466090534977</v>
      </c>
      <c r="D249" s="235"/>
      <c r="E249" s="237">
        <f>Données!AF249+Données!AG249+Données!AH249</f>
        <v>558146</v>
      </c>
      <c r="F249" s="235">
        <f t="shared" si="24"/>
        <v>119531.72872427982</v>
      </c>
      <c r="G249" s="8">
        <f t="shared" si="25"/>
        <v>438614.27127572021</v>
      </c>
      <c r="H249" s="316">
        <f t="shared" si="26"/>
        <v>-328960.70345679019</v>
      </c>
      <c r="J249" s="8">
        <f>Données!AN249</f>
        <v>24905</v>
      </c>
      <c r="K249" s="215">
        <f t="shared" si="27"/>
        <v>14941.466090534977</v>
      </c>
      <c r="L249" s="12">
        <f t="shared" si="28"/>
        <v>9963.5339094650226</v>
      </c>
      <c r="M249" s="316">
        <f t="shared" si="29"/>
        <v>-7472.6504320987669</v>
      </c>
      <c r="O249" s="42">
        <f t="shared" si="30"/>
        <v>-336433.35388888896</v>
      </c>
      <c r="P249" s="273"/>
      <c r="Q249" s="228"/>
      <c r="R249" s="228"/>
      <c r="S249" s="228"/>
      <c r="T249" s="228"/>
      <c r="U249" s="228"/>
      <c r="AF249" s="11"/>
      <c r="AG249" s="11"/>
      <c r="AH249" s="11"/>
      <c r="AI249" s="11"/>
      <c r="AJ249" s="11"/>
      <c r="AK249" s="11"/>
      <c r="AL249" s="11"/>
    </row>
    <row r="250" spans="1:38" x14ac:dyDescent="0.25">
      <c r="A250" s="38">
        <f>+Données!A250</f>
        <v>5843</v>
      </c>
      <c r="B250" s="249" t="str">
        <f>+Données!B250</f>
        <v>Rougemont</v>
      </c>
      <c r="C250" s="237">
        <f>+Ecrêtage!C250</f>
        <v>97082.778783783782</v>
      </c>
      <c r="D250" s="235"/>
      <c r="E250" s="237">
        <f>Données!AF250+Données!AG250+Données!AH250</f>
        <v>549759</v>
      </c>
      <c r="F250" s="235">
        <f t="shared" si="24"/>
        <v>776662.23027027026</v>
      </c>
      <c r="G250" s="8">
        <f t="shared" si="25"/>
        <v>0</v>
      </c>
      <c r="H250" s="316">
        <f t="shared" si="26"/>
        <v>0</v>
      </c>
      <c r="J250" s="8">
        <f>Données!AN250</f>
        <v>27452</v>
      </c>
      <c r="K250" s="215">
        <f t="shared" si="27"/>
        <v>97082.778783783782</v>
      </c>
      <c r="L250" s="12">
        <f t="shared" si="28"/>
        <v>0</v>
      </c>
      <c r="M250" s="316">
        <f t="shared" si="29"/>
        <v>0</v>
      </c>
      <c r="O250" s="42">
        <f t="shared" si="30"/>
        <v>0</v>
      </c>
      <c r="P250" s="273"/>
      <c r="Q250" s="228"/>
      <c r="R250" s="228"/>
      <c r="S250" s="228"/>
      <c r="T250" s="228"/>
      <c r="U250" s="228"/>
      <c r="AF250" s="11"/>
      <c r="AG250" s="11"/>
      <c r="AH250" s="11"/>
      <c r="AI250" s="11"/>
      <c r="AJ250" s="11"/>
      <c r="AK250" s="11"/>
      <c r="AL250" s="11"/>
    </row>
    <row r="251" spans="1:38" x14ac:dyDescent="0.25">
      <c r="A251" s="38">
        <f>+Données!A251</f>
        <v>5851</v>
      </c>
      <c r="B251" s="249" t="str">
        <f>+Données!B251</f>
        <v>Allaman</v>
      </c>
      <c r="C251" s="237">
        <f>+Ecrêtage!C251</f>
        <v>24871.551151515156</v>
      </c>
      <c r="D251" s="235"/>
      <c r="E251" s="237">
        <f>Données!AF251+Données!AG251+Données!AH251</f>
        <v>222305</v>
      </c>
      <c r="F251" s="235">
        <f t="shared" si="24"/>
        <v>198972.40921212125</v>
      </c>
      <c r="G251" s="8">
        <f t="shared" si="25"/>
        <v>23332.590787878755</v>
      </c>
      <c r="H251" s="316">
        <f t="shared" si="26"/>
        <v>-17499.443090909066</v>
      </c>
      <c r="J251" s="8">
        <f>Données!AN251</f>
        <v>6434</v>
      </c>
      <c r="K251" s="215">
        <f t="shared" si="27"/>
        <v>24871.551151515156</v>
      </c>
      <c r="L251" s="12">
        <f t="shared" si="28"/>
        <v>0</v>
      </c>
      <c r="M251" s="316">
        <f t="shared" si="29"/>
        <v>0</v>
      </c>
      <c r="O251" s="42">
        <f t="shared" si="30"/>
        <v>-17499.443090909066</v>
      </c>
      <c r="P251" s="273"/>
      <c r="Q251" s="228"/>
      <c r="R251" s="228"/>
      <c r="S251" s="228"/>
      <c r="T251" s="228"/>
      <c r="U251" s="228"/>
      <c r="AF251" s="11"/>
      <c r="AG251" s="11"/>
      <c r="AH251" s="11"/>
      <c r="AI251" s="11"/>
      <c r="AJ251" s="11"/>
      <c r="AK251" s="11"/>
      <c r="AL251" s="11"/>
    </row>
    <row r="252" spans="1:38" x14ac:dyDescent="0.25">
      <c r="A252" s="38">
        <f>+Données!A252</f>
        <v>5852</v>
      </c>
      <c r="B252" s="249" t="str">
        <f>+Données!B252</f>
        <v>Bursinel</v>
      </c>
      <c r="C252" s="237">
        <f>+Ecrêtage!C252</f>
        <v>34636.180913978496</v>
      </c>
      <c r="D252" s="235"/>
      <c r="E252" s="237">
        <f>Données!AF252+Données!AG252+Données!AH252</f>
        <v>0</v>
      </c>
      <c r="F252" s="235">
        <f t="shared" si="24"/>
        <v>277089.44731182797</v>
      </c>
      <c r="G252" s="8">
        <f t="shared" si="25"/>
        <v>0</v>
      </c>
      <c r="H252" s="316">
        <f t="shared" si="26"/>
        <v>0</v>
      </c>
      <c r="J252" s="8">
        <f>Données!AN252</f>
        <v>0</v>
      </c>
      <c r="K252" s="215">
        <f t="shared" si="27"/>
        <v>34636.180913978496</v>
      </c>
      <c r="L252" s="12">
        <f t="shared" si="28"/>
        <v>0</v>
      </c>
      <c r="M252" s="316">
        <f t="shared" si="29"/>
        <v>0</v>
      </c>
      <c r="O252" s="42">
        <f t="shared" si="30"/>
        <v>0</v>
      </c>
      <c r="P252" s="273"/>
      <c r="Q252" s="228"/>
      <c r="R252" s="228"/>
      <c r="S252" s="228"/>
      <c r="T252" s="228"/>
      <c r="U252" s="228"/>
      <c r="AF252" s="11"/>
      <c r="AG252" s="11"/>
      <c r="AH252" s="11"/>
      <c r="AI252" s="11"/>
      <c r="AJ252" s="11"/>
      <c r="AK252" s="11"/>
      <c r="AL252" s="11"/>
    </row>
    <row r="253" spans="1:38" x14ac:dyDescent="0.25">
      <c r="A253" s="38">
        <f>+Données!A253</f>
        <v>5853</v>
      </c>
      <c r="B253" s="249" t="str">
        <f>+Données!B253</f>
        <v>Bursins</v>
      </c>
      <c r="C253" s="237">
        <f>+Ecrêtage!C253</f>
        <v>44484.29464788732</v>
      </c>
      <c r="D253" s="235"/>
      <c r="E253" s="237">
        <f>Données!AF253+Données!AG253+Données!AH253</f>
        <v>215309</v>
      </c>
      <c r="F253" s="235">
        <f t="shared" si="24"/>
        <v>355874.35718309856</v>
      </c>
      <c r="G253" s="8">
        <f t="shared" si="25"/>
        <v>0</v>
      </c>
      <c r="H253" s="316">
        <f t="shared" si="26"/>
        <v>0</v>
      </c>
      <c r="J253" s="8">
        <f>Données!AN253</f>
        <v>54009</v>
      </c>
      <c r="K253" s="215">
        <f t="shared" si="27"/>
        <v>44484.29464788732</v>
      </c>
      <c r="L253" s="12">
        <f t="shared" si="28"/>
        <v>9524.70535211268</v>
      </c>
      <c r="M253" s="316">
        <f t="shared" si="29"/>
        <v>-7143.52901408451</v>
      </c>
      <c r="O253" s="42">
        <f t="shared" si="30"/>
        <v>-7143.52901408451</v>
      </c>
      <c r="P253" s="273"/>
      <c r="Q253" s="228"/>
      <c r="R253" s="228"/>
      <c r="S253" s="228"/>
      <c r="T253" s="228"/>
      <c r="U253" s="228"/>
      <c r="AF253" s="11"/>
      <c r="AG253" s="11"/>
      <c r="AH253" s="11"/>
      <c r="AI253" s="11"/>
      <c r="AJ253" s="11"/>
      <c r="AK253" s="11"/>
      <c r="AL253" s="11"/>
    </row>
    <row r="254" spans="1:38" x14ac:dyDescent="0.25">
      <c r="A254" s="38">
        <f>+Données!A254</f>
        <v>5854</v>
      </c>
      <c r="B254" s="249" t="str">
        <f>+Données!B254</f>
        <v>Burtigny</v>
      </c>
      <c r="C254" s="237">
        <f>+Ecrêtage!C254</f>
        <v>15255.605208333331</v>
      </c>
      <c r="D254" s="235"/>
      <c r="E254" s="237">
        <f>Données!AF254+Données!AG254+Données!AH254</f>
        <v>207095</v>
      </c>
      <c r="F254" s="235">
        <f t="shared" si="24"/>
        <v>122044.84166666665</v>
      </c>
      <c r="G254" s="8">
        <f t="shared" si="25"/>
        <v>85050.158333333355</v>
      </c>
      <c r="H254" s="316">
        <f t="shared" si="26"/>
        <v>-63787.618750000016</v>
      </c>
      <c r="J254" s="8">
        <f>Données!AN254</f>
        <v>37430</v>
      </c>
      <c r="K254" s="215">
        <f t="shared" si="27"/>
        <v>15255.605208333331</v>
      </c>
      <c r="L254" s="12">
        <f t="shared" si="28"/>
        <v>22174.394791666669</v>
      </c>
      <c r="M254" s="316">
        <f t="shared" si="29"/>
        <v>-16630.796093750003</v>
      </c>
      <c r="O254" s="42">
        <f t="shared" si="30"/>
        <v>-80418.414843750012</v>
      </c>
      <c r="P254" s="273"/>
      <c r="Q254" s="228"/>
      <c r="R254" s="228"/>
      <c r="S254" s="228"/>
      <c r="T254" s="228"/>
      <c r="U254" s="228"/>
      <c r="AF254" s="11"/>
      <c r="AG254" s="11"/>
      <c r="AH254" s="11"/>
      <c r="AI254" s="11"/>
      <c r="AJ254" s="11"/>
      <c r="AK254" s="11"/>
      <c r="AL254" s="11"/>
    </row>
    <row r="255" spans="1:38" x14ac:dyDescent="0.25">
      <c r="A255" s="38">
        <f>+Données!A255</f>
        <v>5855</v>
      </c>
      <c r="B255" s="249" t="str">
        <f>+Données!B255</f>
        <v>Dully</v>
      </c>
      <c r="C255" s="237">
        <f>+Ecrêtage!C255</f>
        <v>93677.895510204093</v>
      </c>
      <c r="D255" s="235"/>
      <c r="E255" s="237">
        <f>Données!AF255+Données!AG255+Données!AH255</f>
        <v>0</v>
      </c>
      <c r="F255" s="235">
        <f t="shared" si="24"/>
        <v>749423.16408163274</v>
      </c>
      <c r="G255" s="8">
        <f t="shared" si="25"/>
        <v>0</v>
      </c>
      <c r="H255" s="316">
        <f t="shared" si="26"/>
        <v>0</v>
      </c>
      <c r="J255" s="8">
        <f>Données!AN255</f>
        <v>0</v>
      </c>
      <c r="K255" s="215">
        <f t="shared" si="27"/>
        <v>93677.895510204093</v>
      </c>
      <c r="L255" s="12">
        <f t="shared" si="28"/>
        <v>0</v>
      </c>
      <c r="M255" s="316">
        <f t="shared" si="29"/>
        <v>0</v>
      </c>
      <c r="O255" s="42">
        <f t="shared" si="30"/>
        <v>0</v>
      </c>
      <c r="P255" s="273"/>
      <c r="Q255" s="228"/>
      <c r="R255" s="228"/>
      <c r="S255" s="228"/>
      <c r="T255" s="228"/>
      <c r="U255" s="228"/>
      <c r="AF255" s="11"/>
      <c r="AG255" s="11"/>
      <c r="AH255" s="11"/>
      <c r="AI255" s="11"/>
      <c r="AJ255" s="11"/>
      <c r="AK255" s="11"/>
      <c r="AL255" s="11"/>
    </row>
    <row r="256" spans="1:38" x14ac:dyDescent="0.25">
      <c r="A256" s="38">
        <f>+Données!A256</f>
        <v>5856</v>
      </c>
      <c r="B256" s="249" t="str">
        <f>+Données!B256</f>
        <v>Essertines-sur-Rolle</v>
      </c>
      <c r="C256" s="237">
        <f>+Ecrêtage!C256</f>
        <v>42059.84630422209</v>
      </c>
      <c r="D256" s="235"/>
      <c r="E256" s="237">
        <f>Données!AF256+Données!AG256+Données!AH256</f>
        <v>215564</v>
      </c>
      <c r="F256" s="235">
        <f t="shared" si="24"/>
        <v>336478.77043377672</v>
      </c>
      <c r="G256" s="8">
        <f t="shared" si="25"/>
        <v>0</v>
      </c>
      <c r="H256" s="316">
        <f t="shared" si="26"/>
        <v>0</v>
      </c>
      <c r="J256" s="8">
        <f>Données!AN256</f>
        <v>8770</v>
      </c>
      <c r="K256" s="215">
        <f t="shared" si="27"/>
        <v>42059.84630422209</v>
      </c>
      <c r="L256" s="12">
        <f t="shared" si="28"/>
        <v>0</v>
      </c>
      <c r="M256" s="316">
        <f t="shared" si="29"/>
        <v>0</v>
      </c>
      <c r="O256" s="42">
        <f t="shared" si="30"/>
        <v>0</v>
      </c>
      <c r="P256" s="273"/>
      <c r="Q256" s="228"/>
      <c r="R256" s="228"/>
      <c r="S256" s="228"/>
      <c r="T256" s="228"/>
      <c r="U256" s="228"/>
      <c r="AF256" s="11"/>
      <c r="AG256" s="11"/>
      <c r="AH256" s="11"/>
      <c r="AI256" s="11"/>
      <c r="AJ256" s="11"/>
      <c r="AK256" s="11"/>
      <c r="AL256" s="11"/>
    </row>
    <row r="257" spans="1:38" x14ac:dyDescent="0.25">
      <c r="A257" s="38">
        <f>+Données!A257</f>
        <v>5857</v>
      </c>
      <c r="B257" s="249" t="str">
        <f>+Données!B257</f>
        <v>Gilly</v>
      </c>
      <c r="C257" s="237">
        <f>+Ecrêtage!C257</f>
        <v>88865.056589147294</v>
      </c>
      <c r="D257" s="235"/>
      <c r="E257" s="237">
        <f>Données!AF257+Données!AG257+Données!AH257</f>
        <v>0</v>
      </c>
      <c r="F257" s="235">
        <f t="shared" si="24"/>
        <v>710920.45271317835</v>
      </c>
      <c r="G257" s="8">
        <f t="shared" si="25"/>
        <v>0</v>
      </c>
      <c r="H257" s="316">
        <f t="shared" si="26"/>
        <v>0</v>
      </c>
      <c r="J257" s="8">
        <f>Données!AN257</f>
        <v>0</v>
      </c>
      <c r="K257" s="215">
        <f t="shared" si="27"/>
        <v>88865.056589147294</v>
      </c>
      <c r="L257" s="12">
        <f t="shared" si="28"/>
        <v>0</v>
      </c>
      <c r="M257" s="316">
        <f t="shared" si="29"/>
        <v>0</v>
      </c>
      <c r="O257" s="42">
        <f t="shared" si="30"/>
        <v>0</v>
      </c>
      <c r="P257" s="273"/>
      <c r="Q257" s="228"/>
      <c r="R257" s="228"/>
      <c r="S257" s="228"/>
      <c r="T257" s="228"/>
      <c r="U257" s="228"/>
      <c r="AF257" s="11"/>
      <c r="AG257" s="11"/>
      <c r="AH257" s="11"/>
      <c r="AI257" s="11"/>
      <c r="AJ257" s="11"/>
      <c r="AK257" s="11"/>
      <c r="AL257" s="11"/>
    </row>
    <row r="258" spans="1:38" x14ac:dyDescent="0.25">
      <c r="A258" s="38">
        <f>+Données!A258</f>
        <v>5858</v>
      </c>
      <c r="B258" s="249" t="str">
        <f>+Données!B258</f>
        <v>Luins</v>
      </c>
      <c r="C258" s="237">
        <f>+Ecrêtage!C258</f>
        <v>38252.553447293445</v>
      </c>
      <c r="D258" s="235"/>
      <c r="E258" s="237">
        <f>Données!AF258+Données!AG258+Données!AH258</f>
        <v>0</v>
      </c>
      <c r="F258" s="235">
        <f t="shared" si="24"/>
        <v>306020.42757834756</v>
      </c>
      <c r="G258" s="8">
        <f t="shared" si="25"/>
        <v>0</v>
      </c>
      <c r="H258" s="316">
        <f t="shared" si="26"/>
        <v>0</v>
      </c>
      <c r="J258" s="8">
        <f>Données!AN258</f>
        <v>0</v>
      </c>
      <c r="K258" s="215">
        <f t="shared" si="27"/>
        <v>38252.553447293445</v>
      </c>
      <c r="L258" s="12">
        <f t="shared" si="28"/>
        <v>0</v>
      </c>
      <c r="M258" s="316">
        <f t="shared" si="29"/>
        <v>0</v>
      </c>
      <c r="O258" s="42">
        <f t="shared" si="30"/>
        <v>0</v>
      </c>
      <c r="P258" s="273"/>
      <c r="Q258" s="228"/>
      <c r="R258" s="228"/>
      <c r="S258" s="228"/>
      <c r="T258" s="228"/>
      <c r="U258" s="228"/>
      <c r="AF258" s="11"/>
      <c r="AG258" s="11"/>
      <c r="AH258" s="11"/>
      <c r="AI258" s="11"/>
      <c r="AJ258" s="11"/>
      <c r="AK258" s="11"/>
      <c r="AL258" s="11"/>
    </row>
    <row r="259" spans="1:38" x14ac:dyDescent="0.25">
      <c r="A259" s="38">
        <f>+Données!A259</f>
        <v>5859</v>
      </c>
      <c r="B259" s="249" t="str">
        <f>+Données!B259</f>
        <v>Mont-sur-Rolle</v>
      </c>
      <c r="C259" s="237">
        <f>+Ecrêtage!C259</f>
        <v>160904.56204724411</v>
      </c>
      <c r="D259" s="235"/>
      <c r="E259" s="237">
        <f>Données!AF259+Données!AG259+Données!AH259</f>
        <v>694492</v>
      </c>
      <c r="F259" s="235">
        <f t="shared" si="24"/>
        <v>1287236.4963779529</v>
      </c>
      <c r="G259" s="8">
        <f t="shared" si="25"/>
        <v>0</v>
      </c>
      <c r="H259" s="316">
        <f t="shared" si="26"/>
        <v>0</v>
      </c>
      <c r="J259" s="8">
        <f>Données!AN259</f>
        <v>0</v>
      </c>
      <c r="K259" s="215">
        <f t="shared" si="27"/>
        <v>160904.56204724411</v>
      </c>
      <c r="L259" s="12">
        <f t="shared" si="28"/>
        <v>0</v>
      </c>
      <c r="M259" s="316">
        <f t="shared" si="29"/>
        <v>0</v>
      </c>
      <c r="O259" s="42">
        <f t="shared" si="30"/>
        <v>0</v>
      </c>
      <c r="P259" s="273"/>
      <c r="Q259" s="228"/>
      <c r="R259" s="228"/>
      <c r="S259" s="228"/>
      <c r="T259" s="228"/>
      <c r="U259" s="228"/>
      <c r="AF259" s="11"/>
      <c r="AG259" s="11"/>
      <c r="AH259" s="11"/>
      <c r="AI259" s="11"/>
      <c r="AJ259" s="11"/>
      <c r="AK259" s="11"/>
      <c r="AL259" s="11"/>
    </row>
    <row r="260" spans="1:38" x14ac:dyDescent="0.25">
      <c r="A260" s="38">
        <f>+Données!A260</f>
        <v>5860</v>
      </c>
      <c r="B260" s="249" t="str">
        <f>+Données!B260</f>
        <v>Perroy</v>
      </c>
      <c r="C260" s="237">
        <f>+Ecrêtage!C260</f>
        <v>124238.0950558843</v>
      </c>
      <c r="D260" s="235"/>
      <c r="E260" s="237">
        <f>Données!AF260+Données!AG260+Données!AH260</f>
        <v>402690</v>
      </c>
      <c r="F260" s="235">
        <f t="shared" si="24"/>
        <v>993904.76044707443</v>
      </c>
      <c r="G260" s="8">
        <f t="shared" si="25"/>
        <v>0</v>
      </c>
      <c r="H260" s="316">
        <f t="shared" si="26"/>
        <v>0</v>
      </c>
      <c r="J260" s="8">
        <f>Données!AN260</f>
        <v>5792</v>
      </c>
      <c r="K260" s="215">
        <f t="shared" si="27"/>
        <v>124238.0950558843</v>
      </c>
      <c r="L260" s="12">
        <f t="shared" si="28"/>
        <v>0</v>
      </c>
      <c r="M260" s="316">
        <f t="shared" si="29"/>
        <v>0</v>
      </c>
      <c r="O260" s="42">
        <f t="shared" si="30"/>
        <v>0</v>
      </c>
      <c r="P260" s="273"/>
      <c r="Q260" s="228"/>
      <c r="R260" s="228"/>
      <c r="S260" s="228"/>
      <c r="T260" s="228"/>
      <c r="U260" s="228"/>
      <c r="AF260" s="11"/>
      <c r="AG260" s="11"/>
      <c r="AH260" s="11"/>
      <c r="AI260" s="11"/>
      <c r="AJ260" s="11"/>
      <c r="AK260" s="11"/>
      <c r="AL260" s="11"/>
    </row>
    <row r="261" spans="1:38" x14ac:dyDescent="0.25">
      <c r="A261" s="38">
        <f>+Données!A261</f>
        <v>5861</v>
      </c>
      <c r="B261" s="249" t="str">
        <f>+Données!B261</f>
        <v>Rolle</v>
      </c>
      <c r="C261" s="237">
        <f>+Ecrêtage!C261</f>
        <v>872601.81815126061</v>
      </c>
      <c r="D261" s="235"/>
      <c r="E261" s="237">
        <f>Données!AF261+Données!AG261+Données!AH261</f>
        <v>0</v>
      </c>
      <c r="F261" s="235">
        <f t="shared" si="24"/>
        <v>6980814.5452100849</v>
      </c>
      <c r="G261" s="8">
        <f t="shared" si="25"/>
        <v>0</v>
      </c>
      <c r="H261" s="316">
        <f t="shared" si="26"/>
        <v>0</v>
      </c>
      <c r="J261" s="8">
        <f>Données!AN261</f>
        <v>0</v>
      </c>
      <c r="K261" s="215">
        <f t="shared" si="27"/>
        <v>872601.81815126061</v>
      </c>
      <c r="L261" s="12">
        <f t="shared" si="28"/>
        <v>0</v>
      </c>
      <c r="M261" s="316">
        <f t="shared" si="29"/>
        <v>0</v>
      </c>
      <c r="O261" s="42">
        <f t="shared" si="30"/>
        <v>0</v>
      </c>
      <c r="P261" s="273"/>
      <c r="Q261" s="228"/>
      <c r="R261" s="228"/>
      <c r="S261" s="228"/>
      <c r="T261" s="228"/>
      <c r="U261" s="228"/>
      <c r="AF261" s="11"/>
      <c r="AG261" s="11"/>
      <c r="AH261" s="11"/>
      <c r="AI261" s="11"/>
      <c r="AJ261" s="11"/>
      <c r="AK261" s="11"/>
      <c r="AL261" s="11"/>
    </row>
    <row r="262" spans="1:38" x14ac:dyDescent="0.25">
      <c r="A262" s="38">
        <f>+Données!A262</f>
        <v>5862</v>
      </c>
      <c r="B262" s="249" t="str">
        <f>+Données!B262</f>
        <v>Tartegnin</v>
      </c>
      <c r="C262" s="237">
        <f>+Ecrêtage!C262</f>
        <v>7890.9322784810111</v>
      </c>
      <c r="D262" s="235"/>
      <c r="E262" s="237">
        <f>Données!AF262+Données!AG262+Données!AH262</f>
        <v>62435</v>
      </c>
      <c r="F262" s="235">
        <f t="shared" si="24"/>
        <v>63127.458227848088</v>
      </c>
      <c r="G262" s="8">
        <f t="shared" si="25"/>
        <v>0</v>
      </c>
      <c r="H262" s="316">
        <f t="shared" si="26"/>
        <v>0</v>
      </c>
      <c r="J262" s="8">
        <f>Données!AN262</f>
        <v>6317</v>
      </c>
      <c r="K262" s="215">
        <f t="shared" si="27"/>
        <v>7890.9322784810111</v>
      </c>
      <c r="L262" s="12">
        <f t="shared" si="28"/>
        <v>0</v>
      </c>
      <c r="M262" s="316">
        <f t="shared" si="29"/>
        <v>0</v>
      </c>
      <c r="O262" s="42">
        <f t="shared" si="30"/>
        <v>0</v>
      </c>
      <c r="P262" s="273"/>
      <c r="Q262" s="228"/>
      <c r="R262" s="228"/>
      <c r="S262" s="228"/>
      <c r="T262" s="228"/>
      <c r="U262" s="228"/>
      <c r="AF262" s="11"/>
      <c r="AG262" s="11"/>
      <c r="AH262" s="11"/>
      <c r="AI262" s="11"/>
      <c r="AJ262" s="11"/>
      <c r="AK262" s="11"/>
      <c r="AL262" s="11"/>
    </row>
    <row r="263" spans="1:38" x14ac:dyDescent="0.25">
      <c r="A263" s="38">
        <f>+Données!A263</f>
        <v>5863</v>
      </c>
      <c r="B263" s="249" t="str">
        <f>+Données!B263</f>
        <v>Vinzel</v>
      </c>
      <c r="C263" s="237">
        <f>+Ecrêtage!C263</f>
        <v>21422.979701492532</v>
      </c>
      <c r="D263" s="235"/>
      <c r="E263" s="237">
        <f>Données!AF263+Données!AG263+Données!AH263</f>
        <v>0</v>
      </c>
      <c r="F263" s="235">
        <f t="shared" ref="F263:F305" si="31">+C263*$G$5</f>
        <v>171383.83761194025</v>
      </c>
      <c r="G263" s="8">
        <f t="shared" ref="G263:G305" si="32">IF(E263&gt;F263,E263-F263,0)</f>
        <v>0</v>
      </c>
      <c r="H263" s="316">
        <f t="shared" ref="H263:H305" si="33">-G263*H$5</f>
        <v>0</v>
      </c>
      <c r="J263" s="8">
        <f>Données!AN263</f>
        <v>0</v>
      </c>
      <c r="K263" s="215">
        <f t="shared" ref="K263:K305" si="34">C263*L$5</f>
        <v>21422.979701492532</v>
      </c>
      <c r="L263" s="12">
        <f t="shared" ref="L263:L305" si="35">IF(J263&gt;K263,J263-K263,0)</f>
        <v>0</v>
      </c>
      <c r="M263" s="316">
        <f t="shared" ref="M263:M305" si="36">-L263*M$5</f>
        <v>0</v>
      </c>
      <c r="O263" s="42">
        <f t="shared" ref="O263:O305" si="37">M263+H263</f>
        <v>0</v>
      </c>
      <c r="P263" s="273"/>
      <c r="Q263" s="228"/>
      <c r="R263" s="228"/>
      <c r="S263" s="228"/>
      <c r="T263" s="228"/>
      <c r="U263" s="228"/>
      <c r="AF263" s="11"/>
      <c r="AG263" s="11"/>
      <c r="AH263" s="11"/>
      <c r="AI263" s="11"/>
      <c r="AJ263" s="11"/>
      <c r="AK263" s="11"/>
      <c r="AL263" s="11"/>
    </row>
    <row r="264" spans="1:38" x14ac:dyDescent="0.25">
      <c r="A264" s="38">
        <f>+Données!A264</f>
        <v>5871</v>
      </c>
      <c r="B264" s="249" t="str">
        <f>+Données!B264</f>
        <v>L'Abbaye</v>
      </c>
      <c r="C264" s="237">
        <f>+Ecrêtage!C264</f>
        <v>52131.58544752092</v>
      </c>
      <c r="D264" s="235"/>
      <c r="E264" s="237">
        <f>Données!AF264+Données!AG264+Données!AH264</f>
        <v>972614</v>
      </c>
      <c r="F264" s="235">
        <f t="shared" si="31"/>
        <v>417052.68358016736</v>
      </c>
      <c r="G264" s="8">
        <f t="shared" si="32"/>
        <v>555561.31641983264</v>
      </c>
      <c r="H264" s="316">
        <f t="shared" si="33"/>
        <v>-416670.98731487448</v>
      </c>
      <c r="J264" s="8">
        <f>Données!AN264</f>
        <v>-20924</v>
      </c>
      <c r="K264" s="215">
        <f t="shared" si="34"/>
        <v>52131.58544752092</v>
      </c>
      <c r="L264" s="12">
        <f t="shared" si="35"/>
        <v>0</v>
      </c>
      <c r="M264" s="316">
        <f t="shared" si="36"/>
        <v>0</v>
      </c>
      <c r="O264" s="42">
        <f t="shared" si="37"/>
        <v>-416670.98731487448</v>
      </c>
      <c r="P264" s="273"/>
      <c r="Q264" s="228"/>
      <c r="R264" s="228"/>
      <c r="S264" s="228"/>
      <c r="T264" s="228"/>
      <c r="U264" s="228"/>
      <c r="AF264" s="11"/>
      <c r="AG264" s="11"/>
      <c r="AH264" s="11"/>
      <c r="AI264" s="11"/>
      <c r="AJ264" s="11"/>
      <c r="AK264" s="11"/>
      <c r="AL264" s="11"/>
    </row>
    <row r="265" spans="1:38" x14ac:dyDescent="0.25">
      <c r="A265" s="38">
        <f>+Données!A265</f>
        <v>5872</v>
      </c>
      <c r="B265" s="249" t="str">
        <f>+Données!B265</f>
        <v>Le Chenit</v>
      </c>
      <c r="C265" s="237">
        <f>+Ecrêtage!C265</f>
        <v>198940.06926406932</v>
      </c>
      <c r="D265" s="235"/>
      <c r="E265" s="237">
        <f>Données!AF265+Données!AG265+Données!AH265</f>
        <v>3761311</v>
      </c>
      <c r="F265" s="235">
        <f t="shared" si="31"/>
        <v>1591520.5541125545</v>
      </c>
      <c r="G265" s="8">
        <f t="shared" si="32"/>
        <v>2169790.4458874455</v>
      </c>
      <c r="H265" s="316">
        <f t="shared" si="33"/>
        <v>-1627342.8344155841</v>
      </c>
      <c r="J265" s="8">
        <f>Données!AN265</f>
        <v>318668</v>
      </c>
      <c r="K265" s="215">
        <f t="shared" si="34"/>
        <v>198940.06926406932</v>
      </c>
      <c r="L265" s="12">
        <f t="shared" si="35"/>
        <v>119727.93073593068</v>
      </c>
      <c r="M265" s="316">
        <f t="shared" si="36"/>
        <v>-89795.948051948013</v>
      </c>
      <c r="O265" s="42">
        <f t="shared" si="37"/>
        <v>-1717138.7824675322</v>
      </c>
      <c r="P265" s="273"/>
      <c r="Q265" s="228"/>
      <c r="R265" s="228"/>
      <c r="S265" s="228"/>
      <c r="T265" s="228"/>
      <c r="U265" s="228"/>
      <c r="AF265" s="11"/>
      <c r="AG265" s="11"/>
      <c r="AH265" s="11"/>
      <c r="AI265" s="11"/>
      <c r="AJ265" s="11"/>
      <c r="AK265" s="11"/>
      <c r="AL265" s="11"/>
    </row>
    <row r="266" spans="1:38" x14ac:dyDescent="0.25">
      <c r="A266" s="38">
        <f>+Données!A266</f>
        <v>5873</v>
      </c>
      <c r="B266" s="249" t="str">
        <f>+Données!B266</f>
        <v>Le Lieu</v>
      </c>
      <c r="C266" s="237">
        <f>+Ecrêtage!C266</f>
        <v>31463.219535714288</v>
      </c>
      <c r="D266" s="235"/>
      <c r="E266" s="237">
        <f>Données!AF266+Données!AG266+Données!AH266</f>
        <v>1046984</v>
      </c>
      <c r="F266" s="235">
        <f t="shared" si="31"/>
        <v>251705.75628571431</v>
      </c>
      <c r="G266" s="8">
        <f t="shared" si="32"/>
        <v>795278.24371428567</v>
      </c>
      <c r="H266" s="316">
        <f t="shared" si="33"/>
        <v>-596458.68278571428</v>
      </c>
      <c r="J266" s="8">
        <f>Données!AN266</f>
        <v>174111</v>
      </c>
      <c r="K266" s="215">
        <f t="shared" si="34"/>
        <v>31463.219535714288</v>
      </c>
      <c r="L266" s="12">
        <f t="shared" si="35"/>
        <v>142647.78046428572</v>
      </c>
      <c r="M266" s="316">
        <f t="shared" si="36"/>
        <v>-106985.83534821428</v>
      </c>
      <c r="O266" s="42">
        <f t="shared" si="37"/>
        <v>-703444.51813392853</v>
      </c>
      <c r="P266" s="273"/>
      <c r="Q266" s="228"/>
      <c r="R266" s="228"/>
      <c r="S266" s="228"/>
      <c r="T266" s="228"/>
      <c r="U266" s="228"/>
      <c r="AF266" s="11"/>
      <c r="AG266" s="11"/>
      <c r="AH266" s="11"/>
      <c r="AI266" s="11"/>
      <c r="AJ266" s="11"/>
      <c r="AK266" s="11"/>
      <c r="AL266" s="11"/>
    </row>
    <row r="267" spans="1:38" x14ac:dyDescent="0.25">
      <c r="A267" s="38">
        <f>+Données!A267</f>
        <v>5882</v>
      </c>
      <c r="B267" s="249" t="str">
        <f>+Données!B267</f>
        <v>Chardonne</v>
      </c>
      <c r="C267" s="237">
        <f>+Ecrêtage!C267</f>
        <v>186940.3105882353</v>
      </c>
      <c r="D267" s="235"/>
      <c r="E267" s="237">
        <f>Données!AF267+Données!AG267+Données!AH267</f>
        <v>1917399</v>
      </c>
      <c r="F267" s="235">
        <f t="shared" si="31"/>
        <v>1495522.4847058824</v>
      </c>
      <c r="G267" s="8">
        <f t="shared" si="32"/>
        <v>421876.51529411762</v>
      </c>
      <c r="H267" s="316">
        <f t="shared" si="33"/>
        <v>-316407.38647058822</v>
      </c>
      <c r="J267" s="8">
        <f>Données!AN267</f>
        <v>-24074</v>
      </c>
      <c r="K267" s="215">
        <f t="shared" si="34"/>
        <v>186940.3105882353</v>
      </c>
      <c r="L267" s="12">
        <f t="shared" si="35"/>
        <v>0</v>
      </c>
      <c r="M267" s="316">
        <f t="shared" si="36"/>
        <v>0</v>
      </c>
      <c r="O267" s="42">
        <f t="shared" si="37"/>
        <v>-316407.38647058822</v>
      </c>
      <c r="P267" s="273"/>
      <c r="Q267" s="228"/>
      <c r="R267" s="228"/>
      <c r="S267" s="228"/>
      <c r="T267" s="228"/>
      <c r="U267" s="228"/>
      <c r="AF267" s="11"/>
      <c r="AG267" s="11"/>
      <c r="AH267" s="11"/>
      <c r="AI267" s="11"/>
      <c r="AJ267" s="11"/>
      <c r="AK267" s="11"/>
      <c r="AL267" s="11"/>
    </row>
    <row r="268" spans="1:38" x14ac:dyDescent="0.25">
      <c r="A268" s="38">
        <f>+Données!A268</f>
        <v>5883</v>
      </c>
      <c r="B268" s="249" t="str">
        <f>+Données!B268</f>
        <v>Corseaux</v>
      </c>
      <c r="C268" s="237">
        <f>+Ecrêtage!C268</f>
        <v>193091.18148148147</v>
      </c>
      <c r="D268" s="235"/>
      <c r="E268" s="237">
        <f>Données!AF268+Données!AG268+Données!AH268</f>
        <v>1234859</v>
      </c>
      <c r="F268" s="235">
        <f t="shared" si="31"/>
        <v>1544729.4518518518</v>
      </c>
      <c r="G268" s="8">
        <f t="shared" si="32"/>
        <v>0</v>
      </c>
      <c r="H268" s="316">
        <f t="shared" si="33"/>
        <v>0</v>
      </c>
      <c r="J268" s="8">
        <f>Données!AN268</f>
        <v>1736</v>
      </c>
      <c r="K268" s="215">
        <f t="shared" si="34"/>
        <v>193091.18148148147</v>
      </c>
      <c r="L268" s="12">
        <f t="shared" si="35"/>
        <v>0</v>
      </c>
      <c r="M268" s="316">
        <f t="shared" si="36"/>
        <v>0</v>
      </c>
      <c r="O268" s="42">
        <f t="shared" si="37"/>
        <v>0</v>
      </c>
      <c r="P268" s="273"/>
      <c r="Q268" s="228"/>
      <c r="R268" s="228"/>
      <c r="S268" s="228"/>
      <c r="T268" s="228"/>
      <c r="U268" s="228"/>
      <c r="AF268" s="11"/>
      <c r="AG268" s="11"/>
      <c r="AH268" s="11"/>
      <c r="AI268" s="11"/>
      <c r="AJ268" s="11"/>
      <c r="AK268" s="11"/>
      <c r="AL268" s="11"/>
    </row>
    <row r="269" spans="1:38" x14ac:dyDescent="0.25">
      <c r="A269" s="38">
        <f>+Données!A269</f>
        <v>5884</v>
      </c>
      <c r="B269" s="249" t="str">
        <f>+Données!B269</f>
        <v>Corsier-sur-Vevey</v>
      </c>
      <c r="C269" s="237">
        <f>+Ecrêtage!C269</f>
        <v>148804.11322997417</v>
      </c>
      <c r="D269" s="235"/>
      <c r="E269" s="237">
        <f>Données!AF269+Données!AG269+Données!AH269</f>
        <v>3010433</v>
      </c>
      <c r="F269" s="235">
        <f t="shared" si="31"/>
        <v>1190432.9058397934</v>
      </c>
      <c r="G269" s="8">
        <f t="shared" si="32"/>
        <v>1820000.0941602066</v>
      </c>
      <c r="H269" s="316">
        <f t="shared" si="33"/>
        <v>-1365000.070620155</v>
      </c>
      <c r="J269" s="8">
        <f>Données!AN269</f>
        <v>22593</v>
      </c>
      <c r="K269" s="215">
        <f t="shared" si="34"/>
        <v>148804.11322997417</v>
      </c>
      <c r="L269" s="12">
        <f t="shared" si="35"/>
        <v>0</v>
      </c>
      <c r="M269" s="316">
        <f t="shared" si="36"/>
        <v>0</v>
      </c>
      <c r="O269" s="42">
        <f t="shared" si="37"/>
        <v>-1365000.070620155</v>
      </c>
      <c r="P269" s="273"/>
      <c r="Q269" s="228"/>
      <c r="R269" s="228"/>
      <c r="S269" s="228"/>
      <c r="T269" s="228"/>
      <c r="U269" s="228"/>
      <c r="AF269" s="11"/>
      <c r="AG269" s="11"/>
      <c r="AH269" s="11"/>
      <c r="AI269" s="11"/>
      <c r="AJ269" s="11"/>
      <c r="AK269" s="11"/>
      <c r="AL269" s="11"/>
    </row>
    <row r="270" spans="1:38" x14ac:dyDescent="0.25">
      <c r="A270" s="38">
        <f>+Données!A270</f>
        <v>5885</v>
      </c>
      <c r="B270" s="249" t="str">
        <f>+Données!B270</f>
        <v>Jongny</v>
      </c>
      <c r="C270" s="237">
        <f>+Ecrêtage!C270</f>
        <v>97074.6993764988</v>
      </c>
      <c r="D270" s="235"/>
      <c r="E270" s="237">
        <f>Données!AF270+Données!AG270+Données!AH270</f>
        <v>877479</v>
      </c>
      <c r="F270" s="235">
        <f t="shared" si="31"/>
        <v>776597.5950119904</v>
      </c>
      <c r="G270" s="8">
        <f t="shared" si="32"/>
        <v>100881.4049880096</v>
      </c>
      <c r="H270" s="316">
        <f t="shared" si="33"/>
        <v>-75661.053741007199</v>
      </c>
      <c r="J270" s="8">
        <f>Données!AN270</f>
        <v>-5807</v>
      </c>
      <c r="K270" s="215">
        <f t="shared" si="34"/>
        <v>97074.6993764988</v>
      </c>
      <c r="L270" s="12">
        <f t="shared" si="35"/>
        <v>0</v>
      </c>
      <c r="M270" s="316">
        <f t="shared" si="36"/>
        <v>0</v>
      </c>
      <c r="O270" s="42">
        <f t="shared" si="37"/>
        <v>-75661.053741007199</v>
      </c>
      <c r="P270" s="273"/>
      <c r="Q270" s="228"/>
      <c r="R270" s="228"/>
      <c r="S270" s="228"/>
      <c r="T270" s="228"/>
      <c r="U270" s="228"/>
      <c r="AF270" s="11"/>
      <c r="AG270" s="11"/>
      <c r="AH270" s="11"/>
      <c r="AI270" s="11"/>
      <c r="AJ270" s="11"/>
      <c r="AK270" s="11"/>
      <c r="AL270" s="11"/>
    </row>
    <row r="271" spans="1:38" x14ac:dyDescent="0.25">
      <c r="A271" s="38">
        <f>+Données!A271</f>
        <v>5886</v>
      </c>
      <c r="B271" s="249" t="str">
        <f>+Données!B271</f>
        <v>Montreux</v>
      </c>
      <c r="C271" s="237">
        <f>+Ecrêtage!C271</f>
        <v>1173967.402</v>
      </c>
      <c r="D271" s="235"/>
      <c r="E271" s="237">
        <f>Données!AF271+Données!AG271+Données!AH271</f>
        <v>17555747.75</v>
      </c>
      <c r="F271" s="235">
        <f t="shared" si="31"/>
        <v>9391739.216</v>
      </c>
      <c r="G271" s="8">
        <f t="shared" si="32"/>
        <v>8164008.534</v>
      </c>
      <c r="H271" s="316">
        <f t="shared" si="33"/>
        <v>-6123006.4004999995</v>
      </c>
      <c r="J271" s="8">
        <f>Données!AN271</f>
        <v>1624445</v>
      </c>
      <c r="K271" s="215">
        <f t="shared" si="34"/>
        <v>1173967.402</v>
      </c>
      <c r="L271" s="12">
        <f t="shared" si="35"/>
        <v>450477.598</v>
      </c>
      <c r="M271" s="316">
        <f t="shared" si="36"/>
        <v>-337858.1985</v>
      </c>
      <c r="O271" s="42">
        <f t="shared" si="37"/>
        <v>-6460864.5989999995</v>
      </c>
      <c r="P271" s="273"/>
      <c r="Q271" s="228"/>
      <c r="R271" s="228"/>
      <c r="S271" s="228"/>
      <c r="T271" s="228"/>
      <c r="U271" s="228"/>
      <c r="AF271" s="11"/>
      <c r="AG271" s="11"/>
      <c r="AH271" s="11"/>
      <c r="AI271" s="11"/>
      <c r="AJ271" s="11"/>
      <c r="AK271" s="11"/>
      <c r="AL271" s="11"/>
    </row>
    <row r="272" spans="1:38" x14ac:dyDescent="0.25">
      <c r="A272" s="38">
        <f>+Données!A272</f>
        <v>5889</v>
      </c>
      <c r="B272" s="249" t="str">
        <f>+Données!B272</f>
        <v>La Tour-de-Peilz</v>
      </c>
      <c r="C272" s="237">
        <f>+Ecrêtage!C272</f>
        <v>740088.65473958338</v>
      </c>
      <c r="D272" s="235"/>
      <c r="E272" s="237">
        <f>Données!AF272+Données!AG272+Données!AH272</f>
        <v>6140415</v>
      </c>
      <c r="F272" s="235">
        <f t="shared" si="31"/>
        <v>5920709.237916667</v>
      </c>
      <c r="G272" s="8">
        <f t="shared" si="32"/>
        <v>219705.76208333299</v>
      </c>
      <c r="H272" s="316">
        <f t="shared" si="33"/>
        <v>-164779.32156249974</v>
      </c>
      <c r="J272" s="8">
        <f>Données!AN272</f>
        <v>56792</v>
      </c>
      <c r="K272" s="215">
        <f t="shared" si="34"/>
        <v>740088.65473958338</v>
      </c>
      <c r="L272" s="12">
        <f t="shared" si="35"/>
        <v>0</v>
      </c>
      <c r="M272" s="316">
        <f t="shared" si="36"/>
        <v>0</v>
      </c>
      <c r="O272" s="42">
        <f t="shared" si="37"/>
        <v>-164779.32156249974</v>
      </c>
      <c r="P272" s="273"/>
      <c r="Q272" s="228"/>
      <c r="R272" s="228"/>
      <c r="S272" s="228"/>
      <c r="T272" s="228"/>
      <c r="U272" s="228"/>
      <c r="AF272" s="11"/>
      <c r="AG272" s="11"/>
      <c r="AH272" s="11"/>
      <c r="AI272" s="11"/>
      <c r="AJ272" s="11"/>
      <c r="AK272" s="11"/>
      <c r="AL272" s="11"/>
    </row>
    <row r="273" spans="1:38" x14ac:dyDescent="0.25">
      <c r="A273" s="38">
        <f>+Données!A273</f>
        <v>5890</v>
      </c>
      <c r="B273" s="249" t="str">
        <f>+Données!B273</f>
        <v>Vevey</v>
      </c>
      <c r="C273" s="237">
        <f>+Ecrêtage!C273</f>
        <v>968892.58791946329</v>
      </c>
      <c r="D273" s="235"/>
      <c r="E273" s="237">
        <f>Données!AF273+Données!AG273+Données!AH273</f>
        <v>12633782</v>
      </c>
      <c r="F273" s="235">
        <f t="shared" si="31"/>
        <v>7751140.7033557063</v>
      </c>
      <c r="G273" s="8">
        <f t="shared" si="32"/>
        <v>4882641.2966442937</v>
      </c>
      <c r="H273" s="316">
        <f t="shared" si="33"/>
        <v>-3661980.9724832205</v>
      </c>
      <c r="J273" s="8">
        <f>Données!AN273</f>
        <v>100000</v>
      </c>
      <c r="K273" s="215">
        <f t="shared" si="34"/>
        <v>968892.58791946329</v>
      </c>
      <c r="L273" s="12">
        <f t="shared" si="35"/>
        <v>0</v>
      </c>
      <c r="M273" s="316">
        <f t="shared" si="36"/>
        <v>0</v>
      </c>
      <c r="O273" s="42">
        <f t="shared" si="37"/>
        <v>-3661980.9724832205</v>
      </c>
      <c r="P273" s="273"/>
      <c r="Q273" s="228"/>
      <c r="R273" s="228"/>
      <c r="S273" s="228"/>
      <c r="T273" s="228"/>
      <c r="U273" s="228"/>
      <c r="AF273" s="11"/>
      <c r="AG273" s="11"/>
      <c r="AH273" s="11"/>
      <c r="AI273" s="11"/>
      <c r="AJ273" s="11"/>
      <c r="AK273" s="11"/>
      <c r="AL273" s="11"/>
    </row>
    <row r="274" spans="1:38" x14ac:dyDescent="0.25">
      <c r="A274" s="38">
        <f>+Données!A274</f>
        <v>5891</v>
      </c>
      <c r="B274" s="249" t="str">
        <f>+Données!B274</f>
        <v>Veytaux</v>
      </c>
      <c r="C274" s="237">
        <f>+Ecrêtage!C274</f>
        <v>39118.814388489205</v>
      </c>
      <c r="D274" s="235"/>
      <c r="E274" s="237">
        <f>Données!AF274+Données!AG274+Données!AH274</f>
        <v>706771</v>
      </c>
      <c r="F274" s="235">
        <f t="shared" si="31"/>
        <v>312950.51510791364</v>
      </c>
      <c r="G274" s="8">
        <f t="shared" si="32"/>
        <v>393820.48489208636</v>
      </c>
      <c r="H274" s="316">
        <f t="shared" si="33"/>
        <v>-295365.36366906477</v>
      </c>
      <c r="J274" s="8">
        <f>Données!AN274</f>
        <v>420184</v>
      </c>
      <c r="K274" s="215">
        <f t="shared" si="34"/>
        <v>39118.814388489205</v>
      </c>
      <c r="L274" s="12">
        <f t="shared" si="35"/>
        <v>381065.18561151077</v>
      </c>
      <c r="M274" s="316">
        <f t="shared" si="36"/>
        <v>-285798.8892086331</v>
      </c>
      <c r="O274" s="42">
        <f t="shared" si="37"/>
        <v>-581164.25287769781</v>
      </c>
      <c r="P274" s="273"/>
      <c r="Q274" s="228"/>
      <c r="R274" s="228"/>
      <c r="S274" s="228"/>
      <c r="T274" s="228"/>
      <c r="U274" s="228"/>
      <c r="AF274" s="11"/>
      <c r="AG274" s="11"/>
      <c r="AH274" s="11"/>
      <c r="AI274" s="11"/>
      <c r="AJ274" s="11"/>
      <c r="AK274" s="11"/>
      <c r="AL274" s="11"/>
    </row>
    <row r="275" spans="1:38" s="219" customFormat="1" x14ac:dyDescent="0.25">
      <c r="A275" s="38">
        <f>+Données!A275</f>
        <v>5892</v>
      </c>
      <c r="B275" s="249" t="str">
        <f>+Données!B275</f>
        <v>Blonay-St-Légier</v>
      </c>
      <c r="C275" s="237">
        <f>+Ecrêtage!C275</f>
        <v>705287.87938951538</v>
      </c>
      <c r="D275" s="235"/>
      <c r="E275" s="237">
        <f>Données!AF275+Données!AG275+Données!AH275</f>
        <v>8802647</v>
      </c>
      <c r="F275" s="235">
        <f t="shared" si="31"/>
        <v>5642303.035116123</v>
      </c>
      <c r="G275" s="8">
        <f t="shared" si="32"/>
        <v>3160343.964883877</v>
      </c>
      <c r="H275" s="316">
        <f t="shared" si="33"/>
        <v>-2370257.9736629077</v>
      </c>
      <c r="I275" s="238"/>
      <c r="J275" s="8">
        <f>Données!AN275</f>
        <v>1148133</v>
      </c>
      <c r="K275" s="215">
        <f t="shared" si="34"/>
        <v>705287.87938951538</v>
      </c>
      <c r="L275" s="238">
        <f t="shared" si="35"/>
        <v>442845.12061048462</v>
      </c>
      <c r="M275" s="316">
        <f t="shared" si="36"/>
        <v>-332133.84045786347</v>
      </c>
      <c r="N275" s="238"/>
      <c r="O275" s="42">
        <f t="shared" si="37"/>
        <v>-2702391.8141207714</v>
      </c>
      <c r="P275" s="273"/>
      <c r="Q275" s="228"/>
      <c r="R275" s="228"/>
      <c r="S275" s="228"/>
      <c r="T275" s="228"/>
      <c r="U275" s="228"/>
    </row>
    <row r="276" spans="1:38" x14ac:dyDescent="0.25">
      <c r="A276" s="38">
        <f>+Données!A276</f>
        <v>5902</v>
      </c>
      <c r="B276" s="249" t="str">
        <f>+Données!B276</f>
        <v>Belmont-sur-Yverdon</v>
      </c>
      <c r="C276" s="237">
        <f>+Ecrêtage!C276</f>
        <v>12109.044285714286</v>
      </c>
      <c r="D276" s="235"/>
      <c r="E276" s="237">
        <f>Données!AF276+Données!AG276+Données!AH276</f>
        <v>244219</v>
      </c>
      <c r="F276" s="235">
        <f t="shared" si="31"/>
        <v>96872.354285714289</v>
      </c>
      <c r="G276" s="8">
        <f t="shared" si="32"/>
        <v>147346.64571428573</v>
      </c>
      <c r="H276" s="316">
        <f t="shared" si="33"/>
        <v>-110509.98428571429</v>
      </c>
      <c r="J276" s="8">
        <f>Données!AN276</f>
        <v>18744</v>
      </c>
      <c r="K276" s="215">
        <f t="shared" si="34"/>
        <v>12109.044285714286</v>
      </c>
      <c r="L276" s="12">
        <f t="shared" si="35"/>
        <v>6634.9557142857138</v>
      </c>
      <c r="M276" s="316">
        <f t="shared" si="36"/>
        <v>-4976.2167857142849</v>
      </c>
      <c r="O276" s="42">
        <f t="shared" si="37"/>
        <v>-115486.20107142857</v>
      </c>
      <c r="P276" s="273"/>
      <c r="Q276" s="228"/>
      <c r="R276" s="228"/>
      <c r="S276" s="228"/>
      <c r="T276" s="228"/>
      <c r="U276" s="228"/>
      <c r="AF276" s="11"/>
      <c r="AG276" s="11"/>
      <c r="AH276" s="11"/>
      <c r="AI276" s="11"/>
      <c r="AJ276" s="11"/>
      <c r="AK276" s="11"/>
      <c r="AL276" s="11"/>
    </row>
    <row r="277" spans="1:38" x14ac:dyDescent="0.25">
      <c r="A277" s="38">
        <f>+Données!A277</f>
        <v>5903</v>
      </c>
      <c r="B277" s="249" t="str">
        <f>+Données!B277</f>
        <v>Bioley-Magnoux</v>
      </c>
      <c r="C277" s="237">
        <f>+Ecrêtage!C277</f>
        <v>6062.5298015873022</v>
      </c>
      <c r="D277" s="235"/>
      <c r="E277" s="237">
        <f>Données!AF277+Données!AG277+Données!AH277</f>
        <v>236471</v>
      </c>
      <c r="F277" s="235">
        <f t="shared" si="31"/>
        <v>48500.238412698418</v>
      </c>
      <c r="G277" s="8">
        <f t="shared" si="32"/>
        <v>187970.76158730159</v>
      </c>
      <c r="H277" s="316">
        <f t="shared" si="33"/>
        <v>-140978.07119047618</v>
      </c>
      <c r="J277" s="8">
        <f>Données!AN277</f>
        <v>21992</v>
      </c>
      <c r="K277" s="215">
        <f t="shared" si="34"/>
        <v>6062.5298015873022</v>
      </c>
      <c r="L277" s="12">
        <f t="shared" si="35"/>
        <v>15929.470198412699</v>
      </c>
      <c r="M277" s="316">
        <f t="shared" si="36"/>
        <v>-11947.102648809523</v>
      </c>
      <c r="O277" s="42">
        <f t="shared" si="37"/>
        <v>-152925.17383928571</v>
      </c>
      <c r="P277" s="273"/>
      <c r="Q277" s="228"/>
      <c r="R277" s="228"/>
      <c r="S277" s="228"/>
      <c r="T277" s="228"/>
      <c r="U277" s="228"/>
      <c r="AF277" s="11"/>
      <c r="AG277" s="11"/>
      <c r="AH277" s="11"/>
      <c r="AI277" s="11"/>
      <c r="AJ277" s="11"/>
      <c r="AK277" s="11"/>
      <c r="AL277" s="11"/>
    </row>
    <row r="278" spans="1:38" x14ac:dyDescent="0.25">
      <c r="A278" s="38">
        <f>+Données!A278</f>
        <v>5904</v>
      </c>
      <c r="B278" s="249" t="str">
        <f>+Données!B278</f>
        <v>Chamblon</v>
      </c>
      <c r="C278" s="237">
        <f>+Ecrêtage!C278</f>
        <v>22177.284545454542</v>
      </c>
      <c r="D278" s="235"/>
      <c r="E278" s="237">
        <f>Données!AF278+Données!AG278+Données!AH278</f>
        <v>132720</v>
      </c>
      <c r="F278" s="235">
        <f t="shared" si="31"/>
        <v>177418.27636363634</v>
      </c>
      <c r="G278" s="8">
        <f t="shared" si="32"/>
        <v>0</v>
      </c>
      <c r="H278" s="316">
        <f t="shared" si="33"/>
        <v>0</v>
      </c>
      <c r="J278" s="8">
        <f>Données!AN278</f>
        <v>3647</v>
      </c>
      <c r="K278" s="215">
        <f t="shared" si="34"/>
        <v>22177.284545454542</v>
      </c>
      <c r="L278" s="12">
        <f t="shared" si="35"/>
        <v>0</v>
      </c>
      <c r="M278" s="316">
        <f t="shared" si="36"/>
        <v>0</v>
      </c>
      <c r="O278" s="42">
        <f t="shared" si="37"/>
        <v>0</v>
      </c>
      <c r="P278" s="273"/>
      <c r="Q278" s="228"/>
      <c r="R278" s="228"/>
      <c r="S278" s="228"/>
      <c r="T278" s="228"/>
      <c r="U278" s="228"/>
      <c r="AF278" s="11"/>
      <c r="AG278" s="11"/>
      <c r="AH278" s="11"/>
      <c r="AI278" s="11"/>
      <c r="AJ278" s="11"/>
      <c r="AK278" s="11"/>
      <c r="AL278" s="11"/>
    </row>
    <row r="279" spans="1:38" x14ac:dyDescent="0.25">
      <c r="A279" s="38">
        <f>+Données!A279</f>
        <v>5905</v>
      </c>
      <c r="B279" s="249" t="str">
        <f>+Données!B279</f>
        <v>Champvent</v>
      </c>
      <c r="C279" s="237">
        <f>+Ecrêtage!C279</f>
        <v>23290.369714285716</v>
      </c>
      <c r="D279" s="235"/>
      <c r="E279" s="237">
        <f>Données!AF279+Données!AG279+Données!AH279</f>
        <v>202565</v>
      </c>
      <c r="F279" s="235">
        <f t="shared" si="31"/>
        <v>186322.95771428573</v>
      </c>
      <c r="G279" s="8">
        <f t="shared" si="32"/>
        <v>16242.042285714269</v>
      </c>
      <c r="H279" s="316">
        <f t="shared" si="33"/>
        <v>-12181.531714285702</v>
      </c>
      <c r="J279" s="8">
        <f>Données!AN279</f>
        <v>37922</v>
      </c>
      <c r="K279" s="215">
        <f t="shared" si="34"/>
        <v>23290.369714285716</v>
      </c>
      <c r="L279" s="12">
        <f t="shared" si="35"/>
        <v>14631.630285714284</v>
      </c>
      <c r="M279" s="316">
        <f t="shared" si="36"/>
        <v>-10973.722714285712</v>
      </c>
      <c r="O279" s="42">
        <f t="shared" si="37"/>
        <v>-23155.254428571414</v>
      </c>
      <c r="P279" s="273"/>
      <c r="Q279" s="228"/>
      <c r="R279" s="228"/>
      <c r="S279" s="228"/>
      <c r="T279" s="228"/>
      <c r="U279" s="228"/>
      <c r="AF279" s="11"/>
      <c r="AG279" s="11"/>
      <c r="AH279" s="11"/>
      <c r="AI279" s="11"/>
      <c r="AJ279" s="11"/>
      <c r="AK279" s="11"/>
      <c r="AL279" s="11"/>
    </row>
    <row r="280" spans="1:38" x14ac:dyDescent="0.25">
      <c r="A280" s="38">
        <f>+Données!A280</f>
        <v>5907</v>
      </c>
      <c r="B280" s="249" t="str">
        <f>+Données!B280</f>
        <v>Chavannes-le-Chêne</v>
      </c>
      <c r="C280" s="237">
        <f>+Ecrêtage!C280</f>
        <v>7818.3101333333334</v>
      </c>
      <c r="D280" s="235"/>
      <c r="E280" s="237">
        <f>Données!AF280+Données!AG280+Données!AH280</f>
        <v>145383</v>
      </c>
      <c r="F280" s="235">
        <f t="shared" si="31"/>
        <v>62546.481066666667</v>
      </c>
      <c r="G280" s="8">
        <f t="shared" si="32"/>
        <v>82836.51893333334</v>
      </c>
      <c r="H280" s="316">
        <f t="shared" si="33"/>
        <v>-62127.389200000005</v>
      </c>
      <c r="J280" s="8">
        <f>Données!AN280</f>
        <v>15840</v>
      </c>
      <c r="K280" s="215">
        <f t="shared" si="34"/>
        <v>7818.3101333333334</v>
      </c>
      <c r="L280" s="12">
        <f t="shared" si="35"/>
        <v>8021.6898666666666</v>
      </c>
      <c r="M280" s="316">
        <f t="shared" si="36"/>
        <v>-6016.2673999999997</v>
      </c>
      <c r="O280" s="42">
        <f t="shared" si="37"/>
        <v>-68143.656600000002</v>
      </c>
      <c r="P280" s="273"/>
      <c r="Q280" s="228"/>
      <c r="R280" s="228"/>
      <c r="S280" s="228"/>
      <c r="T280" s="228"/>
      <c r="U280" s="228"/>
      <c r="AF280" s="11"/>
      <c r="AG280" s="11"/>
      <c r="AH280" s="11"/>
      <c r="AI280" s="11"/>
      <c r="AJ280" s="11"/>
      <c r="AK280" s="11"/>
      <c r="AL280" s="11"/>
    </row>
    <row r="281" spans="1:38" x14ac:dyDescent="0.25">
      <c r="A281" s="38">
        <f>+Données!A281</f>
        <v>5908</v>
      </c>
      <c r="B281" s="249" t="str">
        <f>+Données!B281</f>
        <v>Chêne-Pâquier</v>
      </c>
      <c r="C281" s="237">
        <f>+Ecrêtage!C281</f>
        <v>4413.4270886075947</v>
      </c>
      <c r="D281" s="235"/>
      <c r="E281" s="237">
        <f>Données!AF281+Données!AG281+Données!AH281</f>
        <v>57847</v>
      </c>
      <c r="F281" s="235">
        <f t="shared" si="31"/>
        <v>35307.416708860757</v>
      </c>
      <c r="G281" s="8">
        <f t="shared" si="32"/>
        <v>22539.583291139243</v>
      </c>
      <c r="H281" s="316">
        <f t="shared" si="33"/>
        <v>-16904.68746835443</v>
      </c>
      <c r="J281" s="8">
        <f>Données!AN281</f>
        <v>19250</v>
      </c>
      <c r="K281" s="215">
        <f t="shared" si="34"/>
        <v>4413.4270886075947</v>
      </c>
      <c r="L281" s="12">
        <f t="shared" si="35"/>
        <v>14836.572911392406</v>
      </c>
      <c r="M281" s="316">
        <f t="shared" si="36"/>
        <v>-11127.429683544306</v>
      </c>
      <c r="O281" s="42">
        <f t="shared" si="37"/>
        <v>-28032.117151898736</v>
      </c>
      <c r="P281" s="273"/>
      <c r="Q281" s="228"/>
      <c r="R281" s="228"/>
      <c r="S281" s="228"/>
      <c r="T281" s="228"/>
      <c r="U281" s="228"/>
      <c r="AF281" s="11"/>
      <c r="AG281" s="11"/>
      <c r="AH281" s="11"/>
      <c r="AI281" s="11"/>
      <c r="AJ281" s="11"/>
      <c r="AK281" s="11"/>
      <c r="AL281" s="11"/>
    </row>
    <row r="282" spans="1:38" x14ac:dyDescent="0.25">
      <c r="A282" s="38">
        <f>+Données!A282</f>
        <v>5909</v>
      </c>
      <c r="B282" s="249" t="str">
        <f>+Données!B282</f>
        <v>Cheseaux-Noréaz</v>
      </c>
      <c r="C282" s="237">
        <f>+Ecrêtage!C282</f>
        <v>36912.898208955223</v>
      </c>
      <c r="D282" s="235"/>
      <c r="E282" s="237">
        <f>Données!AF282+Données!AG282+Données!AH282</f>
        <v>352281</v>
      </c>
      <c r="F282" s="235">
        <f t="shared" si="31"/>
        <v>295303.18567164178</v>
      </c>
      <c r="G282" s="8">
        <f t="shared" si="32"/>
        <v>56977.814328358218</v>
      </c>
      <c r="H282" s="316">
        <f t="shared" si="33"/>
        <v>-42733.360746268663</v>
      </c>
      <c r="J282" s="8">
        <f>Données!AN282</f>
        <v>15691</v>
      </c>
      <c r="K282" s="215">
        <f t="shared" si="34"/>
        <v>36912.898208955223</v>
      </c>
      <c r="L282" s="12">
        <f t="shared" si="35"/>
        <v>0</v>
      </c>
      <c r="M282" s="316">
        <f t="shared" si="36"/>
        <v>0</v>
      </c>
      <c r="O282" s="42">
        <f t="shared" si="37"/>
        <v>-42733.360746268663</v>
      </c>
      <c r="P282" s="273"/>
      <c r="Q282" s="228"/>
      <c r="R282" s="228"/>
      <c r="S282" s="228"/>
      <c r="T282" s="228"/>
      <c r="U282" s="228"/>
      <c r="AF282" s="11"/>
      <c r="AG282" s="11"/>
      <c r="AH282" s="11"/>
      <c r="AI282" s="11"/>
      <c r="AJ282" s="11"/>
      <c r="AK282" s="11"/>
      <c r="AL282" s="11"/>
    </row>
    <row r="283" spans="1:38" x14ac:dyDescent="0.25">
      <c r="A283" s="38">
        <f>+Données!A283</f>
        <v>5910</v>
      </c>
      <c r="B283" s="249" t="str">
        <f>+Données!B283</f>
        <v>Cronay</v>
      </c>
      <c r="C283" s="237">
        <f>+Ecrêtage!C283</f>
        <v>10599.974415584415</v>
      </c>
      <c r="D283" s="235"/>
      <c r="E283" s="237">
        <f>Données!AF283+Données!AG283+Données!AH283</f>
        <v>96724</v>
      </c>
      <c r="F283" s="235">
        <f t="shared" si="31"/>
        <v>84799.795324675317</v>
      </c>
      <c r="G283" s="8">
        <f t="shared" si="32"/>
        <v>11924.204675324683</v>
      </c>
      <c r="H283" s="316">
        <f t="shared" si="33"/>
        <v>-8943.1535064935124</v>
      </c>
      <c r="J283" s="8">
        <f>Données!AN283</f>
        <v>67031</v>
      </c>
      <c r="K283" s="215">
        <f t="shared" si="34"/>
        <v>10599.974415584415</v>
      </c>
      <c r="L283" s="12">
        <f t="shared" si="35"/>
        <v>56431.025584415584</v>
      </c>
      <c r="M283" s="316">
        <f t="shared" si="36"/>
        <v>-42323.269188311686</v>
      </c>
      <c r="O283" s="42">
        <f t="shared" si="37"/>
        <v>-51266.422694805195</v>
      </c>
      <c r="P283" s="273"/>
      <c r="Q283" s="228"/>
      <c r="R283" s="228"/>
      <c r="S283" s="228"/>
      <c r="T283" s="228"/>
      <c r="U283" s="228"/>
      <c r="AF283" s="11"/>
      <c r="AG283" s="11"/>
      <c r="AH283" s="11"/>
      <c r="AI283" s="11"/>
      <c r="AJ283" s="11"/>
      <c r="AK283" s="11"/>
      <c r="AL283" s="11"/>
    </row>
    <row r="284" spans="1:38" x14ac:dyDescent="0.25">
      <c r="A284" s="38">
        <f>+Données!A284</f>
        <v>5911</v>
      </c>
      <c r="B284" s="249" t="str">
        <f>+Données!B284</f>
        <v>Cuarny</v>
      </c>
      <c r="C284" s="237">
        <f>+Ecrêtage!C284</f>
        <v>7503.6479220779238</v>
      </c>
      <c r="D284" s="235"/>
      <c r="E284" s="237">
        <f>Données!AF284+Données!AG284+Données!AH284</f>
        <v>82256</v>
      </c>
      <c r="F284" s="235">
        <f t="shared" si="31"/>
        <v>60029.18337662339</v>
      </c>
      <c r="G284" s="8">
        <f t="shared" si="32"/>
        <v>22226.81662337661</v>
      </c>
      <c r="H284" s="316">
        <f t="shared" si="33"/>
        <v>-16670.112467532457</v>
      </c>
      <c r="J284" s="8">
        <f>Données!AN284</f>
        <v>18077</v>
      </c>
      <c r="K284" s="215">
        <f t="shared" si="34"/>
        <v>7503.6479220779238</v>
      </c>
      <c r="L284" s="12">
        <f t="shared" si="35"/>
        <v>10573.352077922076</v>
      </c>
      <c r="M284" s="316">
        <f t="shared" si="36"/>
        <v>-7930.0140584415567</v>
      </c>
      <c r="O284" s="42">
        <f t="shared" si="37"/>
        <v>-24600.126525974014</v>
      </c>
      <c r="P284" s="273"/>
      <c r="Q284" s="228"/>
      <c r="R284" s="228"/>
      <c r="S284" s="228"/>
      <c r="T284" s="228"/>
      <c r="U284" s="228"/>
      <c r="AF284" s="11"/>
      <c r="AG284" s="11"/>
      <c r="AH284" s="11"/>
      <c r="AI284" s="11"/>
      <c r="AJ284" s="11"/>
      <c r="AK284" s="11"/>
      <c r="AL284" s="11"/>
    </row>
    <row r="285" spans="1:38" x14ac:dyDescent="0.25">
      <c r="A285" s="38">
        <f>+Données!A285</f>
        <v>5912</v>
      </c>
      <c r="B285" s="249" t="str">
        <f>+Données!B285</f>
        <v>Démoret</v>
      </c>
      <c r="C285" s="237">
        <f>+Ecrêtage!C285</f>
        <v>4722.3875308641973</v>
      </c>
      <c r="D285" s="235"/>
      <c r="E285" s="237">
        <f>Données!AF285+Données!AG285+Données!AH285</f>
        <v>36221</v>
      </c>
      <c r="F285" s="235">
        <f t="shared" si="31"/>
        <v>37779.100246913578</v>
      </c>
      <c r="G285" s="8">
        <f t="shared" si="32"/>
        <v>0</v>
      </c>
      <c r="H285" s="316">
        <f t="shared" si="33"/>
        <v>0</v>
      </c>
      <c r="J285" s="8">
        <f>Données!AN285</f>
        <v>29223</v>
      </c>
      <c r="K285" s="215">
        <f t="shared" si="34"/>
        <v>4722.3875308641973</v>
      </c>
      <c r="L285" s="12">
        <f t="shared" si="35"/>
        <v>24500.612469135802</v>
      </c>
      <c r="M285" s="316">
        <f t="shared" si="36"/>
        <v>-18375.459351851852</v>
      </c>
      <c r="O285" s="42">
        <f t="shared" si="37"/>
        <v>-18375.459351851852</v>
      </c>
      <c r="P285" s="273"/>
      <c r="Q285" s="228"/>
      <c r="R285" s="228"/>
      <c r="S285" s="228"/>
      <c r="T285" s="228"/>
      <c r="U285" s="228"/>
      <c r="AF285" s="11"/>
      <c r="AG285" s="11"/>
      <c r="AH285" s="11"/>
      <c r="AI285" s="11"/>
      <c r="AJ285" s="11"/>
      <c r="AK285" s="11"/>
      <c r="AL285" s="11"/>
    </row>
    <row r="286" spans="1:38" x14ac:dyDescent="0.25">
      <c r="A286" s="38">
        <f>+Données!A286</f>
        <v>5913</v>
      </c>
      <c r="B286" s="249" t="str">
        <f>+Données!B286</f>
        <v>Donneloye</v>
      </c>
      <c r="C286" s="237">
        <f>+Ecrêtage!C286</f>
        <v>23893.15821917808</v>
      </c>
      <c r="D286" s="235"/>
      <c r="E286" s="237">
        <f>Données!AF286+Données!AG286+Données!AH286</f>
        <v>198953</v>
      </c>
      <c r="F286" s="235">
        <f t="shared" si="31"/>
        <v>191145.26575342464</v>
      </c>
      <c r="G286" s="8">
        <f t="shared" si="32"/>
        <v>7807.7342465753609</v>
      </c>
      <c r="H286" s="316">
        <f t="shared" si="33"/>
        <v>-5855.8006849315207</v>
      </c>
      <c r="J286" s="8">
        <f>Données!AN286</f>
        <v>51875</v>
      </c>
      <c r="K286" s="215">
        <f t="shared" si="34"/>
        <v>23893.15821917808</v>
      </c>
      <c r="L286" s="12">
        <f t="shared" si="35"/>
        <v>27981.84178082192</v>
      </c>
      <c r="M286" s="316">
        <f t="shared" si="36"/>
        <v>-20986.381335616439</v>
      </c>
      <c r="O286" s="42">
        <f t="shared" si="37"/>
        <v>-26842.18202054796</v>
      </c>
      <c r="P286" s="273"/>
      <c r="Q286" s="228"/>
      <c r="R286" s="228"/>
      <c r="S286" s="228"/>
      <c r="T286" s="228"/>
      <c r="U286" s="228"/>
      <c r="AF286" s="11"/>
      <c r="AG286" s="11"/>
      <c r="AH286" s="11"/>
      <c r="AI286" s="11"/>
      <c r="AJ286" s="11"/>
      <c r="AK286" s="11"/>
      <c r="AL286" s="11"/>
    </row>
    <row r="287" spans="1:38" x14ac:dyDescent="0.25">
      <c r="A287" s="38">
        <f>+Données!A287</f>
        <v>5914</v>
      </c>
      <c r="B287" s="249" t="str">
        <f>+Données!B287</f>
        <v>Ependes</v>
      </c>
      <c r="C287" s="237">
        <f>+Ecrêtage!C287</f>
        <v>9828.5374149659856</v>
      </c>
      <c r="D287" s="235"/>
      <c r="E287" s="237">
        <f>Données!AF287+Données!AG287+Données!AH287</f>
        <v>150455</v>
      </c>
      <c r="F287" s="235">
        <f t="shared" si="31"/>
        <v>78628.299319727885</v>
      </c>
      <c r="G287" s="8">
        <f t="shared" si="32"/>
        <v>71826.700680272115</v>
      </c>
      <c r="H287" s="316">
        <f t="shared" si="33"/>
        <v>-53870.025510204083</v>
      </c>
      <c r="J287" s="8">
        <f>Données!AN287</f>
        <v>17400</v>
      </c>
      <c r="K287" s="215">
        <f t="shared" si="34"/>
        <v>9828.5374149659856</v>
      </c>
      <c r="L287" s="12">
        <f t="shared" si="35"/>
        <v>7571.4625850340144</v>
      </c>
      <c r="M287" s="316">
        <f t="shared" si="36"/>
        <v>-5678.5969387755104</v>
      </c>
      <c r="O287" s="42">
        <f t="shared" si="37"/>
        <v>-59548.622448979593</v>
      </c>
      <c r="P287" s="273"/>
      <c r="Q287" s="228"/>
      <c r="R287" s="228"/>
      <c r="S287" s="228"/>
      <c r="T287" s="228"/>
      <c r="U287" s="228"/>
      <c r="AF287" s="11"/>
      <c r="AG287" s="11"/>
      <c r="AH287" s="11"/>
      <c r="AI287" s="11"/>
      <c r="AJ287" s="11"/>
      <c r="AK287" s="11"/>
      <c r="AL287" s="11"/>
    </row>
    <row r="288" spans="1:38" x14ac:dyDescent="0.25">
      <c r="A288" s="38">
        <f>+Données!A288</f>
        <v>5919</v>
      </c>
      <c r="B288" s="249" t="str">
        <f>+Données!B288</f>
        <v>Mathod</v>
      </c>
      <c r="C288" s="237">
        <f>+Ecrêtage!C288</f>
        <v>18684.230416666669</v>
      </c>
      <c r="D288" s="235"/>
      <c r="E288" s="237">
        <f>Données!AF288+Données!AG288+Données!AH288</f>
        <v>334649</v>
      </c>
      <c r="F288" s="235">
        <f t="shared" si="31"/>
        <v>149473.84333333335</v>
      </c>
      <c r="G288" s="8">
        <f t="shared" si="32"/>
        <v>185175.15666666665</v>
      </c>
      <c r="H288" s="316">
        <f t="shared" si="33"/>
        <v>-138881.36749999999</v>
      </c>
      <c r="J288" s="8">
        <f>Données!AN288</f>
        <v>21808</v>
      </c>
      <c r="K288" s="215">
        <f t="shared" si="34"/>
        <v>18684.230416666669</v>
      </c>
      <c r="L288" s="12">
        <f t="shared" si="35"/>
        <v>3123.769583333331</v>
      </c>
      <c r="M288" s="316">
        <f t="shared" si="36"/>
        <v>-2342.8271874999982</v>
      </c>
      <c r="O288" s="42">
        <f t="shared" si="37"/>
        <v>-141224.19468749998</v>
      </c>
      <c r="P288" s="273"/>
      <c r="Q288" s="228"/>
      <c r="R288" s="228"/>
      <c r="S288" s="228"/>
      <c r="T288" s="228"/>
      <c r="U288" s="228"/>
      <c r="AF288" s="11"/>
      <c r="AG288" s="11"/>
      <c r="AH288" s="11"/>
      <c r="AI288" s="11"/>
      <c r="AJ288" s="11"/>
      <c r="AK288" s="11"/>
      <c r="AL288" s="11"/>
    </row>
    <row r="289" spans="1:38" x14ac:dyDescent="0.25">
      <c r="A289" s="38">
        <f>+Données!A289</f>
        <v>5921</v>
      </c>
      <c r="B289" s="249" t="str">
        <f>+Données!B289</f>
        <v>Molondin</v>
      </c>
      <c r="C289" s="237">
        <f>+Ecrêtage!C289</f>
        <v>5874.5211111111121</v>
      </c>
      <c r="D289" s="235"/>
      <c r="E289" s="237">
        <f>Données!AF289+Données!AG289+Données!AH289</f>
        <v>54952</v>
      </c>
      <c r="F289" s="235">
        <f t="shared" si="31"/>
        <v>46996.168888888897</v>
      </c>
      <c r="G289" s="8">
        <f t="shared" si="32"/>
        <v>7955.8311111111034</v>
      </c>
      <c r="H289" s="316">
        <f t="shared" si="33"/>
        <v>-5966.8733333333275</v>
      </c>
      <c r="J289" s="8">
        <f>Données!AN289</f>
        <v>46883</v>
      </c>
      <c r="K289" s="215">
        <f t="shared" si="34"/>
        <v>5874.5211111111121</v>
      </c>
      <c r="L289" s="12">
        <f t="shared" si="35"/>
        <v>41008.478888888887</v>
      </c>
      <c r="M289" s="316">
        <f t="shared" si="36"/>
        <v>-30756.359166666665</v>
      </c>
      <c r="O289" s="42">
        <f t="shared" si="37"/>
        <v>-36723.232499999991</v>
      </c>
      <c r="P289" s="273"/>
      <c r="Q289" s="228"/>
      <c r="R289" s="228"/>
      <c r="S289" s="228"/>
      <c r="T289" s="228"/>
      <c r="U289" s="228"/>
      <c r="AF289" s="11"/>
      <c r="AG289" s="11"/>
      <c r="AH289" s="11"/>
      <c r="AI289" s="11"/>
      <c r="AJ289" s="11"/>
      <c r="AK289" s="11"/>
      <c r="AL289" s="11"/>
    </row>
    <row r="290" spans="1:38" x14ac:dyDescent="0.25">
      <c r="A290" s="38">
        <f>+Données!A290</f>
        <v>5922</v>
      </c>
      <c r="B290" s="249" t="str">
        <f>+Données!B290</f>
        <v>Montagny-près-Yverdon</v>
      </c>
      <c r="C290" s="237">
        <f>+Ecrêtage!C290</f>
        <v>39591.156899224814</v>
      </c>
      <c r="D290" s="235"/>
      <c r="E290" s="237">
        <f>Données!AF290+Données!AG290+Données!AH290</f>
        <v>514749</v>
      </c>
      <c r="F290" s="235">
        <f t="shared" si="31"/>
        <v>316729.25519379851</v>
      </c>
      <c r="G290" s="8">
        <f t="shared" si="32"/>
        <v>198019.74480620149</v>
      </c>
      <c r="H290" s="316">
        <f t="shared" si="33"/>
        <v>-148514.80860465113</v>
      </c>
      <c r="J290" s="8">
        <f>Données!AN290</f>
        <v>3861</v>
      </c>
      <c r="K290" s="215">
        <f t="shared" si="34"/>
        <v>39591.156899224814</v>
      </c>
      <c r="L290" s="12">
        <f t="shared" si="35"/>
        <v>0</v>
      </c>
      <c r="M290" s="316">
        <f t="shared" si="36"/>
        <v>0</v>
      </c>
      <c r="O290" s="42">
        <f t="shared" si="37"/>
        <v>-148514.80860465113</v>
      </c>
      <c r="P290" s="273"/>
      <c r="Q290" s="228"/>
      <c r="R290" s="228"/>
      <c r="S290" s="228"/>
      <c r="T290" s="228"/>
      <c r="U290" s="228"/>
      <c r="AF290" s="11"/>
      <c r="AG290" s="11"/>
      <c r="AH290" s="11"/>
      <c r="AI290" s="11"/>
      <c r="AJ290" s="11"/>
      <c r="AK290" s="11"/>
      <c r="AL290" s="11"/>
    </row>
    <row r="291" spans="1:38" x14ac:dyDescent="0.25">
      <c r="A291" s="38">
        <f>+Données!A291</f>
        <v>5923</v>
      </c>
      <c r="B291" s="249" t="str">
        <f>+Données!B291</f>
        <v>Oppens</v>
      </c>
      <c r="C291" s="237">
        <f>+Ecrêtage!C291</f>
        <v>5096.0285185185185</v>
      </c>
      <c r="D291" s="235"/>
      <c r="E291" s="237">
        <f>Données!AF291+Données!AG291+Données!AH291</f>
        <v>72430</v>
      </c>
      <c r="F291" s="235">
        <f t="shared" si="31"/>
        <v>40768.228148148148</v>
      </c>
      <c r="G291" s="8">
        <f t="shared" si="32"/>
        <v>31661.771851851852</v>
      </c>
      <c r="H291" s="316">
        <f t="shared" si="33"/>
        <v>-23746.328888888889</v>
      </c>
      <c r="J291" s="8">
        <f>Données!AN291</f>
        <v>22810</v>
      </c>
      <c r="K291" s="215">
        <f t="shared" si="34"/>
        <v>5096.0285185185185</v>
      </c>
      <c r="L291" s="12">
        <f t="shared" si="35"/>
        <v>17713.97148148148</v>
      </c>
      <c r="M291" s="316">
        <f t="shared" si="36"/>
        <v>-13285.47861111111</v>
      </c>
      <c r="O291" s="42">
        <f t="shared" si="37"/>
        <v>-37031.807499999995</v>
      </c>
      <c r="P291" s="273"/>
      <c r="Q291" s="228"/>
      <c r="R291" s="228"/>
      <c r="S291" s="228"/>
      <c r="T291" s="228"/>
      <c r="U291" s="228"/>
      <c r="AF291" s="11"/>
      <c r="AG291" s="11"/>
      <c r="AH291" s="11"/>
      <c r="AI291" s="11"/>
      <c r="AJ291" s="11"/>
      <c r="AK291" s="11"/>
      <c r="AL291" s="11"/>
    </row>
    <row r="292" spans="1:38" x14ac:dyDescent="0.25">
      <c r="A292" s="38">
        <f>+Données!A292</f>
        <v>5924</v>
      </c>
      <c r="B292" s="249" t="str">
        <f>+Données!B292</f>
        <v>Orges</v>
      </c>
      <c r="C292" s="237">
        <f>+Ecrêtage!C292</f>
        <v>13109.277432432435</v>
      </c>
      <c r="D292" s="235"/>
      <c r="E292" s="237">
        <f>Données!AF292+Données!AG292+Données!AH292</f>
        <v>144172</v>
      </c>
      <c r="F292" s="235">
        <f t="shared" si="31"/>
        <v>104874.21945945948</v>
      </c>
      <c r="G292" s="8">
        <f t="shared" si="32"/>
        <v>39297.780540540523</v>
      </c>
      <c r="H292" s="316">
        <f t="shared" si="33"/>
        <v>-29473.335405405393</v>
      </c>
      <c r="J292" s="8">
        <f>Données!AN292</f>
        <v>-1330</v>
      </c>
      <c r="K292" s="215">
        <f t="shared" si="34"/>
        <v>13109.277432432435</v>
      </c>
      <c r="L292" s="12">
        <f t="shared" si="35"/>
        <v>0</v>
      </c>
      <c r="M292" s="316">
        <f t="shared" si="36"/>
        <v>0</v>
      </c>
      <c r="O292" s="42">
        <f t="shared" si="37"/>
        <v>-29473.335405405393</v>
      </c>
      <c r="P292" s="273"/>
      <c r="Q292" s="228"/>
      <c r="R292" s="228"/>
      <c r="S292" s="228"/>
      <c r="T292" s="228"/>
      <c r="U292" s="228"/>
      <c r="AF292" s="11"/>
      <c r="AG292" s="11"/>
      <c r="AH292" s="11"/>
      <c r="AI292" s="11"/>
      <c r="AJ292" s="11"/>
      <c r="AK292" s="11"/>
      <c r="AL292" s="11"/>
    </row>
    <row r="293" spans="1:38" x14ac:dyDescent="0.25">
      <c r="A293" s="38">
        <f>+Données!A293</f>
        <v>5925</v>
      </c>
      <c r="B293" s="249" t="str">
        <f>+Données!B293</f>
        <v>Orzens</v>
      </c>
      <c r="C293" s="237">
        <f>+Ecrêtage!C293</f>
        <v>5230.3916455696199</v>
      </c>
      <c r="D293" s="235"/>
      <c r="E293" s="237">
        <f>Données!AF293+Données!AG293+Données!AH293</f>
        <v>38612</v>
      </c>
      <c r="F293" s="235">
        <f t="shared" si="31"/>
        <v>41843.133164556959</v>
      </c>
      <c r="G293" s="8">
        <f t="shared" si="32"/>
        <v>0</v>
      </c>
      <c r="H293" s="316">
        <f t="shared" si="33"/>
        <v>0</v>
      </c>
      <c r="J293" s="8">
        <f>Données!AN293</f>
        <v>18397</v>
      </c>
      <c r="K293" s="215">
        <f t="shared" si="34"/>
        <v>5230.3916455696199</v>
      </c>
      <c r="L293" s="12">
        <f t="shared" si="35"/>
        <v>13166.60835443038</v>
      </c>
      <c r="M293" s="316">
        <f t="shared" si="36"/>
        <v>-9874.9562658227842</v>
      </c>
      <c r="O293" s="42">
        <f t="shared" si="37"/>
        <v>-9874.9562658227842</v>
      </c>
      <c r="P293" s="273"/>
      <c r="Q293" s="228"/>
      <c r="R293" s="228"/>
      <c r="S293" s="228"/>
      <c r="T293" s="228"/>
      <c r="U293" s="228"/>
      <c r="AF293" s="11"/>
      <c r="AG293" s="11"/>
      <c r="AH293" s="11"/>
      <c r="AI293" s="11"/>
      <c r="AJ293" s="11"/>
      <c r="AK293" s="11"/>
      <c r="AL293" s="11"/>
    </row>
    <row r="294" spans="1:38" x14ac:dyDescent="0.25">
      <c r="A294" s="38">
        <f>+Données!A294</f>
        <v>5926</v>
      </c>
      <c r="B294" s="249" t="str">
        <f>+Données!B294</f>
        <v>Pomy</v>
      </c>
      <c r="C294" s="237">
        <f>+Ecrêtage!C294</f>
        <v>27874.142394366198</v>
      </c>
      <c r="D294" s="235"/>
      <c r="E294" s="237">
        <f>Données!AF294+Données!AG294+Données!AH294</f>
        <v>261616</v>
      </c>
      <c r="F294" s="235">
        <f t="shared" si="31"/>
        <v>222993.13915492958</v>
      </c>
      <c r="G294" s="8">
        <f t="shared" si="32"/>
        <v>38622.86084507042</v>
      </c>
      <c r="H294" s="316">
        <f t="shared" si="33"/>
        <v>-28967.145633802815</v>
      </c>
      <c r="J294" s="8">
        <f>Données!AN294</f>
        <v>49274</v>
      </c>
      <c r="K294" s="215">
        <f t="shared" si="34"/>
        <v>27874.142394366198</v>
      </c>
      <c r="L294" s="12">
        <f t="shared" si="35"/>
        <v>21399.857605633802</v>
      </c>
      <c r="M294" s="316">
        <f t="shared" si="36"/>
        <v>-16049.893204225351</v>
      </c>
      <c r="O294" s="42">
        <f t="shared" si="37"/>
        <v>-45017.038838028166</v>
      </c>
      <c r="P294" s="273"/>
      <c r="Q294" s="228"/>
      <c r="R294" s="228"/>
      <c r="S294" s="228"/>
      <c r="T294" s="228"/>
      <c r="U294" s="228"/>
      <c r="AF294" s="11"/>
      <c r="AG294" s="11"/>
      <c r="AH294" s="11"/>
      <c r="AI294" s="11"/>
      <c r="AJ294" s="11"/>
      <c r="AK294" s="11"/>
      <c r="AL294" s="11"/>
    </row>
    <row r="295" spans="1:38" x14ac:dyDescent="0.25">
      <c r="A295" s="38">
        <f>+Données!A295</f>
        <v>5928</v>
      </c>
      <c r="B295" s="249" t="str">
        <f>+Données!B295</f>
        <v>Rovray</v>
      </c>
      <c r="C295" s="237">
        <f>+Ecrêtage!C295</f>
        <v>5459.4458741258732</v>
      </c>
      <c r="D295" s="235"/>
      <c r="E295" s="237">
        <f>Données!AF295+Données!AG295+Données!AH295</f>
        <v>74966</v>
      </c>
      <c r="F295" s="235">
        <f t="shared" si="31"/>
        <v>43675.566993006985</v>
      </c>
      <c r="G295" s="8">
        <f t="shared" si="32"/>
        <v>31290.433006993015</v>
      </c>
      <c r="H295" s="316">
        <f t="shared" si="33"/>
        <v>-23467.824755244761</v>
      </c>
      <c r="J295" s="8">
        <f>Données!AN295</f>
        <v>6884</v>
      </c>
      <c r="K295" s="215">
        <f t="shared" si="34"/>
        <v>5459.4458741258732</v>
      </c>
      <c r="L295" s="12">
        <f t="shared" si="35"/>
        <v>1424.5541258741268</v>
      </c>
      <c r="M295" s="316">
        <f t="shared" si="36"/>
        <v>-1068.4155944055951</v>
      </c>
      <c r="O295" s="42">
        <f t="shared" si="37"/>
        <v>-24536.240349650358</v>
      </c>
      <c r="P295" s="273"/>
      <c r="Q295" s="228"/>
      <c r="R295" s="228"/>
      <c r="S295" s="228"/>
      <c r="T295" s="228"/>
      <c r="U295" s="228"/>
      <c r="AF295" s="11"/>
      <c r="AG295" s="11"/>
      <c r="AH295" s="11"/>
      <c r="AI295" s="11"/>
      <c r="AJ295" s="11"/>
      <c r="AK295" s="11"/>
      <c r="AL295" s="11"/>
    </row>
    <row r="296" spans="1:38" x14ac:dyDescent="0.25">
      <c r="A296" s="38">
        <f>+Données!A296</f>
        <v>5929</v>
      </c>
      <c r="B296" s="249" t="str">
        <f>+Données!B296</f>
        <v>Suchy</v>
      </c>
      <c r="C296" s="237">
        <f>+Ecrêtage!C296</f>
        <v>20264.63825</v>
      </c>
      <c r="D296" s="235"/>
      <c r="E296" s="237">
        <f>Données!AF296+Données!AG296+Données!AH296</f>
        <v>191693</v>
      </c>
      <c r="F296" s="235">
        <f t="shared" si="31"/>
        <v>162117.106</v>
      </c>
      <c r="G296" s="8">
        <f t="shared" si="32"/>
        <v>29575.894</v>
      </c>
      <c r="H296" s="316">
        <f t="shared" si="33"/>
        <v>-22181.9205</v>
      </c>
      <c r="J296" s="8">
        <f>Données!AN296</f>
        <v>37695</v>
      </c>
      <c r="K296" s="215">
        <f t="shared" si="34"/>
        <v>20264.63825</v>
      </c>
      <c r="L296" s="12">
        <f t="shared" si="35"/>
        <v>17430.36175</v>
      </c>
      <c r="M296" s="316">
        <f t="shared" si="36"/>
        <v>-13072.771312500001</v>
      </c>
      <c r="O296" s="42">
        <f t="shared" si="37"/>
        <v>-35254.691812500001</v>
      </c>
      <c r="P296" s="273"/>
      <c r="Q296" s="228"/>
      <c r="R296" s="228"/>
      <c r="S296" s="228"/>
      <c r="T296" s="228"/>
      <c r="U296" s="228"/>
      <c r="AF296" s="11"/>
      <c r="AG296" s="11"/>
      <c r="AH296" s="11"/>
      <c r="AI296" s="11"/>
      <c r="AJ296" s="11"/>
      <c r="AK296" s="11"/>
      <c r="AL296" s="11"/>
    </row>
    <row r="297" spans="1:38" x14ac:dyDescent="0.25">
      <c r="A297" s="38">
        <f>+Données!A297</f>
        <v>5930</v>
      </c>
      <c r="B297" s="249" t="str">
        <f>+Données!B297</f>
        <v>Suscévaz</v>
      </c>
      <c r="C297" s="237">
        <f>+Ecrêtage!C297</f>
        <v>6661.7480555555558</v>
      </c>
      <c r="D297" s="235"/>
      <c r="E297" s="237">
        <f>Données!AF297+Données!AG297+Données!AH297</f>
        <v>90385</v>
      </c>
      <c r="F297" s="235">
        <f t="shared" si="31"/>
        <v>53293.984444444446</v>
      </c>
      <c r="G297" s="8">
        <f t="shared" si="32"/>
        <v>37091.015555555554</v>
      </c>
      <c r="H297" s="316">
        <f t="shared" si="33"/>
        <v>-27818.261666666665</v>
      </c>
      <c r="J297" s="8">
        <f>Données!AN297</f>
        <v>6852</v>
      </c>
      <c r="K297" s="215">
        <f t="shared" si="34"/>
        <v>6661.7480555555558</v>
      </c>
      <c r="L297" s="12">
        <f t="shared" si="35"/>
        <v>190.25194444444423</v>
      </c>
      <c r="M297" s="316">
        <f t="shared" si="36"/>
        <v>-142.68895833333318</v>
      </c>
      <c r="O297" s="42">
        <f t="shared" si="37"/>
        <v>-27960.950624999998</v>
      </c>
      <c r="P297" s="273"/>
      <c r="Q297" s="228"/>
      <c r="R297" s="228"/>
      <c r="S297" s="228"/>
      <c r="T297" s="228"/>
      <c r="U297" s="228"/>
      <c r="AF297" s="11"/>
      <c r="AG297" s="11"/>
      <c r="AH297" s="11"/>
      <c r="AI297" s="11"/>
      <c r="AJ297" s="11"/>
      <c r="AK297" s="11"/>
      <c r="AL297" s="11"/>
    </row>
    <row r="298" spans="1:38" x14ac:dyDescent="0.25">
      <c r="A298" s="38">
        <f>+Données!A298</f>
        <v>5931</v>
      </c>
      <c r="B298" s="249" t="str">
        <f>+Données!B298</f>
        <v>Treycovagnes</v>
      </c>
      <c r="C298" s="237">
        <f>+Ecrêtage!C298</f>
        <v>15269.573333333334</v>
      </c>
      <c r="D298" s="235"/>
      <c r="E298" s="237">
        <f>Données!AF298+Données!AG298+Données!AH298</f>
        <v>204771</v>
      </c>
      <c r="F298" s="235">
        <f t="shared" si="31"/>
        <v>122156.58666666667</v>
      </c>
      <c r="G298" s="8">
        <f t="shared" si="32"/>
        <v>82614.41333333333</v>
      </c>
      <c r="H298" s="316">
        <f t="shared" si="33"/>
        <v>-61960.81</v>
      </c>
      <c r="J298" s="8">
        <f>Données!AN298</f>
        <v>882</v>
      </c>
      <c r="K298" s="215">
        <f t="shared" si="34"/>
        <v>15269.573333333334</v>
      </c>
      <c r="L298" s="12">
        <f t="shared" si="35"/>
        <v>0</v>
      </c>
      <c r="M298" s="316">
        <f t="shared" si="36"/>
        <v>0</v>
      </c>
      <c r="O298" s="42">
        <f t="shared" si="37"/>
        <v>-61960.81</v>
      </c>
      <c r="P298" s="273"/>
      <c r="Q298" s="228"/>
      <c r="R298" s="228"/>
      <c r="S298" s="228"/>
      <c r="T298" s="228"/>
      <c r="U298" s="228"/>
      <c r="AF298" s="11"/>
      <c r="AG298" s="11"/>
      <c r="AH298" s="11"/>
      <c r="AI298" s="11"/>
      <c r="AJ298" s="11"/>
      <c r="AK298" s="11"/>
      <c r="AL298" s="11"/>
    </row>
    <row r="299" spans="1:38" x14ac:dyDescent="0.25">
      <c r="A299" s="38">
        <f>+Données!A299</f>
        <v>5932</v>
      </c>
      <c r="B299" s="249" t="str">
        <f>+Données!B299</f>
        <v>Ursins</v>
      </c>
      <c r="C299" s="237">
        <f>+Ecrêtage!C299</f>
        <v>7703.2953333333353</v>
      </c>
      <c r="D299" s="235"/>
      <c r="E299" s="237">
        <f>Données!AF299+Données!AG299+Données!AH299</f>
        <v>42779</v>
      </c>
      <c r="F299" s="235">
        <f t="shared" si="31"/>
        <v>61626.362666666682</v>
      </c>
      <c r="G299" s="8">
        <f t="shared" si="32"/>
        <v>0</v>
      </c>
      <c r="H299" s="316">
        <f t="shared" si="33"/>
        <v>0</v>
      </c>
      <c r="J299" s="8">
        <f>Données!AN299</f>
        <v>18412</v>
      </c>
      <c r="K299" s="215">
        <f t="shared" si="34"/>
        <v>7703.2953333333353</v>
      </c>
      <c r="L299" s="12">
        <f t="shared" si="35"/>
        <v>10708.704666666665</v>
      </c>
      <c r="M299" s="316">
        <f t="shared" si="36"/>
        <v>-8031.5284999999985</v>
      </c>
      <c r="O299" s="42">
        <f t="shared" si="37"/>
        <v>-8031.5284999999985</v>
      </c>
      <c r="P299" s="273"/>
      <c r="Q299" s="228"/>
      <c r="R299" s="228"/>
      <c r="S299" s="228"/>
      <c r="T299" s="228"/>
      <c r="U299" s="228"/>
      <c r="AF299" s="11"/>
      <c r="AG299" s="11"/>
      <c r="AH299" s="11"/>
      <c r="AI299" s="11"/>
      <c r="AJ299" s="11"/>
      <c r="AK299" s="11"/>
      <c r="AL299" s="11"/>
    </row>
    <row r="300" spans="1:38" x14ac:dyDescent="0.25">
      <c r="A300" s="38">
        <f>+Données!A300</f>
        <v>5933</v>
      </c>
      <c r="B300" s="249" t="str">
        <f>+Données!B300</f>
        <v>Valeyres-sous-Montagny</v>
      </c>
      <c r="C300" s="237">
        <f>+Ecrêtage!C300</f>
        <v>19606.455886524818</v>
      </c>
      <c r="D300" s="235"/>
      <c r="E300" s="237">
        <f>Données!AF300+Données!AG300+Données!AH300</f>
        <v>746506</v>
      </c>
      <c r="F300" s="235">
        <f t="shared" si="31"/>
        <v>156851.64709219855</v>
      </c>
      <c r="G300" s="8">
        <f t="shared" si="32"/>
        <v>589654.35290780151</v>
      </c>
      <c r="H300" s="316">
        <f t="shared" si="33"/>
        <v>-442240.76468085113</v>
      </c>
      <c r="J300" s="8">
        <f>Données!AN300</f>
        <v>23521</v>
      </c>
      <c r="K300" s="215">
        <f t="shared" si="34"/>
        <v>19606.455886524818</v>
      </c>
      <c r="L300" s="12">
        <f t="shared" si="35"/>
        <v>3914.5441134751818</v>
      </c>
      <c r="M300" s="316">
        <f t="shared" si="36"/>
        <v>-2935.9080851063864</v>
      </c>
      <c r="O300" s="42">
        <f t="shared" si="37"/>
        <v>-445176.67276595754</v>
      </c>
      <c r="P300" s="273"/>
      <c r="Q300" s="228"/>
      <c r="R300" s="228"/>
      <c r="S300" s="228"/>
      <c r="T300" s="228"/>
      <c r="U300" s="228"/>
      <c r="AF300" s="11"/>
      <c r="AG300" s="11"/>
      <c r="AH300" s="11"/>
      <c r="AI300" s="11"/>
      <c r="AJ300" s="11"/>
      <c r="AK300" s="11"/>
      <c r="AL300" s="11"/>
    </row>
    <row r="301" spans="1:38" x14ac:dyDescent="0.25">
      <c r="A301" s="38">
        <f>+Données!A301</f>
        <v>5934</v>
      </c>
      <c r="B301" s="249" t="str">
        <f>+Données!B301</f>
        <v>Valeyres-sous-Ursins</v>
      </c>
      <c r="C301" s="237">
        <f>+Ecrêtage!C301</f>
        <v>7018.2764935064943</v>
      </c>
      <c r="D301" s="235"/>
      <c r="E301" s="237">
        <f>Données!AF301+Données!AG301+Données!AH301</f>
        <v>34134</v>
      </c>
      <c r="F301" s="235">
        <f t="shared" si="31"/>
        <v>56146.211948051954</v>
      </c>
      <c r="G301" s="8">
        <f t="shared" si="32"/>
        <v>0</v>
      </c>
      <c r="H301" s="316">
        <f t="shared" si="33"/>
        <v>0</v>
      </c>
      <c r="J301" s="8">
        <f>Données!AN301</f>
        <v>16718</v>
      </c>
      <c r="K301" s="215">
        <f t="shared" si="34"/>
        <v>7018.2764935064943</v>
      </c>
      <c r="L301" s="12">
        <f t="shared" si="35"/>
        <v>9699.7235064935048</v>
      </c>
      <c r="M301" s="316">
        <f t="shared" si="36"/>
        <v>-7274.7926298701286</v>
      </c>
      <c r="O301" s="42">
        <f t="shared" si="37"/>
        <v>-7274.7926298701286</v>
      </c>
      <c r="P301" s="273"/>
      <c r="Q301" s="228"/>
      <c r="R301" s="228"/>
      <c r="S301" s="228"/>
      <c r="T301" s="228"/>
      <c r="U301" s="228"/>
      <c r="AF301" s="11"/>
      <c r="AG301" s="11"/>
      <c r="AH301" s="11"/>
      <c r="AI301" s="11"/>
      <c r="AJ301" s="11"/>
      <c r="AK301" s="11"/>
      <c r="AL301" s="11"/>
    </row>
    <row r="302" spans="1:38" x14ac:dyDescent="0.25">
      <c r="A302" s="38">
        <f>+Données!A302</f>
        <v>5935</v>
      </c>
      <c r="B302" s="249" t="str">
        <f>+Données!B302</f>
        <v>Villars-Epeney</v>
      </c>
      <c r="C302" s="237">
        <f>+Ecrêtage!C302</f>
        <v>3448.2056666666667</v>
      </c>
      <c r="D302" s="235"/>
      <c r="E302" s="237">
        <f>Données!AF302+Données!AG302+Données!AH302</f>
        <v>21950</v>
      </c>
      <c r="F302" s="235">
        <f t="shared" si="31"/>
        <v>27585.645333333334</v>
      </c>
      <c r="G302" s="8">
        <f t="shared" si="32"/>
        <v>0</v>
      </c>
      <c r="H302" s="316">
        <f t="shared" si="33"/>
        <v>0</v>
      </c>
      <c r="J302" s="8">
        <f>Données!AN302</f>
        <v>16647</v>
      </c>
      <c r="K302" s="215">
        <f t="shared" si="34"/>
        <v>3448.2056666666667</v>
      </c>
      <c r="L302" s="12">
        <f t="shared" si="35"/>
        <v>13198.794333333333</v>
      </c>
      <c r="M302" s="316">
        <f t="shared" si="36"/>
        <v>-9899.0957500000004</v>
      </c>
      <c r="O302" s="42">
        <f t="shared" si="37"/>
        <v>-9899.0957500000004</v>
      </c>
      <c r="P302" s="273"/>
      <c r="Q302" s="228"/>
      <c r="R302" s="228"/>
      <c r="S302" s="228"/>
      <c r="T302" s="228"/>
      <c r="U302" s="228"/>
      <c r="AF302" s="11"/>
      <c r="AG302" s="11"/>
      <c r="AH302" s="11"/>
      <c r="AI302" s="11"/>
      <c r="AJ302" s="11"/>
      <c r="AK302" s="11"/>
      <c r="AL302" s="11"/>
    </row>
    <row r="303" spans="1:38" x14ac:dyDescent="0.25">
      <c r="A303" s="38">
        <f>+Données!A303</f>
        <v>5937</v>
      </c>
      <c r="B303" s="249" t="str">
        <f>+Données!B303</f>
        <v>Vugelles-La Mothe</v>
      </c>
      <c r="C303" s="237">
        <f>+Ecrêtage!C303</f>
        <v>3479.4948775510202</v>
      </c>
      <c r="D303" s="235"/>
      <c r="E303" s="237">
        <f>Données!AF303+Données!AG303+Données!AH303</f>
        <v>52557</v>
      </c>
      <c r="F303" s="235">
        <f t="shared" si="31"/>
        <v>27835.959020408161</v>
      </c>
      <c r="G303" s="8">
        <f t="shared" si="32"/>
        <v>24721.040979591839</v>
      </c>
      <c r="H303" s="316">
        <f t="shared" si="33"/>
        <v>-18540.780734693879</v>
      </c>
      <c r="J303" s="8">
        <f>Données!AN303</f>
        <v>7157</v>
      </c>
      <c r="K303" s="215">
        <f t="shared" si="34"/>
        <v>3479.4948775510202</v>
      </c>
      <c r="L303" s="12">
        <f t="shared" si="35"/>
        <v>3677.5051224489798</v>
      </c>
      <c r="M303" s="316">
        <f t="shared" si="36"/>
        <v>-2758.1288418367349</v>
      </c>
      <c r="O303" s="42">
        <f t="shared" si="37"/>
        <v>-21298.909576530612</v>
      </c>
      <c r="P303" s="273"/>
      <c r="Q303" s="228"/>
      <c r="R303" s="228"/>
      <c r="S303" s="228"/>
      <c r="T303" s="228"/>
      <c r="U303" s="228"/>
      <c r="AF303" s="11"/>
      <c r="AG303" s="11"/>
      <c r="AH303" s="11"/>
      <c r="AI303" s="11"/>
      <c r="AJ303" s="11"/>
      <c r="AK303" s="11"/>
      <c r="AL303" s="11"/>
    </row>
    <row r="304" spans="1:38" x14ac:dyDescent="0.25">
      <c r="A304" s="38">
        <f>+Données!A304</f>
        <v>5938</v>
      </c>
      <c r="B304" s="249" t="str">
        <f>+Données!B304</f>
        <v>Yverdon-les-Bains</v>
      </c>
      <c r="C304" s="237">
        <f>+Ecrêtage!C304</f>
        <v>762594.09693333332</v>
      </c>
      <c r="D304" s="235"/>
      <c r="E304" s="237">
        <f>Données!AF304+Données!AG304+Données!AH304</f>
        <v>19112662</v>
      </c>
      <c r="F304" s="235">
        <f t="shared" si="31"/>
        <v>6100752.7754666666</v>
      </c>
      <c r="G304" s="8">
        <f t="shared" si="32"/>
        <v>13011909.224533334</v>
      </c>
      <c r="H304" s="316">
        <f t="shared" si="33"/>
        <v>-9758931.9184000008</v>
      </c>
      <c r="J304" s="8">
        <f>Données!AN304</f>
        <v>189027</v>
      </c>
      <c r="K304" s="215">
        <f t="shared" si="34"/>
        <v>762594.09693333332</v>
      </c>
      <c r="L304" s="12">
        <f t="shared" si="35"/>
        <v>0</v>
      </c>
      <c r="M304" s="316">
        <f t="shared" si="36"/>
        <v>0</v>
      </c>
      <c r="O304" s="42">
        <f t="shared" si="37"/>
        <v>-9758931.9184000008</v>
      </c>
      <c r="P304" s="273"/>
      <c r="Q304" s="228"/>
      <c r="R304" s="228"/>
      <c r="S304" s="228"/>
      <c r="T304" s="228"/>
      <c r="U304" s="228"/>
      <c r="AF304" s="11"/>
      <c r="AG304" s="11"/>
      <c r="AH304" s="11"/>
      <c r="AI304" s="11"/>
      <c r="AJ304" s="11"/>
      <c r="AK304" s="11"/>
      <c r="AL304" s="11"/>
    </row>
    <row r="305" spans="1:38" x14ac:dyDescent="0.25">
      <c r="A305" s="38">
        <f>+Données!A305</f>
        <v>5939</v>
      </c>
      <c r="B305" s="249" t="str">
        <f>+Données!B305</f>
        <v>Yvonand</v>
      </c>
      <c r="C305" s="237">
        <f>+Ecrêtage!C305</f>
        <v>105325.16447552449</v>
      </c>
      <c r="D305" s="235"/>
      <c r="E305" s="143">
        <f>Données!AF305+Données!AG305+Données!AH305</f>
        <v>1435505</v>
      </c>
      <c r="F305" s="235">
        <f t="shared" si="31"/>
        <v>842601.31580419594</v>
      </c>
      <c r="G305" s="8">
        <f t="shared" si="32"/>
        <v>592903.68419580406</v>
      </c>
      <c r="H305" s="316">
        <f t="shared" si="33"/>
        <v>-444677.76314685307</v>
      </c>
      <c r="J305" s="227">
        <f>Données!AN305</f>
        <v>117978</v>
      </c>
      <c r="K305" s="217">
        <f t="shared" si="34"/>
        <v>105325.16447552449</v>
      </c>
      <c r="L305" s="51">
        <f t="shared" si="35"/>
        <v>12652.835524475508</v>
      </c>
      <c r="M305" s="335">
        <f t="shared" si="36"/>
        <v>-9489.6266433566307</v>
      </c>
      <c r="O305" s="65">
        <f t="shared" si="37"/>
        <v>-454167.38979020971</v>
      </c>
      <c r="P305" s="273"/>
      <c r="Q305" s="228"/>
      <c r="R305" s="228"/>
      <c r="S305" s="228"/>
      <c r="T305" s="228"/>
      <c r="U305" s="228"/>
      <c r="AF305" s="11"/>
      <c r="AG305" s="11"/>
      <c r="AH305" s="11"/>
      <c r="AI305" s="11"/>
      <c r="AJ305" s="11"/>
      <c r="AK305" s="11"/>
      <c r="AL305" s="11"/>
    </row>
    <row r="306" spans="1:38" x14ac:dyDescent="0.25">
      <c r="A306" s="56"/>
      <c r="B306" s="174">
        <f>COUNTA(B6:B305)</f>
        <v>300</v>
      </c>
      <c r="C306" s="9">
        <f t="shared" ref="C306:M306" si="38">SUM(C6:C305)</f>
        <v>39490853.970660269</v>
      </c>
      <c r="E306" s="227">
        <f t="shared" si="38"/>
        <v>490228216.64999998</v>
      </c>
      <c r="F306" s="175">
        <f t="shared" si="38"/>
        <v>315926831.76528215</v>
      </c>
      <c r="G306" s="9">
        <f t="shared" si="38"/>
        <v>225550987.29353726</v>
      </c>
      <c r="H306" s="317">
        <f t="shared" si="38"/>
        <v>-169163240.47015297</v>
      </c>
      <c r="J306" s="227">
        <f t="shared" si="38"/>
        <v>21606085</v>
      </c>
      <c r="K306" s="16">
        <f t="shared" si="38"/>
        <v>39490853.970660269</v>
      </c>
      <c r="L306" s="9">
        <f t="shared" si="38"/>
        <v>8415603.4050593451</v>
      </c>
      <c r="M306" s="335">
        <f t="shared" si="38"/>
        <v>-6311702.5537945097</v>
      </c>
      <c r="O306" s="30">
        <f>SUM(O6:O305)</f>
        <v>-175474943.02394748</v>
      </c>
      <c r="P306" s="273"/>
      <c r="Q306" s="219"/>
      <c r="AF306" s="11"/>
      <c r="AG306" s="11"/>
      <c r="AH306" s="11"/>
      <c r="AI306" s="11"/>
      <c r="AJ306" s="11"/>
      <c r="AK306" s="11"/>
      <c r="AL306" s="11"/>
    </row>
  </sheetData>
  <mergeCells count="9">
    <mergeCell ref="O4:O5"/>
    <mergeCell ref="I1:J1"/>
    <mergeCell ref="C4:C5"/>
    <mergeCell ref="B4:B5"/>
    <mergeCell ref="A4:A5"/>
    <mergeCell ref="K4:K5"/>
    <mergeCell ref="J4:J5"/>
    <mergeCell ref="F4:F5"/>
    <mergeCell ref="E4:E5"/>
  </mergeCells>
  <phoneticPr fontId="0" type="noConversion"/>
  <hyperlinks>
    <hyperlink ref="G1" location="Solidarité!A1" display="← Précédent" xr:uid="{5A8E4973-17D6-4687-9CE6-45B0575EDBAD}"/>
    <hyperlink ref="H1" location="'Table des matières'!A1" display="Table des             matières" xr:uid="{04BE0D59-7790-474E-8080-9D72D4E0F66D}"/>
    <hyperlink ref="I1" location="'6.4. Financement'!A1" display="Suivant →" xr:uid="{E345551C-124C-4CBD-9876-7C5AAF6D130D}"/>
    <hyperlink ref="I1:J1" location="Effort!A1" display="Suivant →" xr:uid="{309F21F1-9A18-4F3D-BDE2-8C55C3D34BC3}"/>
  </hyperlinks>
  <printOptions horizontalCentered="1"/>
  <pageMargins left="0" right="0" top="0" bottom="0" header="0.51181102362204722" footer="0.51181102362204722"/>
  <pageSetup paperSize="9" scale="64" orientation="landscape" horizontalDpi="1200" verticalDpi="1200" r:id="rId1"/>
  <headerFooter alignWithMargins="0"/>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Feuil13">
    <tabColor theme="6" tint="0.39997558519241921"/>
  </sheetPr>
  <dimension ref="A1:X312"/>
  <sheetViews>
    <sheetView workbookViewId="0">
      <pane ySplit="5" topLeftCell="A6" activePane="bottomLeft" state="frozen"/>
      <selection activeCell="I306" sqref="I306"/>
      <selection pane="bottomLeft" activeCell="A6" sqref="A6"/>
    </sheetView>
  </sheetViews>
  <sheetFormatPr baseColWidth="10" defaultColWidth="10.75" defaultRowHeight="15" x14ac:dyDescent="0.25"/>
  <cols>
    <col min="1" max="1" width="7.25" style="11" customWidth="1"/>
    <col min="2" max="2" width="21.375" style="11" customWidth="1"/>
    <col min="3" max="3" width="12.625" style="11" bestFit="1" customWidth="1"/>
    <col min="4" max="4" width="13.25" style="11" customWidth="1"/>
    <col min="5" max="6" width="13.125" style="11" customWidth="1"/>
    <col min="7" max="7" width="13.125" style="219" customWidth="1"/>
    <col min="8" max="9" width="13.125" style="11" customWidth="1"/>
    <col min="10" max="10" width="9.125" style="13" customWidth="1"/>
    <col min="11" max="11" width="10.625" style="13" customWidth="1"/>
    <col min="12" max="13" width="12.125" style="11" customWidth="1"/>
    <col min="14" max="16" width="8.125" style="11" customWidth="1"/>
    <col min="17" max="16384" width="10.75" style="11"/>
  </cols>
  <sheetData>
    <row r="1" spans="1:24" s="294" customFormat="1" ht="26.25" x14ac:dyDescent="0.4">
      <c r="A1" s="281" t="s">
        <v>402</v>
      </c>
      <c r="B1" s="286"/>
      <c r="C1" s="411" t="s">
        <v>406</v>
      </c>
      <c r="D1" s="305" t="s">
        <v>398</v>
      </c>
      <c r="E1" s="503" t="s">
        <v>407</v>
      </c>
      <c r="H1" s="295"/>
      <c r="I1" s="296"/>
      <c r="J1" s="293"/>
      <c r="K1" s="297"/>
      <c r="L1" s="288"/>
      <c r="M1" s="288"/>
      <c r="N1" s="288"/>
      <c r="O1" s="288"/>
      <c r="P1" s="288"/>
      <c r="W1" s="288"/>
    </row>
    <row r="2" spans="1:24" s="33" customFormat="1" ht="15.75" x14ac:dyDescent="0.25">
      <c r="A2" s="358" t="str">
        <f>Paramètres!B4</f>
        <v>Acomptes 2023</v>
      </c>
      <c r="B2" s="32"/>
      <c r="C2" s="221"/>
      <c r="D2" s="221"/>
      <c r="E2" s="221"/>
      <c r="F2" s="221"/>
      <c r="G2" s="221"/>
      <c r="H2" s="221"/>
      <c r="I2" s="221"/>
      <c r="J2" s="79"/>
      <c r="K2" s="80"/>
      <c r="M2" s="219"/>
      <c r="N2" s="219"/>
      <c r="O2" s="219"/>
      <c r="P2" s="219"/>
      <c r="Q2" s="219"/>
      <c r="X2" s="219"/>
    </row>
    <row r="3" spans="1:24" ht="20.100000000000001" customHeight="1" x14ac:dyDescent="0.25"/>
    <row r="4" spans="1:24" s="312" customFormat="1" ht="43.5" customHeight="1" x14ac:dyDescent="0.2">
      <c r="A4" s="666" t="s">
        <v>44</v>
      </c>
      <c r="B4" s="666" t="s">
        <v>84</v>
      </c>
      <c r="C4" s="666" t="s">
        <v>499</v>
      </c>
      <c r="D4" s="666" t="s">
        <v>538</v>
      </c>
      <c r="E4" s="666" t="s">
        <v>506</v>
      </c>
      <c r="F4" s="666" t="s">
        <v>507</v>
      </c>
      <c r="G4" s="675" t="s">
        <v>508</v>
      </c>
      <c r="H4" s="666" t="s">
        <v>435</v>
      </c>
      <c r="I4" s="677" t="s">
        <v>436</v>
      </c>
      <c r="J4" s="517" t="s">
        <v>434</v>
      </c>
      <c r="K4" s="675" t="s">
        <v>439</v>
      </c>
      <c r="L4" s="80"/>
    </row>
    <row r="5" spans="1:24" x14ac:dyDescent="0.25">
      <c r="A5" s="668"/>
      <c r="B5" s="668"/>
      <c r="C5" s="668"/>
      <c r="D5" s="667"/>
      <c r="E5" s="668"/>
      <c r="F5" s="668"/>
      <c r="G5" s="676"/>
      <c r="H5" s="668"/>
      <c r="I5" s="678"/>
      <c r="J5" s="378">
        <f>Paramètres!B44</f>
        <v>48</v>
      </c>
      <c r="K5" s="676"/>
      <c r="L5" s="13"/>
    </row>
    <row r="6" spans="1:24" x14ac:dyDescent="0.25">
      <c r="A6" s="38">
        <f>Données!A6</f>
        <v>5401</v>
      </c>
      <c r="B6" s="170" t="str">
        <f>Données!B6</f>
        <v>Aigle</v>
      </c>
      <c r="C6" s="351">
        <f>VPI!R6</f>
        <v>280916.50972222222</v>
      </c>
      <c r="D6" s="209">
        <f>(PCS!I12-PCS!F12)/C6</f>
        <v>12.696760564677156</v>
      </c>
      <c r="E6" s="511">
        <f>'Péréquation directe'!E12/C6</f>
        <v>-21.233489739922941</v>
      </c>
      <c r="F6" s="209">
        <f>'Péréquation directe'!F12/Effort!C6</f>
        <v>-14.749480961333937</v>
      </c>
      <c r="G6" s="209">
        <f>'Péréquation directe'!G12/Effort!C6</f>
        <v>-14.375932597796812</v>
      </c>
      <c r="H6" s="209">
        <f>'Péréquation directe'!J12/Effort!C6</f>
        <v>19.27808627509641</v>
      </c>
      <c r="I6" s="426">
        <f>SUM(D6:H6)</f>
        <v>-18.384056459280121</v>
      </c>
      <c r="J6" s="225">
        <f>IF(I6&gt;J$5,I6-J$5,0)</f>
        <v>0</v>
      </c>
      <c r="K6" s="42">
        <f>-J6*C6</f>
        <v>0</v>
      </c>
      <c r="L6" s="13"/>
    </row>
    <row r="7" spans="1:24" x14ac:dyDescent="0.25">
      <c r="A7" s="38">
        <f>Données!A7</f>
        <v>5402</v>
      </c>
      <c r="B7" s="170" t="str">
        <f>Données!B7</f>
        <v>Bex</v>
      </c>
      <c r="C7" s="351">
        <f>VPI!R7</f>
        <v>192666.65084507043</v>
      </c>
      <c r="D7" s="208">
        <f>(PCS!I13-PCS!F13)/C7</f>
        <v>12.696760564677156</v>
      </c>
      <c r="E7" s="512">
        <f>'Péréquation directe'!E13/C7</f>
        <v>-19.623100759953999</v>
      </c>
      <c r="F7" s="208">
        <f>'Péréquation directe'!F13/Effort!C7</f>
        <v>-20.258423545766817</v>
      </c>
      <c r="G7" s="208">
        <f>'Péréquation directe'!G13/Effort!C7</f>
        <v>-11.538678837488368</v>
      </c>
      <c r="H7" s="208">
        <f>'Péréquation directe'!J13/Effort!C7</f>
        <v>19.27808627509641</v>
      </c>
      <c r="I7" s="378">
        <f t="shared" ref="I7:I70" si="0">SUM(D7:H7)</f>
        <v>-19.44535630343562</v>
      </c>
      <c r="J7" s="225">
        <f t="shared" ref="J7:J70" si="1">IF(I7&gt;J$5,I7-J$5,0)</f>
        <v>0</v>
      </c>
      <c r="K7" s="42">
        <f t="shared" ref="K7:K70" si="2">-J7*C7</f>
        <v>0</v>
      </c>
      <c r="L7" s="239"/>
    </row>
    <row r="8" spans="1:24" x14ac:dyDescent="0.25">
      <c r="A8" s="38">
        <f>Données!A8</f>
        <v>5403</v>
      </c>
      <c r="B8" s="170" t="str">
        <f>Données!B8</f>
        <v>Chessel</v>
      </c>
      <c r="C8" s="351">
        <f>VPI!R8</f>
        <v>12085.365135135135</v>
      </c>
      <c r="D8" s="208">
        <f>(PCS!I14-PCS!F14)/C8</f>
        <v>12.696760564677151</v>
      </c>
      <c r="E8" s="512">
        <f>'Péréquation directe'!E14/C8</f>
        <v>-5.3060043517901505</v>
      </c>
      <c r="F8" s="208">
        <f>'Péréquation directe'!F14/Effort!C8</f>
        <v>-21.245966109983925</v>
      </c>
      <c r="G8" s="208">
        <f>'Péréquation directe'!G14/Effort!C8</f>
        <v>-1.5089305076627075</v>
      </c>
      <c r="H8" s="208">
        <f>'Péréquation directe'!J14/Effort!C8</f>
        <v>19.27808627509641</v>
      </c>
      <c r="I8" s="378">
        <f t="shared" si="0"/>
        <v>3.9139458703367769</v>
      </c>
      <c r="J8" s="225">
        <f t="shared" si="1"/>
        <v>0</v>
      </c>
      <c r="K8" s="42">
        <f t="shared" si="2"/>
        <v>0</v>
      </c>
      <c r="L8" s="239"/>
    </row>
    <row r="9" spans="1:24" x14ac:dyDescent="0.25">
      <c r="A9" s="38">
        <f>Données!A9</f>
        <v>5404</v>
      </c>
      <c r="B9" s="170" t="str">
        <f>Données!B9</f>
        <v>Corbeyrier</v>
      </c>
      <c r="C9" s="351">
        <f>VPI!R9</f>
        <v>11580.799189189189</v>
      </c>
      <c r="D9" s="208">
        <f>(PCS!I15-PCS!F15)/C9</f>
        <v>12.696760564677156</v>
      </c>
      <c r="E9" s="512">
        <f>'Péréquation directe'!E15/C9</f>
        <v>-4.890992294423091</v>
      </c>
      <c r="F9" s="208">
        <f>'Péréquation directe'!F15/Effort!C9</f>
        <v>-17.873150268571369</v>
      </c>
      <c r="G9" s="208">
        <f>'Péréquation directe'!G15/Effort!C9</f>
        <v>-14.768268811070479</v>
      </c>
      <c r="H9" s="208">
        <f>'Péréquation directe'!J15/Effort!C9</f>
        <v>19.27808627509641</v>
      </c>
      <c r="I9" s="378">
        <f t="shared" si="0"/>
        <v>-5.5575645342913731</v>
      </c>
      <c r="J9" s="225">
        <f t="shared" si="1"/>
        <v>0</v>
      </c>
      <c r="K9" s="42">
        <f t="shared" si="2"/>
        <v>0</v>
      </c>
      <c r="L9" s="239"/>
    </row>
    <row r="10" spans="1:24" x14ac:dyDescent="0.25">
      <c r="A10" s="38">
        <f>Données!A10</f>
        <v>5405</v>
      </c>
      <c r="B10" s="170" t="str">
        <f>Données!B10</f>
        <v>Gryon</v>
      </c>
      <c r="C10" s="351">
        <f>VPI!R10</f>
        <v>78106.688299319736</v>
      </c>
      <c r="D10" s="208">
        <f>(PCS!I16-PCS!F16)/C10</f>
        <v>14.929522698051487</v>
      </c>
      <c r="E10" s="512">
        <f>'Péréquation directe'!E16/C10</f>
        <v>-3.4187644622445674</v>
      </c>
      <c r="F10" s="208">
        <f>'Péréquation directe'!F16/Effort!C10</f>
        <v>0</v>
      </c>
      <c r="G10" s="208">
        <f>'Péréquation directe'!G16/Effort!C10</f>
        <v>-11.311849720451873</v>
      </c>
      <c r="H10" s="208">
        <f>'Péréquation directe'!J16/Effort!C10</f>
        <v>19.27808627509641</v>
      </c>
      <c r="I10" s="378">
        <f t="shared" si="0"/>
        <v>19.476994790451457</v>
      </c>
      <c r="J10" s="225">
        <f t="shared" si="1"/>
        <v>0</v>
      </c>
      <c r="K10" s="42">
        <f t="shared" si="2"/>
        <v>0</v>
      </c>
      <c r="L10" s="239"/>
    </row>
    <row r="11" spans="1:24" x14ac:dyDescent="0.25">
      <c r="A11" s="38">
        <f>Données!A11</f>
        <v>5406</v>
      </c>
      <c r="B11" s="170" t="str">
        <f>Données!B11</f>
        <v>Lavey-Morcles</v>
      </c>
      <c r="C11" s="351">
        <f>VPI!R11</f>
        <v>21511.827778375475</v>
      </c>
      <c r="D11" s="208">
        <f>(PCS!I17-PCS!F17)/C11</f>
        <v>12.696760564677156</v>
      </c>
      <c r="E11" s="512">
        <f>'Péréquation directe'!E17/C11</f>
        <v>-5.7938974422690492</v>
      </c>
      <c r="F11" s="208">
        <f>'Péréquation directe'!F17/Effort!C11</f>
        <v>-23.536410973426399</v>
      </c>
      <c r="G11" s="208">
        <f>'Péréquation directe'!G17/Effort!C11</f>
        <v>-7.5383544810990211</v>
      </c>
      <c r="H11" s="208">
        <f>'Péréquation directe'!J17/Effort!C11</f>
        <v>19.27808627509641</v>
      </c>
      <c r="I11" s="378">
        <f t="shared" si="0"/>
        <v>-4.8938160570209028</v>
      </c>
      <c r="J11" s="225">
        <f t="shared" si="1"/>
        <v>0</v>
      </c>
      <c r="K11" s="42">
        <f t="shared" si="2"/>
        <v>0</v>
      </c>
      <c r="L11" s="239"/>
    </row>
    <row r="12" spans="1:24" x14ac:dyDescent="0.25">
      <c r="A12" s="38">
        <f>Données!A12</f>
        <v>5407</v>
      </c>
      <c r="B12" s="170" t="str">
        <f>Données!B12</f>
        <v>Leysin</v>
      </c>
      <c r="C12" s="351">
        <f>VPI!R12</f>
        <v>90677.609059829061</v>
      </c>
      <c r="D12" s="208">
        <f>(PCS!I18-PCS!F18)/C12</f>
        <v>12.696760564677156</v>
      </c>
      <c r="E12" s="512">
        <f>'Péréquation directe'!E18/C12</f>
        <v>-13.016585786738281</v>
      </c>
      <c r="F12" s="208">
        <f>'Péréquation directe'!F18/Effort!C12</f>
        <v>-22.422434275871129</v>
      </c>
      <c r="G12" s="208">
        <f>'Péréquation directe'!G18/Effort!C12</f>
        <v>-22.574623548968251</v>
      </c>
      <c r="H12" s="208">
        <f>'Péréquation directe'!J18/Effort!C12</f>
        <v>19.27808627509641</v>
      </c>
      <c r="I12" s="378">
        <f t="shared" si="0"/>
        <v>-26.03879677180409</v>
      </c>
      <c r="J12" s="225">
        <f t="shared" si="1"/>
        <v>0</v>
      </c>
      <c r="K12" s="42">
        <f t="shared" si="2"/>
        <v>0</v>
      </c>
      <c r="L12" s="239"/>
    </row>
    <row r="13" spans="1:24" x14ac:dyDescent="0.25">
      <c r="A13" s="38">
        <f>Données!A13</f>
        <v>5408</v>
      </c>
      <c r="B13" s="170" t="str">
        <f>Données!B13</f>
        <v>Noville</v>
      </c>
      <c r="C13" s="351">
        <f>VPI!R13</f>
        <v>41378.888492569007</v>
      </c>
      <c r="D13" s="208">
        <f>(PCS!I19-PCS!F19)/C13</f>
        <v>12.696760564677156</v>
      </c>
      <c r="E13" s="512">
        <f>'Péréquation directe'!E19/C13</f>
        <v>-4.5936074444209147</v>
      </c>
      <c r="F13" s="208">
        <f>'Péréquation directe'!F19/Effort!C13</f>
        <v>-8.7184767148054885</v>
      </c>
      <c r="G13" s="208">
        <f>'Péréquation directe'!G19/Effort!C13</f>
        <v>-7.1321334000587768</v>
      </c>
      <c r="H13" s="208">
        <f>'Péréquation directe'!J19/Effort!C13</f>
        <v>19.27808627509641</v>
      </c>
      <c r="I13" s="378">
        <f t="shared" si="0"/>
        <v>11.530629280488386</v>
      </c>
      <c r="J13" s="225">
        <f t="shared" si="1"/>
        <v>0</v>
      </c>
      <c r="K13" s="42">
        <f t="shared" si="2"/>
        <v>0</v>
      </c>
      <c r="L13" s="239"/>
    </row>
    <row r="14" spans="1:24" x14ac:dyDescent="0.25">
      <c r="A14" s="38">
        <f>Données!A14</f>
        <v>5409</v>
      </c>
      <c r="B14" s="170" t="str">
        <f>Données!B14</f>
        <v>Ollon</v>
      </c>
      <c r="C14" s="351">
        <f>VPI!R14</f>
        <v>428223.81707013579</v>
      </c>
      <c r="D14" s="208">
        <f>(PCS!I20-PCS!F20)/C14</f>
        <v>14.264475468258805</v>
      </c>
      <c r="E14" s="512">
        <f>'Péréquation directe'!E20/C14</f>
        <v>-8.598881539203175</v>
      </c>
      <c r="F14" s="208">
        <f>'Péréquation directe'!F20/Effort!C14</f>
        <v>0</v>
      </c>
      <c r="G14" s="208">
        <f>'Péréquation directe'!G20/Effort!C14</f>
        <v>-8.2990199122776147</v>
      </c>
      <c r="H14" s="208">
        <f>'Péréquation directe'!J20/Effort!C14</f>
        <v>19.27808627509641</v>
      </c>
      <c r="I14" s="378">
        <f t="shared" si="0"/>
        <v>16.644660291874423</v>
      </c>
      <c r="J14" s="225">
        <f t="shared" si="1"/>
        <v>0</v>
      </c>
      <c r="K14" s="42">
        <f t="shared" si="2"/>
        <v>0</v>
      </c>
      <c r="L14" s="239"/>
    </row>
    <row r="15" spans="1:24" x14ac:dyDescent="0.25">
      <c r="A15" s="38">
        <f>Données!A15</f>
        <v>5410</v>
      </c>
      <c r="B15" s="170" t="str">
        <f>Données!B15</f>
        <v>Ormont-Dessous</v>
      </c>
      <c r="C15" s="351">
        <f>VPI!R15</f>
        <v>38612.897532467534</v>
      </c>
      <c r="D15" s="208">
        <f>(PCS!I21-PCS!F21)/C15</f>
        <v>12.696760564677152</v>
      </c>
      <c r="E15" s="512">
        <f>'Péréquation directe'!E21/C15</f>
        <v>-4.8571723172080237</v>
      </c>
      <c r="F15" s="208">
        <f>'Péréquation directe'!F21/Effort!C15</f>
        <v>-10.480253239112765</v>
      </c>
      <c r="G15" s="208">
        <f>'Péréquation directe'!G21/Effort!C15</f>
        <v>-33.713746567743122</v>
      </c>
      <c r="H15" s="208">
        <f>'Péréquation directe'!J21/Effort!C15</f>
        <v>19.27808627509641</v>
      </c>
      <c r="I15" s="378">
        <f t="shared" si="0"/>
        <v>-17.076325284290352</v>
      </c>
      <c r="J15" s="225">
        <f t="shared" si="1"/>
        <v>0</v>
      </c>
      <c r="K15" s="42">
        <f t="shared" si="2"/>
        <v>0</v>
      </c>
      <c r="L15" s="239"/>
    </row>
    <row r="16" spans="1:24" x14ac:dyDescent="0.25">
      <c r="A16" s="38">
        <f>Données!A16</f>
        <v>5411</v>
      </c>
      <c r="B16" s="170" t="str">
        <f>Données!B16</f>
        <v>Ormont-Dessus</v>
      </c>
      <c r="C16" s="351">
        <f>VPI!R16</f>
        <v>77406.69241228071</v>
      </c>
      <c r="D16" s="208">
        <f>(PCS!I22-PCS!F22)/C16</f>
        <v>14.23943752513452</v>
      </c>
      <c r="E16" s="512">
        <f>'Péréquation directe'!E22/C16</f>
        <v>-3.7717130898069611</v>
      </c>
      <c r="F16" s="208">
        <f>'Péréquation directe'!F22/Effort!C16</f>
        <v>0</v>
      </c>
      <c r="G16" s="208">
        <f>'Péréquation directe'!G22/Effort!C16</f>
        <v>-12.36282414859107</v>
      </c>
      <c r="H16" s="208">
        <f>'Péréquation directe'!J22/Effort!C16</f>
        <v>19.27808627509641</v>
      </c>
      <c r="I16" s="378">
        <f t="shared" si="0"/>
        <v>17.382986561832897</v>
      </c>
      <c r="J16" s="225">
        <f t="shared" si="1"/>
        <v>0</v>
      </c>
      <c r="K16" s="42">
        <f t="shared" si="2"/>
        <v>0</v>
      </c>
      <c r="L16" s="239"/>
    </row>
    <row r="17" spans="1:12" x14ac:dyDescent="0.25">
      <c r="A17" s="38">
        <f>Données!A17</f>
        <v>5412</v>
      </c>
      <c r="B17" s="170" t="str">
        <f>Données!B17</f>
        <v>Rennaz</v>
      </c>
      <c r="C17" s="351">
        <f>VPI!R17</f>
        <v>28866.898550724636</v>
      </c>
      <c r="D17" s="208">
        <f>(PCS!I23-PCS!F23)/C17</f>
        <v>12.696760564677154</v>
      </c>
      <c r="E17" s="512">
        <f>'Péréquation directe'!E23/C17</f>
        <v>-3.946676838847905</v>
      </c>
      <c r="F17" s="208">
        <f>'Péréquation directe'!F23/Effort!C17</f>
        <v>-8.8670315249527025</v>
      </c>
      <c r="G17" s="208">
        <f>'Péréquation directe'!G23/Effort!C17</f>
        <v>-3.1848393626720548</v>
      </c>
      <c r="H17" s="208">
        <f>'Péréquation directe'!J23/Effort!C17</f>
        <v>19.27808627509641</v>
      </c>
      <c r="I17" s="378">
        <f t="shared" si="0"/>
        <v>15.976299113300902</v>
      </c>
      <c r="J17" s="225">
        <f t="shared" si="1"/>
        <v>0</v>
      </c>
      <c r="K17" s="42">
        <f t="shared" si="2"/>
        <v>0</v>
      </c>
      <c r="L17" s="239"/>
    </row>
    <row r="18" spans="1:12" x14ac:dyDescent="0.25">
      <c r="A18" s="38">
        <f>Données!A18</f>
        <v>5413</v>
      </c>
      <c r="B18" s="170" t="str">
        <f>Données!B18</f>
        <v>Roche</v>
      </c>
      <c r="C18" s="351">
        <f>VPI!R18</f>
        <v>43141.688749999994</v>
      </c>
      <c r="D18" s="208">
        <f>(PCS!I24-PCS!F24)/C18</f>
        <v>12.696760564677154</v>
      </c>
      <c r="E18" s="512">
        <f>'Péréquation directe'!E24/C18</f>
        <v>-10.309564717564722</v>
      </c>
      <c r="F18" s="208">
        <f>'Péréquation directe'!F24/Effort!C18</f>
        <v>-19.989374349817467</v>
      </c>
      <c r="G18" s="208">
        <f>'Péréquation directe'!G24/Effort!C18</f>
        <v>-1.8742049707082931</v>
      </c>
      <c r="H18" s="208">
        <f>'Péréquation directe'!J24/Effort!C18</f>
        <v>19.27808627509641</v>
      </c>
      <c r="I18" s="378">
        <f t="shared" si="0"/>
        <v>-0.19829719831691861</v>
      </c>
      <c r="J18" s="225">
        <f t="shared" si="1"/>
        <v>0</v>
      </c>
      <c r="K18" s="42">
        <f t="shared" si="2"/>
        <v>0</v>
      </c>
      <c r="L18" s="239"/>
    </row>
    <row r="19" spans="1:12" x14ac:dyDescent="0.25">
      <c r="A19" s="38">
        <f>Données!A19</f>
        <v>5414</v>
      </c>
      <c r="B19" s="170" t="str">
        <f>Données!B19</f>
        <v>Villeneuve</v>
      </c>
      <c r="C19" s="351">
        <f>VPI!R19</f>
        <v>185623.95377777779</v>
      </c>
      <c r="D19" s="208">
        <f>(PCS!I25-PCS!F25)/C19</f>
        <v>12.696760564677154</v>
      </c>
      <c r="E19" s="512">
        <f>'Péréquation directe'!E25/C19</f>
        <v>-13.221043969715133</v>
      </c>
      <c r="F19" s="208">
        <f>'Péréquation directe'!F25/Effort!C19</f>
        <v>-9.6278873304935697</v>
      </c>
      <c r="G19" s="208">
        <f>'Péréquation directe'!G25/Effort!C19</f>
        <v>-12.614638436175392</v>
      </c>
      <c r="H19" s="208">
        <f>'Péréquation directe'!J25/Effort!C19</f>
        <v>19.27808627509641</v>
      </c>
      <c r="I19" s="378">
        <f t="shared" si="0"/>
        <v>-3.488722896610529</v>
      </c>
      <c r="J19" s="225">
        <f t="shared" si="1"/>
        <v>0</v>
      </c>
      <c r="K19" s="42">
        <f t="shared" si="2"/>
        <v>0</v>
      </c>
      <c r="L19" s="239"/>
    </row>
    <row r="20" spans="1:12" x14ac:dyDescent="0.25">
      <c r="A20" s="38">
        <f>Données!A20</f>
        <v>5415</v>
      </c>
      <c r="B20" s="170" t="str">
        <f>Données!B20</f>
        <v>Yvorne</v>
      </c>
      <c r="C20" s="351">
        <f>VPI!R20</f>
        <v>35904.669044289032</v>
      </c>
      <c r="D20" s="208">
        <f>(PCS!I26-PCS!F26)/C20</f>
        <v>12.696760564677154</v>
      </c>
      <c r="E20" s="512">
        <f>'Péréquation directe'!E26/C20</f>
        <v>-3.9758704837861703</v>
      </c>
      <c r="F20" s="208">
        <f>'Péréquation directe'!F26/Effort!C20</f>
        <v>-7.8778027215591875</v>
      </c>
      <c r="G20" s="208">
        <f>'Péréquation directe'!G26/Effort!C20</f>
        <v>-6.2449115928200856</v>
      </c>
      <c r="H20" s="208">
        <f>'Péréquation directe'!J26/Effort!C20</f>
        <v>19.27808627509641</v>
      </c>
      <c r="I20" s="378">
        <f t="shared" si="0"/>
        <v>13.87626204160812</v>
      </c>
      <c r="J20" s="225">
        <f t="shared" si="1"/>
        <v>0</v>
      </c>
      <c r="K20" s="42">
        <f t="shared" si="2"/>
        <v>0</v>
      </c>
      <c r="L20" s="239"/>
    </row>
    <row r="21" spans="1:12" x14ac:dyDescent="0.25">
      <c r="A21" s="38">
        <f>Données!A21</f>
        <v>5422</v>
      </c>
      <c r="B21" s="170" t="str">
        <f>Données!B21</f>
        <v>Aubonne</v>
      </c>
      <c r="C21" s="351">
        <f>VPI!R21</f>
        <v>307027.61800000002</v>
      </c>
      <c r="D21" s="208">
        <f>(PCS!I27-PCS!F27)/C21</f>
        <v>21.276358179480798</v>
      </c>
      <c r="E21" s="512">
        <f>'Péréquation directe'!E27/C21</f>
        <v>-4.0863776128056628</v>
      </c>
      <c r="F21" s="208">
        <f>'Péréquation directe'!F27/Effort!C21</f>
        <v>0</v>
      </c>
      <c r="G21" s="208">
        <f>'Péréquation directe'!G27/Effort!C21</f>
        <v>0</v>
      </c>
      <c r="H21" s="208">
        <f>'Péréquation directe'!J27/Effort!C21</f>
        <v>19.27808627509641</v>
      </c>
      <c r="I21" s="378">
        <f t="shared" si="0"/>
        <v>36.468066841771545</v>
      </c>
      <c r="J21" s="225">
        <f t="shared" si="1"/>
        <v>0</v>
      </c>
      <c r="K21" s="42">
        <f t="shared" si="2"/>
        <v>0</v>
      </c>
      <c r="L21" s="239"/>
    </row>
    <row r="22" spans="1:12" x14ac:dyDescent="0.25">
      <c r="A22" s="38">
        <f>Données!A22</f>
        <v>5423</v>
      </c>
      <c r="B22" s="170" t="str">
        <f>Données!B22</f>
        <v>Ballens</v>
      </c>
      <c r="C22" s="351">
        <f>VPI!R22</f>
        <v>16194.081232876708</v>
      </c>
      <c r="D22" s="208">
        <f>(PCS!I28-PCS!F28)/C22</f>
        <v>12.696760564677154</v>
      </c>
      <c r="E22" s="512">
        <f>'Péréquation directe'!E28/C22</f>
        <v>-4.517495564510611</v>
      </c>
      <c r="F22" s="208">
        <f>'Péréquation directe'!F28/Effort!C22</f>
        <v>-14.439420621067093</v>
      </c>
      <c r="G22" s="208">
        <f>'Péréquation directe'!G28/Effort!C22</f>
        <v>-5.1254073268592251</v>
      </c>
      <c r="H22" s="208">
        <f>'Péréquation directe'!J28/Effort!C22</f>
        <v>19.27808627509641</v>
      </c>
      <c r="I22" s="378">
        <f t="shared" si="0"/>
        <v>7.8925233273366349</v>
      </c>
      <c r="J22" s="225">
        <f t="shared" si="1"/>
        <v>0</v>
      </c>
      <c r="K22" s="42">
        <f t="shared" si="2"/>
        <v>0</v>
      </c>
      <c r="L22" s="239"/>
    </row>
    <row r="23" spans="1:12" x14ac:dyDescent="0.25">
      <c r="A23" s="38">
        <f>Données!A23</f>
        <v>5424</v>
      </c>
      <c r="B23" s="170" t="str">
        <f>Données!B23</f>
        <v>Berolle</v>
      </c>
      <c r="C23" s="351">
        <f>VPI!R23</f>
        <v>8301.7307284768212</v>
      </c>
      <c r="D23" s="208">
        <f>(PCS!I29-PCS!F29)/C23</f>
        <v>12.696760564677154</v>
      </c>
      <c r="E23" s="512">
        <f>'Péréquation directe'!E29/C23</f>
        <v>-4.7868857614717637</v>
      </c>
      <c r="F23" s="208">
        <f>'Péréquation directe'!F29/Effort!C23</f>
        <v>-17.724356154499887</v>
      </c>
      <c r="G23" s="208">
        <f>'Péréquation directe'!G29/Effort!C23</f>
        <v>-9.0020466848475085</v>
      </c>
      <c r="H23" s="208">
        <f>'Péréquation directe'!J29/Effort!C23</f>
        <v>19.27808627509641</v>
      </c>
      <c r="I23" s="378">
        <f t="shared" si="0"/>
        <v>0.46155823895440662</v>
      </c>
      <c r="J23" s="225">
        <f t="shared" si="1"/>
        <v>0</v>
      </c>
      <c r="K23" s="42">
        <f t="shared" si="2"/>
        <v>0</v>
      </c>
      <c r="L23" s="239"/>
    </row>
    <row r="24" spans="1:12" x14ac:dyDescent="0.25">
      <c r="A24" s="38">
        <f>Données!A24</f>
        <v>5425</v>
      </c>
      <c r="B24" s="170" t="str">
        <f>Données!B24</f>
        <v>Bière</v>
      </c>
      <c r="C24" s="351">
        <f>VPI!R24</f>
        <v>44215.914072963518</v>
      </c>
      <c r="D24" s="208">
        <f>(PCS!I30-PCS!F30)/C24</f>
        <v>12.696760564677154</v>
      </c>
      <c r="E24" s="512">
        <f>'Péréquation directe'!E30/C24</f>
        <v>-8.0981658832196821</v>
      </c>
      <c r="F24" s="208">
        <f>'Péréquation directe'!F30/Effort!C24</f>
        <v>-14.671042882847884</v>
      </c>
      <c r="G24" s="208">
        <f>'Péréquation directe'!G30/Effort!C24</f>
        <v>-16.876826944617804</v>
      </c>
      <c r="H24" s="208">
        <f>'Péréquation directe'!J30/Effort!C24</f>
        <v>19.27808627509641</v>
      </c>
      <c r="I24" s="378">
        <f t="shared" si="0"/>
        <v>-7.6711888709118057</v>
      </c>
      <c r="J24" s="225">
        <f t="shared" si="1"/>
        <v>0</v>
      </c>
      <c r="K24" s="42">
        <f t="shared" si="2"/>
        <v>0</v>
      </c>
      <c r="L24" s="239"/>
    </row>
    <row r="25" spans="1:12" x14ac:dyDescent="0.25">
      <c r="A25" s="38">
        <f>Données!A25</f>
        <v>5426</v>
      </c>
      <c r="B25" s="170" t="str">
        <f>Données!B25</f>
        <v>Bougy-Villars</v>
      </c>
      <c r="C25" s="351">
        <f>VPI!R25</f>
        <v>53043.343074935401</v>
      </c>
      <c r="D25" s="208">
        <f>(PCS!I31-PCS!F31)/C25</f>
        <v>25.53820969037308</v>
      </c>
      <c r="E25" s="512">
        <f>'Péréquation directe'!E31/C25</f>
        <v>-1.2089170154567614</v>
      </c>
      <c r="F25" s="208">
        <f>'Péréquation directe'!F31/Effort!C25</f>
        <v>0</v>
      </c>
      <c r="G25" s="208">
        <f>'Péréquation directe'!G31/Effort!C25</f>
        <v>0</v>
      </c>
      <c r="H25" s="208">
        <f>'Péréquation directe'!J31/Effort!C25</f>
        <v>19.27808627509641</v>
      </c>
      <c r="I25" s="378">
        <f t="shared" si="0"/>
        <v>43.60737895001273</v>
      </c>
      <c r="J25" s="225">
        <f t="shared" si="1"/>
        <v>0</v>
      </c>
      <c r="K25" s="42">
        <f t="shared" si="2"/>
        <v>0</v>
      </c>
      <c r="L25" s="239"/>
    </row>
    <row r="26" spans="1:12" x14ac:dyDescent="0.25">
      <c r="A26" s="38">
        <f>Données!A26</f>
        <v>5427</v>
      </c>
      <c r="B26" s="170" t="str">
        <f>Données!B26</f>
        <v>Féchy</v>
      </c>
      <c r="C26" s="351">
        <f>VPI!R26</f>
        <v>88211.829663461554</v>
      </c>
      <c r="D26" s="208">
        <f>(PCS!I32-PCS!F32)/C26</f>
        <v>23.889615383695858</v>
      </c>
      <c r="E26" s="512">
        <f>'Péréquation directe'!E32/C26</f>
        <v>-1.3061577093206378</v>
      </c>
      <c r="F26" s="208">
        <f>'Péréquation directe'!F32/Effort!C26</f>
        <v>0</v>
      </c>
      <c r="G26" s="208">
        <f>'Péréquation directe'!G32/Effort!C26</f>
        <v>0</v>
      </c>
      <c r="H26" s="208">
        <f>'Péréquation directe'!J32/Effort!C26</f>
        <v>19.27808627509641</v>
      </c>
      <c r="I26" s="378">
        <f t="shared" si="0"/>
        <v>41.861543949471631</v>
      </c>
      <c r="J26" s="225">
        <f t="shared" si="1"/>
        <v>0</v>
      </c>
      <c r="K26" s="42">
        <f t="shared" si="2"/>
        <v>0</v>
      </c>
      <c r="L26" s="239"/>
    </row>
    <row r="27" spans="1:12" x14ac:dyDescent="0.25">
      <c r="A27" s="38">
        <f>Données!A27</f>
        <v>5428</v>
      </c>
      <c r="B27" s="170" t="str">
        <f>Données!B27</f>
        <v>Gimel</v>
      </c>
      <c r="C27" s="351">
        <f>VPI!R27</f>
        <v>70557.620626398202</v>
      </c>
      <c r="D27" s="208">
        <f>(PCS!I33-PCS!F33)/C27</f>
        <v>12.696760564677154</v>
      </c>
      <c r="E27" s="512">
        <f>'Péréquation directe'!E33/C27</f>
        <v>-9.0071252732980458</v>
      </c>
      <c r="F27" s="208">
        <f>'Péréquation directe'!F33/Effort!C27</f>
        <v>-14.008326121830802</v>
      </c>
      <c r="G27" s="208">
        <f>'Péréquation directe'!G33/Effort!C27</f>
        <v>-8.0495743157092488</v>
      </c>
      <c r="H27" s="208">
        <f>'Péréquation directe'!J33/Effort!C27</f>
        <v>19.27808627509641</v>
      </c>
      <c r="I27" s="378">
        <f t="shared" si="0"/>
        <v>0.90982112893546585</v>
      </c>
      <c r="J27" s="225">
        <f t="shared" si="1"/>
        <v>0</v>
      </c>
      <c r="K27" s="42">
        <f t="shared" si="2"/>
        <v>0</v>
      </c>
      <c r="L27" s="239"/>
    </row>
    <row r="28" spans="1:12" x14ac:dyDescent="0.25">
      <c r="A28" s="38">
        <f>Données!A28</f>
        <v>5429</v>
      </c>
      <c r="B28" s="170" t="str">
        <f>Données!B28</f>
        <v>Longirod</v>
      </c>
      <c r="C28" s="351">
        <f>VPI!R28</f>
        <v>18573.92709677419</v>
      </c>
      <c r="D28" s="208">
        <f>(PCS!I34-PCS!F34)/C28</f>
        <v>12.696760564677154</v>
      </c>
      <c r="E28" s="512">
        <f>'Péréquation directe'!E34/C28</f>
        <v>-3.6121900868042158</v>
      </c>
      <c r="F28" s="208">
        <f>'Péréquation directe'!F34/Effort!C28</f>
        <v>-8.2046133218736639</v>
      </c>
      <c r="G28" s="208">
        <f>'Péréquation directe'!G34/Effort!C28</f>
        <v>-4.8031303036754247</v>
      </c>
      <c r="H28" s="208">
        <f>'Péréquation directe'!J34/Effort!C28</f>
        <v>19.27808627509641</v>
      </c>
      <c r="I28" s="378">
        <f t="shared" si="0"/>
        <v>15.354913127420261</v>
      </c>
      <c r="J28" s="225">
        <f t="shared" si="1"/>
        <v>0</v>
      </c>
      <c r="K28" s="42">
        <f t="shared" si="2"/>
        <v>0</v>
      </c>
      <c r="L28" s="239"/>
    </row>
    <row r="29" spans="1:12" x14ac:dyDescent="0.25">
      <c r="A29" s="38">
        <f>Données!A29</f>
        <v>5430</v>
      </c>
      <c r="B29" s="170" t="str">
        <f>Données!B29</f>
        <v>Marchissy</v>
      </c>
      <c r="C29" s="351">
        <f>VPI!R29</f>
        <v>15580.605290322583</v>
      </c>
      <c r="D29" s="208">
        <f>(PCS!I35-PCS!F35)/C29</f>
        <v>12.696760564677154</v>
      </c>
      <c r="E29" s="512">
        <f>'Péréquation directe'!E35/C29</f>
        <v>-4.0163208742883061</v>
      </c>
      <c r="F29" s="208">
        <f>'Péréquation directe'!F35/Effort!C29</f>
        <v>-11.807028942976252</v>
      </c>
      <c r="G29" s="208">
        <f>'Péréquation directe'!G35/Effort!C29</f>
        <v>-3.878627763941854</v>
      </c>
      <c r="H29" s="208">
        <f>'Péréquation directe'!J35/Effort!C29</f>
        <v>19.27808627509641</v>
      </c>
      <c r="I29" s="378">
        <f t="shared" si="0"/>
        <v>12.272869258567152</v>
      </c>
      <c r="J29" s="225">
        <f t="shared" si="1"/>
        <v>0</v>
      </c>
      <c r="K29" s="42">
        <f t="shared" si="2"/>
        <v>0</v>
      </c>
      <c r="L29" s="239"/>
    </row>
    <row r="30" spans="1:12" x14ac:dyDescent="0.25">
      <c r="A30" s="38">
        <f>Données!A30</f>
        <v>5431</v>
      </c>
      <c r="B30" s="170" t="str">
        <f>Données!B30</f>
        <v>Mollens</v>
      </c>
      <c r="C30" s="351">
        <f>VPI!R30</f>
        <v>10464.936351351351</v>
      </c>
      <c r="D30" s="208">
        <f>(PCS!I36-PCS!F36)/C30</f>
        <v>12.696760564677154</v>
      </c>
      <c r="E30" s="512">
        <f>'Péréquation directe'!E36/C30</f>
        <v>-3.9330102765474337</v>
      </c>
      <c r="F30" s="208">
        <f>'Péréquation directe'!F36/Effort!C30</f>
        <v>-10.08760074459304</v>
      </c>
      <c r="G30" s="208">
        <f>'Péréquation directe'!G36/Effort!C30</f>
        <v>-3.6764609297800641</v>
      </c>
      <c r="H30" s="208">
        <f>'Péréquation directe'!J36/Effort!C30</f>
        <v>19.27808627509641</v>
      </c>
      <c r="I30" s="378">
        <f t="shared" si="0"/>
        <v>14.277774888853028</v>
      </c>
      <c r="J30" s="225">
        <f t="shared" si="1"/>
        <v>0</v>
      </c>
      <c r="K30" s="42">
        <f t="shared" si="2"/>
        <v>0</v>
      </c>
      <c r="L30" s="239"/>
    </row>
    <row r="31" spans="1:12" x14ac:dyDescent="0.25">
      <c r="A31" s="38">
        <f>Données!A31</f>
        <v>5434</v>
      </c>
      <c r="B31" s="170" t="str">
        <f>Données!B31</f>
        <v>Saint-George</v>
      </c>
      <c r="C31" s="351">
        <f>VPI!R31</f>
        <v>43543.93829736211</v>
      </c>
      <c r="D31" s="208">
        <f>(PCS!I37-PCS!F37)/C31</f>
        <v>12.696760564677152</v>
      </c>
      <c r="E31" s="512">
        <f>'Péréquation directe'!E37/C31</f>
        <v>-3.5604361602781598</v>
      </c>
      <c r="F31" s="208">
        <f>'Péréquation directe'!F37/Effort!C31</f>
        <v>-3.4743018635289906</v>
      </c>
      <c r="G31" s="208">
        <f>'Péréquation directe'!G37/Effort!C31</f>
        <v>-1.6620366242851214</v>
      </c>
      <c r="H31" s="208">
        <f>'Péréquation directe'!J37/Effort!C31</f>
        <v>19.27808627509641</v>
      </c>
      <c r="I31" s="378">
        <f t="shared" si="0"/>
        <v>23.278072191681289</v>
      </c>
      <c r="J31" s="225">
        <f t="shared" si="1"/>
        <v>0</v>
      </c>
      <c r="K31" s="42">
        <f t="shared" si="2"/>
        <v>0</v>
      </c>
      <c r="L31" s="239"/>
    </row>
    <row r="32" spans="1:12" x14ac:dyDescent="0.25">
      <c r="A32" s="38">
        <f>Données!A32</f>
        <v>5435</v>
      </c>
      <c r="B32" s="170" t="str">
        <f>Données!B32</f>
        <v>Saint-Livres</v>
      </c>
      <c r="C32" s="351">
        <f>VPI!R32</f>
        <v>25853.824637681166</v>
      </c>
      <c r="D32" s="208">
        <f>(PCS!I38-PCS!F38)/C32</f>
        <v>12.696760564677152</v>
      </c>
      <c r="E32" s="512">
        <f>'Péréquation directe'!E38/C32</f>
        <v>-3.3636135024721336</v>
      </c>
      <c r="F32" s="208">
        <f>'Péréquation directe'!F38/Effort!C32</f>
        <v>-4.7471721726772484</v>
      </c>
      <c r="G32" s="208">
        <f>'Péréquation directe'!G38/Effort!C32</f>
        <v>-5.579647089469808E-2</v>
      </c>
      <c r="H32" s="208">
        <f>'Péréquation directe'!J38/Effort!C32</f>
        <v>19.27808627509641</v>
      </c>
      <c r="I32" s="378">
        <f t="shared" si="0"/>
        <v>23.80826469372948</v>
      </c>
      <c r="J32" s="225">
        <f t="shared" si="1"/>
        <v>0</v>
      </c>
      <c r="K32" s="42">
        <f t="shared" si="2"/>
        <v>0</v>
      </c>
      <c r="L32" s="239"/>
    </row>
    <row r="33" spans="1:12" x14ac:dyDescent="0.25">
      <c r="A33" s="38">
        <f>Données!A33</f>
        <v>5436</v>
      </c>
      <c r="B33" s="170" t="str">
        <f>Données!B33</f>
        <v>Saint-Oyens</v>
      </c>
      <c r="C33" s="351">
        <f>VPI!R33</f>
        <v>16868.155185185187</v>
      </c>
      <c r="D33" s="208">
        <f>(PCS!I39-PCS!F39)/C33</f>
        <v>12.696760564677154</v>
      </c>
      <c r="E33" s="512">
        <f>'Péréquation directe'!E39/C33</f>
        <v>-3.5032318413812265</v>
      </c>
      <c r="F33" s="208">
        <f>'Péréquation directe'!F39/Effort!C33</f>
        <v>-7.9014497939748303</v>
      </c>
      <c r="G33" s="208">
        <f>'Péréquation directe'!G39/Effort!C33</f>
        <v>0</v>
      </c>
      <c r="H33" s="208">
        <f>'Péréquation directe'!J39/Effort!C33</f>
        <v>19.27808627509641</v>
      </c>
      <c r="I33" s="378">
        <f t="shared" si="0"/>
        <v>20.570165204417506</v>
      </c>
      <c r="J33" s="225">
        <f t="shared" si="1"/>
        <v>0</v>
      </c>
      <c r="K33" s="42">
        <f t="shared" si="2"/>
        <v>0</v>
      </c>
      <c r="L33" s="239"/>
    </row>
    <row r="34" spans="1:12" x14ac:dyDescent="0.25">
      <c r="A34" s="38">
        <f>Données!A34</f>
        <v>5437</v>
      </c>
      <c r="B34" s="170" t="str">
        <f>Données!B34</f>
        <v>Saubraz</v>
      </c>
      <c r="C34" s="351">
        <f>VPI!R34</f>
        <v>13551.123374999999</v>
      </c>
      <c r="D34" s="208">
        <f>(PCS!I40-PCS!F40)/C34</f>
        <v>12.696760564677152</v>
      </c>
      <c r="E34" s="512">
        <f>'Péréquation directe'!E40/C34</f>
        <v>-4.227451757071143</v>
      </c>
      <c r="F34" s="208">
        <f>'Péréquation directe'!F40/Effort!C34</f>
        <v>-14.586455251345365</v>
      </c>
      <c r="G34" s="208">
        <f>'Péréquation directe'!G40/Effort!C34</f>
        <v>-26.33006872391493</v>
      </c>
      <c r="H34" s="208">
        <f>'Péréquation directe'!J40/Effort!C34</f>
        <v>19.27808627509641</v>
      </c>
      <c r="I34" s="378">
        <f t="shared" si="0"/>
        <v>-13.169128892557875</v>
      </c>
      <c r="J34" s="225">
        <f t="shared" si="1"/>
        <v>0</v>
      </c>
      <c r="K34" s="42">
        <f t="shared" si="2"/>
        <v>0</v>
      </c>
      <c r="L34" s="239"/>
    </row>
    <row r="35" spans="1:12" x14ac:dyDescent="0.25">
      <c r="A35" s="38">
        <f>Données!A35</f>
        <v>5451</v>
      </c>
      <c r="B35" s="170" t="str">
        <f>Données!B35</f>
        <v>Avenches</v>
      </c>
      <c r="C35" s="351">
        <f>VPI!R35</f>
        <v>137788.88576441104</v>
      </c>
      <c r="D35" s="208">
        <f>(PCS!I41-PCS!F41)/C35</f>
        <v>12.696760564677152</v>
      </c>
      <c r="E35" s="512">
        <f>'Péréquation directe'!E41/C35</f>
        <v>-12.232999920279404</v>
      </c>
      <c r="F35" s="208">
        <f>'Péréquation directe'!F41/Effort!C35</f>
        <v>-10.701903745935505</v>
      </c>
      <c r="G35" s="208">
        <f>'Péréquation directe'!G41/Effort!C35</f>
        <v>-10.36141578105631</v>
      </c>
      <c r="H35" s="208">
        <f>'Péréquation directe'!J41/Effort!C35</f>
        <v>19.27808627509641</v>
      </c>
      <c r="I35" s="378">
        <f t="shared" si="0"/>
        <v>-1.3214726074976575</v>
      </c>
      <c r="J35" s="225">
        <f t="shared" si="1"/>
        <v>0</v>
      </c>
      <c r="K35" s="42">
        <f t="shared" si="2"/>
        <v>0</v>
      </c>
      <c r="L35" s="239"/>
    </row>
    <row r="36" spans="1:12" x14ac:dyDescent="0.25">
      <c r="A36" s="38">
        <f>Données!A36</f>
        <v>5456</v>
      </c>
      <c r="B36" s="170" t="str">
        <f>Données!B36</f>
        <v>Cudrefin</v>
      </c>
      <c r="C36" s="351">
        <f>VPI!R36</f>
        <v>64142.52694915254</v>
      </c>
      <c r="D36" s="208">
        <f>(PCS!I42-PCS!F42)/C36</f>
        <v>12.696760564677154</v>
      </c>
      <c r="E36" s="512">
        <f>'Péréquation directe'!E42/C36</f>
        <v>-6.7200948213464384</v>
      </c>
      <c r="F36" s="208">
        <f>'Péréquation directe'!F42/Effort!C36</f>
        <v>-5.1733750027079823</v>
      </c>
      <c r="G36" s="208">
        <f>'Péréquation directe'!G42/Effort!C36</f>
        <v>-4.3916392400378683</v>
      </c>
      <c r="H36" s="208">
        <f>'Péréquation directe'!J42/Effort!C36</f>
        <v>19.27808627509641</v>
      </c>
      <c r="I36" s="378">
        <f t="shared" si="0"/>
        <v>15.689737775681275</v>
      </c>
      <c r="J36" s="225">
        <f t="shared" si="1"/>
        <v>0</v>
      </c>
      <c r="K36" s="42">
        <f t="shared" si="2"/>
        <v>0</v>
      </c>
      <c r="L36" s="239"/>
    </row>
    <row r="37" spans="1:12" x14ac:dyDescent="0.25">
      <c r="A37" s="38">
        <f>Données!A37</f>
        <v>5458</v>
      </c>
      <c r="B37" s="170" t="str">
        <f>Données!B37</f>
        <v>Faoug</v>
      </c>
      <c r="C37" s="351">
        <f>VPI!R37</f>
        <v>34719.981076923075</v>
      </c>
      <c r="D37" s="208">
        <f>(PCS!I43-PCS!F43)/C37</f>
        <v>12.696760564677156</v>
      </c>
      <c r="E37" s="512">
        <f>'Péréquation directe'!E43/C37</f>
        <v>-3.2181731092879531</v>
      </c>
      <c r="F37" s="208">
        <f>'Péréquation directe'!F43/Effort!C37</f>
        <v>-3.3007596086435043</v>
      </c>
      <c r="G37" s="208">
        <f>'Péréquation directe'!G43/Effort!C37</f>
        <v>-3.8005525765152743</v>
      </c>
      <c r="H37" s="208">
        <f>'Péréquation directe'!J43/Effort!C37</f>
        <v>19.27808627509641</v>
      </c>
      <c r="I37" s="378">
        <f t="shared" si="0"/>
        <v>21.655361545326834</v>
      </c>
      <c r="J37" s="225">
        <f t="shared" si="1"/>
        <v>0</v>
      </c>
      <c r="K37" s="42">
        <f t="shared" si="2"/>
        <v>0</v>
      </c>
      <c r="L37" s="239"/>
    </row>
    <row r="38" spans="1:12" x14ac:dyDescent="0.25">
      <c r="A38" s="38">
        <f>Données!A38</f>
        <v>5464</v>
      </c>
      <c r="B38" s="170" t="str">
        <f>Données!B38</f>
        <v>Vully-les-Lacs</v>
      </c>
      <c r="C38" s="351">
        <f>VPI!R38</f>
        <v>119166.87835820897</v>
      </c>
      <c r="D38" s="208">
        <f>(PCS!I44-PCS!F44)/C38</f>
        <v>12.696760564677154</v>
      </c>
      <c r="E38" s="512">
        <f>'Péréquation directe'!E44/C38</f>
        <v>-9.1597957472078786</v>
      </c>
      <c r="F38" s="208">
        <f>'Péréquation directe'!F44/Effort!C38</f>
        <v>-7.0609313353077372</v>
      </c>
      <c r="G38" s="208">
        <f>'Péréquation directe'!G44/Effort!C38</f>
        <v>-2.5169429121836582</v>
      </c>
      <c r="H38" s="208">
        <f>'Péréquation directe'!J44/Effort!C38</f>
        <v>19.27808627509641</v>
      </c>
      <c r="I38" s="378">
        <f t="shared" si="0"/>
        <v>13.237176845074289</v>
      </c>
      <c r="J38" s="225">
        <f t="shared" si="1"/>
        <v>0</v>
      </c>
      <c r="K38" s="42">
        <f t="shared" si="2"/>
        <v>0</v>
      </c>
      <c r="L38" s="239"/>
    </row>
    <row r="39" spans="1:12" x14ac:dyDescent="0.25">
      <c r="A39" s="38">
        <f>Données!A39</f>
        <v>5471</v>
      </c>
      <c r="B39" s="170" t="str">
        <f>Données!B39</f>
        <v>Bettens</v>
      </c>
      <c r="C39" s="351">
        <f>VPI!R39</f>
        <v>22887.22226984127</v>
      </c>
      <c r="D39" s="208">
        <f>(PCS!I45-PCS!F45)/C39</f>
        <v>12.696760564677152</v>
      </c>
      <c r="E39" s="512">
        <f>'Péréquation directe'!E45/C39</f>
        <v>-3.5290046881118928</v>
      </c>
      <c r="F39" s="208">
        <f>'Péréquation directe'!F45/Effort!C39</f>
        <v>-6.0885227544476734</v>
      </c>
      <c r="G39" s="208">
        <f>'Péréquation directe'!G45/Effort!C39</f>
        <v>-1.1522768499392602</v>
      </c>
      <c r="H39" s="208">
        <f>'Péréquation directe'!J45/Effort!C39</f>
        <v>19.27808627509641</v>
      </c>
      <c r="I39" s="378">
        <f t="shared" si="0"/>
        <v>21.205042547274736</v>
      </c>
      <c r="J39" s="225">
        <f t="shared" si="1"/>
        <v>0</v>
      </c>
      <c r="K39" s="42">
        <f t="shared" si="2"/>
        <v>0</v>
      </c>
      <c r="L39" s="239"/>
    </row>
    <row r="40" spans="1:12" x14ac:dyDescent="0.25">
      <c r="A40" s="38">
        <f>Données!A40</f>
        <v>5472</v>
      </c>
      <c r="B40" s="170" t="str">
        <f>Données!B40</f>
        <v>Bournens</v>
      </c>
      <c r="C40" s="351">
        <f>VPI!R40</f>
        <v>22175.50986111111</v>
      </c>
      <c r="D40" s="208">
        <f>(PCS!I46-PCS!F46)/C40</f>
        <v>12.696760564677156</v>
      </c>
      <c r="E40" s="512">
        <f>'Péréquation directe'!E46/C40</f>
        <v>-2.9498866929508556</v>
      </c>
      <c r="F40" s="208">
        <f>'Péréquation directe'!F46/Effort!C40</f>
        <v>-1.9858667048670768</v>
      </c>
      <c r="G40" s="208">
        <f>'Péréquation directe'!G46/Effort!C40</f>
        <v>-0.78368514243919662</v>
      </c>
      <c r="H40" s="208">
        <f>'Péréquation directe'!J46/Effort!C40</f>
        <v>19.27808627509641</v>
      </c>
      <c r="I40" s="378">
        <f t="shared" si="0"/>
        <v>26.255408299516439</v>
      </c>
      <c r="J40" s="225">
        <f t="shared" si="1"/>
        <v>0</v>
      </c>
      <c r="K40" s="42">
        <f t="shared" si="2"/>
        <v>0</v>
      </c>
      <c r="L40" s="239"/>
    </row>
    <row r="41" spans="1:12" x14ac:dyDescent="0.25">
      <c r="A41" s="38">
        <f>Données!A41</f>
        <v>5473</v>
      </c>
      <c r="B41" s="170" t="str">
        <f>Données!B41</f>
        <v>Boussens</v>
      </c>
      <c r="C41" s="351">
        <f>VPI!R41</f>
        <v>37058.091851851859</v>
      </c>
      <c r="D41" s="208">
        <f>(PCS!I47-PCS!F47)/C41</f>
        <v>12.696760564677152</v>
      </c>
      <c r="E41" s="512">
        <f>'Péréquation directe'!E47/C41</f>
        <v>-3.4914213336211875</v>
      </c>
      <c r="F41" s="208">
        <f>'Péréquation directe'!F47/Effort!C41</f>
        <v>-5.3648774917250615</v>
      </c>
      <c r="G41" s="208">
        <f>'Péréquation directe'!G47/Effort!C41</f>
        <v>0</v>
      </c>
      <c r="H41" s="208">
        <f>'Péréquation directe'!J47/Effort!C41</f>
        <v>19.27808627509641</v>
      </c>
      <c r="I41" s="378">
        <f t="shared" si="0"/>
        <v>23.118548014427315</v>
      </c>
      <c r="J41" s="225">
        <f t="shared" si="1"/>
        <v>0</v>
      </c>
      <c r="K41" s="42">
        <f t="shared" si="2"/>
        <v>0</v>
      </c>
      <c r="L41" s="239"/>
    </row>
    <row r="42" spans="1:12" x14ac:dyDescent="0.25">
      <c r="A42" s="38">
        <f>Données!A42</f>
        <v>5474</v>
      </c>
      <c r="B42" s="170" t="str">
        <f>Données!B42</f>
        <v>La Chaux (Cossonay)</v>
      </c>
      <c r="C42" s="351">
        <f>VPI!R42</f>
        <v>12904.367324561405</v>
      </c>
      <c r="D42" s="208">
        <f>(PCS!I48-PCS!F48)/C42</f>
        <v>12.696760564677156</v>
      </c>
      <c r="E42" s="512">
        <f>'Péréquation directe'!E48/C42</f>
        <v>-3.9793977005140015</v>
      </c>
      <c r="F42" s="208">
        <f>'Péréquation directe'!F48/Effort!C42</f>
        <v>-11.037890407566078</v>
      </c>
      <c r="G42" s="208">
        <f>'Péréquation directe'!G48/Effort!C42</f>
        <v>-17.805777708706156</v>
      </c>
      <c r="H42" s="208">
        <f>'Péréquation directe'!J48/Effort!C42</f>
        <v>19.27808627509641</v>
      </c>
      <c r="I42" s="378">
        <f t="shared" si="0"/>
        <v>-0.84821897701266735</v>
      </c>
      <c r="J42" s="225">
        <f t="shared" si="1"/>
        <v>0</v>
      </c>
      <c r="K42" s="42">
        <f t="shared" si="2"/>
        <v>0</v>
      </c>
      <c r="L42" s="239"/>
    </row>
    <row r="43" spans="1:12" x14ac:dyDescent="0.25">
      <c r="A43" s="38">
        <f>Données!A43</f>
        <v>5475</v>
      </c>
      <c r="B43" s="170" t="str">
        <f>Données!B43</f>
        <v>Chavannes-le-Veyron</v>
      </c>
      <c r="C43" s="351">
        <f>VPI!R43</f>
        <v>4277.2565333333332</v>
      </c>
      <c r="D43" s="208">
        <f>(PCS!I49-PCS!F49)/C43</f>
        <v>12.696760564677154</v>
      </c>
      <c r="E43" s="512">
        <f>'Péréquation directe'!E49/C43</f>
        <v>-4.675600422578122</v>
      </c>
      <c r="F43" s="208">
        <f>'Péréquation directe'!F49/Effort!C43</f>
        <v>-16.561345497021549</v>
      </c>
      <c r="G43" s="208">
        <f>'Péréquation directe'!G49/Effort!C43</f>
        <v>-6.4958152926935346</v>
      </c>
      <c r="H43" s="208">
        <f>'Péréquation directe'!J49/Effort!C43</f>
        <v>19.27808627509641</v>
      </c>
      <c r="I43" s="378">
        <f t="shared" si="0"/>
        <v>4.2420856274803569</v>
      </c>
      <c r="J43" s="225">
        <f t="shared" si="1"/>
        <v>0</v>
      </c>
      <c r="K43" s="42">
        <f t="shared" si="2"/>
        <v>0</v>
      </c>
      <c r="L43" s="239"/>
    </row>
    <row r="44" spans="1:12" x14ac:dyDescent="0.25">
      <c r="A44" s="38">
        <f>Données!A44</f>
        <v>5476</v>
      </c>
      <c r="B44" s="170" t="str">
        <f>Données!B44</f>
        <v>Chevilly</v>
      </c>
      <c r="C44" s="351">
        <f>VPI!R44</f>
        <v>12081.593793103451</v>
      </c>
      <c r="D44" s="208">
        <f>(PCS!I50-PCS!F50)/C44</f>
        <v>12.696760564677154</v>
      </c>
      <c r="E44" s="512">
        <f>'Péréquation directe'!E50/C44</f>
        <v>-3.4387660568097345</v>
      </c>
      <c r="F44" s="208">
        <f>'Péréquation directe'!F50/Effort!C44</f>
        <v>-5.8272410315403187</v>
      </c>
      <c r="G44" s="208">
        <f>'Péréquation directe'!G50/Effort!C44</f>
        <v>-0.73638357601939874</v>
      </c>
      <c r="H44" s="208">
        <f>'Péréquation directe'!J50/Effort!C44</f>
        <v>19.27808627509641</v>
      </c>
      <c r="I44" s="378">
        <f t="shared" si="0"/>
        <v>21.972456175404112</v>
      </c>
      <c r="J44" s="225">
        <f t="shared" si="1"/>
        <v>0</v>
      </c>
      <c r="K44" s="42">
        <f t="shared" si="2"/>
        <v>0</v>
      </c>
      <c r="L44" s="239"/>
    </row>
    <row r="45" spans="1:12" x14ac:dyDescent="0.25">
      <c r="A45" s="38">
        <f>Données!A45</f>
        <v>5477</v>
      </c>
      <c r="B45" s="170" t="str">
        <f>Données!B45</f>
        <v>Cossonay</v>
      </c>
      <c r="C45" s="351">
        <f>VPI!R45</f>
        <v>142576.66388489207</v>
      </c>
      <c r="D45" s="208">
        <f>(PCS!I51-PCS!F51)/C45</f>
        <v>12.696760564677156</v>
      </c>
      <c r="E45" s="512">
        <f>'Péréquation directe'!E51/C45</f>
        <v>-10.772474110932597</v>
      </c>
      <c r="F45" s="208">
        <f>'Péréquation directe'!F51/Effort!C45</f>
        <v>-8.7674567212815049</v>
      </c>
      <c r="G45" s="208">
        <f>'Péréquation directe'!G51/Effort!C45</f>
        <v>-5.7212677338923488</v>
      </c>
      <c r="H45" s="208">
        <f>'Péréquation directe'!J51/Effort!C45</f>
        <v>19.27808627509641</v>
      </c>
      <c r="I45" s="378">
        <f t="shared" si="0"/>
        <v>6.7136482736671148</v>
      </c>
      <c r="J45" s="225">
        <f t="shared" si="1"/>
        <v>0</v>
      </c>
      <c r="K45" s="42">
        <f t="shared" si="2"/>
        <v>0</v>
      </c>
      <c r="L45" s="239"/>
    </row>
    <row r="46" spans="1:12" x14ac:dyDescent="0.25">
      <c r="A46" s="38">
        <f>Données!A46</f>
        <v>5479</v>
      </c>
      <c r="B46" s="170" t="str">
        <f>Données!B46</f>
        <v>Cuarnens</v>
      </c>
      <c r="C46" s="351">
        <f>VPI!R46</f>
        <v>17984.468961038958</v>
      </c>
      <c r="D46" s="208">
        <f>(PCS!I52-PCS!F52)/C46</f>
        <v>12.696760564677154</v>
      </c>
      <c r="E46" s="512">
        <f>'Péréquation directe'!E52/C46</f>
        <v>-3.8094992448192584</v>
      </c>
      <c r="F46" s="208">
        <f>'Péréquation directe'!F52/Effort!C46</f>
        <v>-9.8352785197918493</v>
      </c>
      <c r="G46" s="208">
        <f>'Péréquation directe'!G52/Effort!C46</f>
        <v>-5.3930607972415698</v>
      </c>
      <c r="H46" s="208">
        <f>'Péréquation directe'!J52/Effort!C46</f>
        <v>19.27808627509641</v>
      </c>
      <c r="I46" s="378">
        <f t="shared" si="0"/>
        <v>12.937008277920885</v>
      </c>
      <c r="J46" s="225">
        <f t="shared" si="1"/>
        <v>0</v>
      </c>
      <c r="K46" s="42">
        <f t="shared" si="2"/>
        <v>0</v>
      </c>
      <c r="L46" s="239"/>
    </row>
    <row r="47" spans="1:12" x14ac:dyDescent="0.25">
      <c r="A47" s="38">
        <f>Données!A47</f>
        <v>5480</v>
      </c>
      <c r="B47" s="170" t="str">
        <f>Données!B47</f>
        <v>Daillens</v>
      </c>
      <c r="C47" s="351">
        <f>VPI!R47</f>
        <v>41328.998989898995</v>
      </c>
      <c r="D47" s="208">
        <f>(PCS!I53-PCS!F53)/C47</f>
        <v>12.696760564677158</v>
      </c>
      <c r="E47" s="512">
        <f>'Péréquation directe'!E53/C47</f>
        <v>-3.5676836207084612</v>
      </c>
      <c r="F47" s="208">
        <f>'Péréquation directe'!F53/Effort!C47</f>
        <v>-3.8098819749845938</v>
      </c>
      <c r="G47" s="208">
        <f>'Péréquation directe'!G53/Effort!C47</f>
        <v>-3.3533235608846463</v>
      </c>
      <c r="H47" s="208">
        <f>'Péréquation directe'!J53/Effort!C47</f>
        <v>19.27808627509641</v>
      </c>
      <c r="I47" s="378">
        <f t="shared" si="0"/>
        <v>21.243957683195866</v>
      </c>
      <c r="J47" s="225">
        <f t="shared" si="1"/>
        <v>0</v>
      </c>
      <c r="K47" s="42">
        <f t="shared" si="2"/>
        <v>0</v>
      </c>
      <c r="L47" s="239"/>
    </row>
    <row r="48" spans="1:12" x14ac:dyDescent="0.25">
      <c r="A48" s="38">
        <f>Données!A48</f>
        <v>5481</v>
      </c>
      <c r="B48" s="170" t="str">
        <f>Données!B48</f>
        <v>Dizy</v>
      </c>
      <c r="C48" s="351">
        <f>VPI!R48</f>
        <v>8120.2678666666679</v>
      </c>
      <c r="D48" s="208">
        <f>(PCS!I54-PCS!F54)/C48</f>
        <v>12.696760564677154</v>
      </c>
      <c r="E48" s="512">
        <f>'Péréquation directe'!E54/C48</f>
        <v>-3.5750584921886688</v>
      </c>
      <c r="F48" s="208">
        <f>'Péréquation directe'!F54/Effort!C48</f>
        <v>-7.3738403464590405</v>
      </c>
      <c r="G48" s="208">
        <f>'Péréquation directe'!G54/Effort!C48</f>
        <v>-2.1275336089487613</v>
      </c>
      <c r="H48" s="208">
        <f>'Péréquation directe'!J54/Effort!C48</f>
        <v>19.27808627509641</v>
      </c>
      <c r="I48" s="378">
        <f t="shared" si="0"/>
        <v>18.898414392177095</v>
      </c>
      <c r="J48" s="225">
        <f t="shared" si="1"/>
        <v>0</v>
      </c>
      <c r="K48" s="42">
        <f t="shared" si="2"/>
        <v>0</v>
      </c>
      <c r="L48" s="239"/>
    </row>
    <row r="49" spans="1:12" x14ac:dyDescent="0.25">
      <c r="A49" s="38">
        <f>Données!A49</f>
        <v>5482</v>
      </c>
      <c r="B49" s="170" t="str">
        <f>Données!B49</f>
        <v>Eclépens</v>
      </c>
      <c r="C49" s="351">
        <f>VPI!R49</f>
        <v>54169.31369565217</v>
      </c>
      <c r="D49" s="208">
        <f>(PCS!I55-PCS!F55)/C49</f>
        <v>12.696760564677156</v>
      </c>
      <c r="E49" s="512">
        <f>'Péréquation directe'!E55/C49</f>
        <v>-3.7023753321210249</v>
      </c>
      <c r="F49" s="208">
        <f>'Péréquation directe'!F55/Effort!C49</f>
        <v>-0.50782670778460004</v>
      </c>
      <c r="G49" s="208">
        <f>'Péréquation directe'!G55/Effort!C49</f>
        <v>-1.353914473388899</v>
      </c>
      <c r="H49" s="208">
        <f>'Péréquation directe'!J55/Effort!C49</f>
        <v>19.27808627509641</v>
      </c>
      <c r="I49" s="378">
        <f t="shared" si="0"/>
        <v>26.41073032647904</v>
      </c>
      <c r="J49" s="225">
        <f t="shared" si="1"/>
        <v>0</v>
      </c>
      <c r="K49" s="42">
        <f t="shared" si="2"/>
        <v>0</v>
      </c>
      <c r="L49" s="239"/>
    </row>
    <row r="50" spans="1:12" x14ac:dyDescent="0.25">
      <c r="A50" s="38">
        <f>Données!A50</f>
        <v>5483</v>
      </c>
      <c r="B50" s="170" t="str">
        <f>Données!B50</f>
        <v>Ferreyres</v>
      </c>
      <c r="C50" s="351">
        <f>VPI!R50</f>
        <v>10537.013684210528</v>
      </c>
      <c r="D50" s="208">
        <f>(PCS!I56-PCS!F56)/C50</f>
        <v>12.696760564677154</v>
      </c>
      <c r="E50" s="512">
        <f>'Péréquation directe'!E56/C50</f>
        <v>-3.9061069337847627</v>
      </c>
      <c r="F50" s="208">
        <f>'Péréquation directe'!F56/Effort!C50</f>
        <v>-10.409622429804122</v>
      </c>
      <c r="G50" s="208">
        <f>'Péréquation directe'!G56/Effort!C50</f>
        <v>0</v>
      </c>
      <c r="H50" s="208">
        <f>'Péréquation directe'!J56/Effort!C50</f>
        <v>19.27808627509641</v>
      </c>
      <c r="I50" s="378">
        <f t="shared" si="0"/>
        <v>17.659117476184679</v>
      </c>
      <c r="J50" s="225">
        <f t="shared" si="1"/>
        <v>0</v>
      </c>
      <c r="K50" s="42">
        <f t="shared" si="2"/>
        <v>0</v>
      </c>
      <c r="L50" s="239"/>
    </row>
    <row r="51" spans="1:12" x14ac:dyDescent="0.25">
      <c r="A51" s="38">
        <f>Données!A51</f>
        <v>5484</v>
      </c>
      <c r="B51" s="170" t="str">
        <f>Données!B51</f>
        <v>Gollion</v>
      </c>
      <c r="C51" s="351">
        <f>VPI!R51</f>
        <v>35949.064324324332</v>
      </c>
      <c r="D51" s="208">
        <f>(PCS!I57-PCS!F57)/C51</f>
        <v>12.696760564677154</v>
      </c>
      <c r="E51" s="512">
        <f>'Péréquation directe'!E57/C51</f>
        <v>-3.7699718843286187</v>
      </c>
      <c r="F51" s="208">
        <f>'Péréquation directe'!F57/Effort!C51</f>
        <v>-7.8175206345136976</v>
      </c>
      <c r="G51" s="208">
        <f>'Péréquation directe'!G57/Effort!C51</f>
        <v>-4.53642727219649</v>
      </c>
      <c r="H51" s="208">
        <f>'Péréquation directe'!J57/Effort!C51</f>
        <v>19.27808627509641</v>
      </c>
      <c r="I51" s="378">
        <f t="shared" si="0"/>
        <v>15.850927048734757</v>
      </c>
      <c r="J51" s="423">
        <f t="shared" si="1"/>
        <v>0</v>
      </c>
      <c r="K51" s="42">
        <f t="shared" si="2"/>
        <v>0</v>
      </c>
      <c r="L51" s="239"/>
    </row>
    <row r="52" spans="1:12" x14ac:dyDescent="0.25">
      <c r="A52" s="38">
        <f>Données!A52</f>
        <v>5485</v>
      </c>
      <c r="B52" s="170" t="str">
        <f>Données!B52</f>
        <v>Grancy</v>
      </c>
      <c r="C52" s="351">
        <f>VPI!R52</f>
        <v>24486.752</v>
      </c>
      <c r="D52" s="208">
        <f>(PCS!I58-PCS!F58)/C52</f>
        <v>14.501531673478976</v>
      </c>
      <c r="E52" s="512">
        <f>'Péréquation directe'!E58/C52</f>
        <v>-2.3447676713841346</v>
      </c>
      <c r="F52" s="208">
        <f>'Péréquation directe'!F58/Effort!C52</f>
        <v>0</v>
      </c>
      <c r="G52" s="208">
        <f>'Péréquation directe'!G58/Effort!C52</f>
        <v>-1.6640094202775444</v>
      </c>
      <c r="H52" s="208">
        <f>'Péréquation directe'!J58/Effort!C52</f>
        <v>19.27808627509641</v>
      </c>
      <c r="I52" s="378">
        <f t="shared" si="0"/>
        <v>29.770840856913708</v>
      </c>
      <c r="J52" s="225">
        <f t="shared" si="1"/>
        <v>0</v>
      </c>
      <c r="K52" s="42">
        <f t="shared" si="2"/>
        <v>0</v>
      </c>
      <c r="L52" s="239"/>
    </row>
    <row r="53" spans="1:12" x14ac:dyDescent="0.25">
      <c r="A53" s="38">
        <f>Données!A53</f>
        <v>5486</v>
      </c>
      <c r="B53" s="170" t="str">
        <f>Données!B53</f>
        <v>L'Isle</v>
      </c>
      <c r="C53" s="31">
        <f>VPI!R53</f>
        <v>29228.321066666667</v>
      </c>
      <c r="D53" s="240">
        <f>(PCS!I59-PCS!F59)/C53</f>
        <v>12.696760564677154</v>
      </c>
      <c r="E53" s="418">
        <f>'Péréquation directe'!E59/C53</f>
        <v>-5.3908086391585215</v>
      </c>
      <c r="F53" s="240">
        <f>'Péréquation directe'!F59/Effort!C53</f>
        <v>-17.291702472682481</v>
      </c>
      <c r="G53" s="240">
        <f>'Péréquation directe'!G59/Effort!C53</f>
        <v>-12.071231597437677</v>
      </c>
      <c r="H53" s="240">
        <f>'Péréquation directe'!J59/Effort!C53</f>
        <v>19.27808627509641</v>
      </c>
      <c r="I53" s="547">
        <f t="shared" si="0"/>
        <v>-2.7788958695051171</v>
      </c>
      <c r="J53" s="242">
        <f t="shared" si="1"/>
        <v>0</v>
      </c>
      <c r="K53" s="42">
        <f t="shared" si="2"/>
        <v>0</v>
      </c>
      <c r="L53" s="548"/>
    </row>
    <row r="54" spans="1:12" x14ac:dyDescent="0.25">
      <c r="A54" s="38">
        <f>Données!A54</f>
        <v>5487</v>
      </c>
      <c r="B54" s="170" t="str">
        <f>Données!B54</f>
        <v>Lussery-Villars</v>
      </c>
      <c r="C54" s="351">
        <f>VPI!R54</f>
        <v>16622.186533333337</v>
      </c>
      <c r="D54" s="208">
        <f>(PCS!I60-PCS!F60)/C54</f>
        <v>12.696760564677154</v>
      </c>
      <c r="E54" s="512">
        <f>'Péréquation directe'!E60/C54</f>
        <v>-3.687028098859094</v>
      </c>
      <c r="F54" s="208">
        <f>'Péréquation directe'!F60/Effort!C54</f>
        <v>-8.308581049729618</v>
      </c>
      <c r="G54" s="208">
        <f>'Péréquation directe'!G60/Effort!C54</f>
        <v>-1.4292121407950493</v>
      </c>
      <c r="H54" s="208">
        <f>'Péréquation directe'!J60/Effort!C54</f>
        <v>19.27808627509641</v>
      </c>
      <c r="I54" s="378">
        <f t="shared" si="0"/>
        <v>18.550025550389805</v>
      </c>
      <c r="J54" s="225">
        <f t="shared" si="1"/>
        <v>0</v>
      </c>
      <c r="K54" s="42">
        <f t="shared" si="2"/>
        <v>0</v>
      </c>
      <c r="L54" s="239"/>
    </row>
    <row r="55" spans="1:12" x14ac:dyDescent="0.25">
      <c r="A55" s="38">
        <f>Données!A55</f>
        <v>5488</v>
      </c>
      <c r="B55" s="170" t="str">
        <f>Données!B55</f>
        <v>Mauraz</v>
      </c>
      <c r="C55" s="351">
        <f>VPI!R55</f>
        <v>1729.1580519480517</v>
      </c>
      <c r="D55" s="208">
        <f>(PCS!I61-PCS!F61)/C55</f>
        <v>12.696760564677154</v>
      </c>
      <c r="E55" s="512">
        <f>'Péréquation directe'!E61/C55</f>
        <v>-4.4770046806487578</v>
      </c>
      <c r="F55" s="208">
        <f>'Péréquation directe'!F61/Effort!C55</f>
        <v>-15.708883455772233</v>
      </c>
      <c r="G55" s="208">
        <f>'Péréquation directe'!G61/Effort!C55</f>
        <v>0</v>
      </c>
      <c r="H55" s="208">
        <f>'Péréquation directe'!J61/Effort!C55</f>
        <v>19.27808627509641</v>
      </c>
      <c r="I55" s="378">
        <f t="shared" si="0"/>
        <v>11.788958703352574</v>
      </c>
      <c r="J55" s="225">
        <f t="shared" si="1"/>
        <v>0</v>
      </c>
      <c r="K55" s="42">
        <f t="shared" si="2"/>
        <v>0</v>
      </c>
      <c r="L55" s="239"/>
    </row>
    <row r="56" spans="1:12" x14ac:dyDescent="0.25">
      <c r="A56" s="38">
        <f>Données!A56</f>
        <v>5489</v>
      </c>
      <c r="B56" s="170" t="str">
        <f>Données!B56</f>
        <v>Mex</v>
      </c>
      <c r="C56" s="351">
        <f>VPI!R56</f>
        <v>50433.121512605037</v>
      </c>
      <c r="D56" s="208">
        <f>(PCS!I62-PCS!F62)/C56</f>
        <v>16.160387587647978</v>
      </c>
      <c r="E56" s="512">
        <f>'Péréquation directe'!E62/C56</f>
        <v>-2.0338656837925289</v>
      </c>
      <c r="F56" s="208">
        <f>'Péréquation directe'!F62/Effort!C56</f>
        <v>0</v>
      </c>
      <c r="G56" s="208">
        <f>'Péréquation directe'!G62/Effort!C56</f>
        <v>0</v>
      </c>
      <c r="H56" s="208">
        <f>'Péréquation directe'!J62/Effort!C56</f>
        <v>19.27808627509641</v>
      </c>
      <c r="I56" s="378">
        <f t="shared" si="0"/>
        <v>33.404608178951861</v>
      </c>
      <c r="J56" s="225">
        <f t="shared" si="1"/>
        <v>0</v>
      </c>
      <c r="K56" s="42">
        <f t="shared" si="2"/>
        <v>0</v>
      </c>
      <c r="L56" s="239"/>
    </row>
    <row r="57" spans="1:12" x14ac:dyDescent="0.25">
      <c r="A57" s="38">
        <f>Données!A57</f>
        <v>5490</v>
      </c>
      <c r="B57" s="170" t="str">
        <f>Données!B57</f>
        <v>Moiry</v>
      </c>
      <c r="C57" s="351">
        <f>VPI!R57</f>
        <v>9056.7353548387091</v>
      </c>
      <c r="D57" s="208">
        <f>(PCS!I63-PCS!F63)/C57</f>
        <v>12.696760564677154</v>
      </c>
      <c r="E57" s="512">
        <f>'Péréquation directe'!E63/C57</f>
        <v>-4.2881089138687134</v>
      </c>
      <c r="F57" s="208">
        <f>'Péréquation directe'!F63/Effort!C57</f>
        <v>-14.229743345679005</v>
      </c>
      <c r="G57" s="208">
        <f>'Péréquation directe'!G63/Effort!C57</f>
        <v>-1.4498698876027383</v>
      </c>
      <c r="H57" s="208">
        <f>'Péréquation directe'!J63/Effort!C57</f>
        <v>19.27808627509641</v>
      </c>
      <c r="I57" s="378">
        <f t="shared" si="0"/>
        <v>12.007124692623108</v>
      </c>
      <c r="J57" s="225">
        <f t="shared" si="1"/>
        <v>0</v>
      </c>
      <c r="K57" s="42">
        <f t="shared" si="2"/>
        <v>0</v>
      </c>
      <c r="L57" s="239"/>
    </row>
    <row r="58" spans="1:12" x14ac:dyDescent="0.25">
      <c r="A58" s="38">
        <f>Données!A58</f>
        <v>5491</v>
      </c>
      <c r="B58" s="170" t="str">
        <f>Données!B58</f>
        <v>Mont-la-Ville</v>
      </c>
      <c r="C58" s="351">
        <f>VPI!R58</f>
        <v>13648.672236842105</v>
      </c>
      <c r="D58" s="208">
        <f>(PCS!I64-PCS!F64)/C58</f>
        <v>12.696760564677154</v>
      </c>
      <c r="E58" s="512">
        <f>'Péréquation directe'!E64/C58</f>
        <v>-4.8022448232463635</v>
      </c>
      <c r="F58" s="208">
        <f>'Péréquation directe'!F64/Effort!C58</f>
        <v>-18.091555157945358</v>
      </c>
      <c r="G58" s="208">
        <f>'Péréquation directe'!G64/Effort!C58</f>
        <v>-12.7189087382695</v>
      </c>
      <c r="H58" s="208">
        <f>'Péréquation directe'!J64/Effort!C58</f>
        <v>19.27808627509641</v>
      </c>
      <c r="I58" s="378">
        <f t="shared" si="0"/>
        <v>-3.6378618796876587</v>
      </c>
      <c r="J58" s="225">
        <f t="shared" si="1"/>
        <v>0</v>
      </c>
      <c r="K58" s="42">
        <f t="shared" si="2"/>
        <v>0</v>
      </c>
      <c r="L58" s="239"/>
    </row>
    <row r="59" spans="1:12" x14ac:dyDescent="0.25">
      <c r="A59" s="38">
        <f>Données!A59</f>
        <v>5492</v>
      </c>
      <c r="B59" s="170" t="str">
        <f>Données!B59</f>
        <v>Montricher</v>
      </c>
      <c r="C59" s="351">
        <f>VPI!R59</f>
        <v>175265.155</v>
      </c>
      <c r="D59" s="208">
        <f>(PCS!I65-PCS!F65)/C59</f>
        <v>34.441239409250095</v>
      </c>
      <c r="E59" s="512">
        <f>'Péréquation directe'!E65/C59</f>
        <v>-0.72217826821709186</v>
      </c>
      <c r="F59" s="208">
        <f>'Péréquation directe'!F65/Effort!C59</f>
        <v>0</v>
      </c>
      <c r="G59" s="208">
        <f>'Péréquation directe'!G65/Effort!C59</f>
        <v>-0.97164141811302995</v>
      </c>
      <c r="H59" s="208">
        <f>'Péréquation directe'!J65/Effort!C59</f>
        <v>19.27808627509641</v>
      </c>
      <c r="I59" s="378">
        <f t="shared" si="0"/>
        <v>52.025505998016385</v>
      </c>
      <c r="J59" s="225">
        <f t="shared" si="1"/>
        <v>4.025505998016385</v>
      </c>
      <c r="K59" s="42">
        <f t="shared" si="2"/>
        <v>-705530.93269577145</v>
      </c>
      <c r="L59" s="239"/>
    </row>
    <row r="60" spans="1:12" x14ac:dyDescent="0.25">
      <c r="A60" s="38">
        <f>Données!A60</f>
        <v>5493</v>
      </c>
      <c r="B60" s="170" t="str">
        <f>Données!B60</f>
        <v>Orny</v>
      </c>
      <c r="C60" s="351">
        <f>VPI!R60</f>
        <v>13489.645489989463</v>
      </c>
      <c r="D60" s="208">
        <f>(PCS!I66-PCS!F66)/C60</f>
        <v>12.696760564677154</v>
      </c>
      <c r="E60" s="512">
        <f>'Péréquation directe'!E66/C60</f>
        <v>-4.5910464869652925</v>
      </c>
      <c r="F60" s="208">
        <f>'Péréquation directe'!F66/Effort!C60</f>
        <v>-15.021124981400041</v>
      </c>
      <c r="G60" s="208">
        <f>'Péréquation directe'!G66/Effort!C60</f>
        <v>0</v>
      </c>
      <c r="H60" s="208">
        <f>'Péréquation directe'!J66/Effort!C60</f>
        <v>19.27808627509641</v>
      </c>
      <c r="I60" s="378">
        <f t="shared" si="0"/>
        <v>12.362675371408232</v>
      </c>
      <c r="J60" s="225">
        <f t="shared" si="1"/>
        <v>0</v>
      </c>
      <c r="K60" s="42">
        <f t="shared" si="2"/>
        <v>0</v>
      </c>
      <c r="L60" s="239"/>
    </row>
    <row r="61" spans="1:12" x14ac:dyDescent="0.25">
      <c r="A61" s="38">
        <f>Données!A61</f>
        <v>5495</v>
      </c>
      <c r="B61" s="170" t="str">
        <f>Données!B61</f>
        <v>Penthalaz</v>
      </c>
      <c r="C61" s="351">
        <f>VPI!R61</f>
        <v>95307.914324324302</v>
      </c>
      <c r="D61" s="208">
        <f>(PCS!I67-PCS!F67)/C61</f>
        <v>12.696760564677154</v>
      </c>
      <c r="E61" s="512">
        <f>'Péréquation directe'!E67/C61</f>
        <v>-10.07198242278572</v>
      </c>
      <c r="F61" s="208">
        <f>'Péréquation directe'!F67/Effort!C61</f>
        <v>-13.440511272792833</v>
      </c>
      <c r="G61" s="208">
        <f>'Péréquation directe'!G67/Effort!C61</f>
        <v>-6.7703455544968341</v>
      </c>
      <c r="H61" s="208">
        <f>'Péréquation directe'!J67/Effort!C61</f>
        <v>19.27808627509641</v>
      </c>
      <c r="I61" s="378">
        <f t="shared" si="0"/>
        <v>1.6920075896981785</v>
      </c>
      <c r="J61" s="225">
        <f t="shared" si="1"/>
        <v>0</v>
      </c>
      <c r="K61" s="42">
        <f t="shared" si="2"/>
        <v>0</v>
      </c>
      <c r="L61" s="239"/>
    </row>
    <row r="62" spans="1:12" x14ac:dyDescent="0.25">
      <c r="A62" s="38">
        <f>Données!A62</f>
        <v>5496</v>
      </c>
      <c r="B62" s="170" t="str">
        <f>Données!B62</f>
        <v>Penthaz</v>
      </c>
      <c r="C62" s="351">
        <f>VPI!R62</f>
        <v>56262.398705035986</v>
      </c>
      <c r="D62" s="208">
        <f>(PCS!I68-PCS!F68)/C62</f>
        <v>12.696760564677156</v>
      </c>
      <c r="E62" s="512">
        <f>'Péréquation directe'!E68/C62</f>
        <v>-8.0080537668752338</v>
      </c>
      <c r="F62" s="208">
        <f>'Péréquation directe'!F68/Effort!C62</f>
        <v>-11.774428030931421</v>
      </c>
      <c r="G62" s="208">
        <f>'Péréquation directe'!G68/Effort!C62</f>
        <v>-5.0060540299106311</v>
      </c>
      <c r="H62" s="208">
        <f>'Péréquation directe'!J68/Effort!C62</f>
        <v>19.27808627509641</v>
      </c>
      <c r="I62" s="378">
        <f t="shared" si="0"/>
        <v>7.1863110120562794</v>
      </c>
      <c r="J62" s="225">
        <f t="shared" si="1"/>
        <v>0</v>
      </c>
      <c r="K62" s="42">
        <f t="shared" si="2"/>
        <v>0</v>
      </c>
      <c r="L62" s="239"/>
    </row>
    <row r="63" spans="1:12" x14ac:dyDescent="0.25">
      <c r="A63" s="38">
        <f>Données!A63</f>
        <v>5497</v>
      </c>
      <c r="B63" s="170" t="str">
        <f>Données!B63</f>
        <v>Pompaples</v>
      </c>
      <c r="C63" s="351">
        <f>VPI!R63</f>
        <v>22253.218787878792</v>
      </c>
      <c r="D63" s="208">
        <f>(PCS!I69-PCS!F69)/C63</f>
        <v>12.696760564677154</v>
      </c>
      <c r="E63" s="512">
        <f>'Péréquation directe'!E69/C63</f>
        <v>-4.9225013261286241</v>
      </c>
      <c r="F63" s="208">
        <f>'Péréquation directe'!F69/Effort!C63</f>
        <v>-14.421275517052971</v>
      </c>
      <c r="G63" s="208">
        <f>'Péréquation directe'!G69/Effort!C63</f>
        <v>-5.4611060283522876</v>
      </c>
      <c r="H63" s="208">
        <f>'Péréquation directe'!J69/Effort!C63</f>
        <v>19.27808627509641</v>
      </c>
      <c r="I63" s="378">
        <f t="shared" si="0"/>
        <v>7.1699639682396814</v>
      </c>
      <c r="J63" s="225">
        <f t="shared" si="1"/>
        <v>0</v>
      </c>
      <c r="K63" s="42">
        <f t="shared" si="2"/>
        <v>0</v>
      </c>
      <c r="L63" s="239"/>
    </row>
    <row r="64" spans="1:12" x14ac:dyDescent="0.25">
      <c r="A64" s="38">
        <f>Données!A64</f>
        <v>5498</v>
      </c>
      <c r="B64" s="170" t="str">
        <f>Données!B64</f>
        <v>La Sarraz</v>
      </c>
      <c r="C64" s="351">
        <f>VPI!R64</f>
        <v>74676.731060606064</v>
      </c>
      <c r="D64" s="208">
        <f>(PCS!I70-PCS!F70)/C64</f>
        <v>12.696760564677152</v>
      </c>
      <c r="E64" s="512">
        <f>'Péréquation directe'!E70/C64</f>
        <v>-9.5649294747018718</v>
      </c>
      <c r="F64" s="208">
        <f>'Péréquation directe'!F70/Effort!C64</f>
        <v>-11.862846757302895</v>
      </c>
      <c r="G64" s="208">
        <f>'Péréquation directe'!G70/Effort!C64</f>
        <v>-7.1424372232293969</v>
      </c>
      <c r="H64" s="208">
        <f>'Péréquation directe'!J70/Effort!C64</f>
        <v>19.27808627509641</v>
      </c>
      <c r="I64" s="378">
        <f t="shared" si="0"/>
        <v>3.4046333845393981</v>
      </c>
      <c r="J64" s="225">
        <f t="shared" si="1"/>
        <v>0</v>
      </c>
      <c r="K64" s="42">
        <f t="shared" si="2"/>
        <v>0</v>
      </c>
      <c r="L64" s="239"/>
    </row>
    <row r="65" spans="1:12" x14ac:dyDescent="0.25">
      <c r="A65" s="38">
        <f>Données!A65</f>
        <v>5499</v>
      </c>
      <c r="B65" s="170" t="str">
        <f>Données!B65</f>
        <v>Senarclens</v>
      </c>
      <c r="C65" s="351">
        <f>VPI!R65</f>
        <v>18237.495182481751</v>
      </c>
      <c r="D65" s="208">
        <f>(PCS!I71-PCS!F71)/C65</f>
        <v>12.696760564677156</v>
      </c>
      <c r="E65" s="512">
        <f>'Péréquation directe'!E71/C65</f>
        <v>-3.4736598692367102</v>
      </c>
      <c r="F65" s="208">
        <f>'Péréquation directe'!F71/Effort!C65</f>
        <v>-5.4449686118275702</v>
      </c>
      <c r="G65" s="208">
        <f>'Péréquation directe'!G71/Effort!C65</f>
        <v>-9.2611006728241811</v>
      </c>
      <c r="H65" s="208">
        <f>'Péréquation directe'!J71/Effort!C65</f>
        <v>19.27808627509641</v>
      </c>
      <c r="I65" s="378">
        <f t="shared" si="0"/>
        <v>13.795117685885103</v>
      </c>
      <c r="J65" s="225">
        <f t="shared" si="1"/>
        <v>0</v>
      </c>
      <c r="K65" s="42">
        <f t="shared" si="2"/>
        <v>0</v>
      </c>
      <c r="L65" s="239"/>
    </row>
    <row r="66" spans="1:12" x14ac:dyDescent="0.25">
      <c r="A66" s="38">
        <f>Données!A66</f>
        <v>5501</v>
      </c>
      <c r="B66" s="170" t="str">
        <f>Données!B66</f>
        <v>Sullens</v>
      </c>
      <c r="C66" s="351">
        <f>VPI!R66</f>
        <v>43189.9197080292</v>
      </c>
      <c r="D66" s="208">
        <f>(PCS!I72-PCS!F72)/C66</f>
        <v>12.696760564677158</v>
      </c>
      <c r="E66" s="512">
        <f>'Péréquation directe'!E72/C66</f>
        <v>-4.1835088765228434</v>
      </c>
      <c r="F66" s="208">
        <f>'Péréquation directe'!F72/Effort!C66</f>
        <v>-5.0334098752685899</v>
      </c>
      <c r="G66" s="208">
        <f>'Péréquation directe'!G72/Effort!C66</f>
        <v>-0.74919778016599192</v>
      </c>
      <c r="H66" s="208">
        <f>'Péréquation directe'!J72/Effort!C66</f>
        <v>19.27808627509641</v>
      </c>
      <c r="I66" s="378">
        <f t="shared" si="0"/>
        <v>22.008730307816144</v>
      </c>
      <c r="J66" s="225">
        <f t="shared" si="1"/>
        <v>0</v>
      </c>
      <c r="K66" s="42">
        <f t="shared" si="2"/>
        <v>0</v>
      </c>
      <c r="L66" s="239"/>
    </row>
    <row r="67" spans="1:12" x14ac:dyDescent="0.25">
      <c r="A67" s="38">
        <f>Données!A67</f>
        <v>5503</v>
      </c>
      <c r="B67" s="170" t="str">
        <f>Données!B67</f>
        <v>Vufflens-la-Ville</v>
      </c>
      <c r="C67" s="351">
        <f>VPI!R67</f>
        <v>79644.71771144279</v>
      </c>
      <c r="D67" s="208">
        <f>(PCS!I73-PCS!F73)/C67</f>
        <v>15.428914722201604</v>
      </c>
      <c r="E67" s="512">
        <f>'Péréquation directe'!E73/C67</f>
        <v>-3.1894486378726259</v>
      </c>
      <c r="F67" s="208">
        <f>'Péréquation directe'!F73/Effort!C67</f>
        <v>0</v>
      </c>
      <c r="G67" s="208">
        <f>'Péréquation directe'!G73/Effort!C67</f>
        <v>0</v>
      </c>
      <c r="H67" s="208">
        <f>'Péréquation directe'!J73/Effort!C67</f>
        <v>19.27808627509641</v>
      </c>
      <c r="I67" s="378">
        <f t="shared" si="0"/>
        <v>31.517552359425387</v>
      </c>
      <c r="J67" s="225">
        <f t="shared" si="1"/>
        <v>0</v>
      </c>
      <c r="K67" s="42">
        <f t="shared" si="2"/>
        <v>0</v>
      </c>
      <c r="L67" s="239"/>
    </row>
    <row r="68" spans="1:12" x14ac:dyDescent="0.25">
      <c r="A68" s="38">
        <f>Données!A68</f>
        <v>5511</v>
      </c>
      <c r="B68" s="170" t="str">
        <f>Données!B68</f>
        <v>Assens</v>
      </c>
      <c r="C68" s="351">
        <f>VPI!R68</f>
        <v>70063.08636788046</v>
      </c>
      <c r="D68" s="208">
        <f>(PCS!I74-PCS!F74)/C68</f>
        <v>12.696760564677154</v>
      </c>
      <c r="E68" s="512">
        <f>'Péréquation directe'!E74/C68</f>
        <v>-5.2911196502496312</v>
      </c>
      <c r="F68" s="208">
        <f>'Péréquation directe'!F74/Effort!C68</f>
        <v>-2.7257266312684245</v>
      </c>
      <c r="G68" s="208">
        <f>'Péréquation directe'!G74/Effort!C68</f>
        <v>-7.7620114954289177</v>
      </c>
      <c r="H68" s="208">
        <f>'Péréquation directe'!J74/Effort!C68</f>
        <v>19.27808627509641</v>
      </c>
      <c r="I68" s="378">
        <f t="shared" si="0"/>
        <v>16.195989062826591</v>
      </c>
      <c r="J68" s="225">
        <f t="shared" si="1"/>
        <v>0</v>
      </c>
      <c r="K68" s="42">
        <f t="shared" si="2"/>
        <v>0</v>
      </c>
      <c r="L68" s="239"/>
    </row>
    <row r="69" spans="1:12" x14ac:dyDescent="0.25">
      <c r="A69" s="38">
        <f>Données!A69</f>
        <v>5512</v>
      </c>
      <c r="B69" s="170" t="str">
        <f>Données!B69</f>
        <v>Bercher</v>
      </c>
      <c r="C69" s="351">
        <f>VPI!R69</f>
        <v>40760.724050632911</v>
      </c>
      <c r="D69" s="208">
        <f>(PCS!I75-PCS!F75)/C69</f>
        <v>12.696760564677156</v>
      </c>
      <c r="E69" s="512">
        <f>'Péréquation directe'!E75/C69</f>
        <v>-6.0016053288983136</v>
      </c>
      <c r="F69" s="208">
        <f>'Péréquation directe'!F75/Effort!C69</f>
        <v>-13.769114713445301</v>
      </c>
      <c r="G69" s="208">
        <f>'Péréquation directe'!G75/Effort!C69</f>
        <v>-5.662513634681587</v>
      </c>
      <c r="H69" s="208">
        <f>'Péréquation directe'!J75/Effort!C69</f>
        <v>19.27808627509641</v>
      </c>
      <c r="I69" s="378">
        <f t="shared" si="0"/>
        <v>6.541613162748364</v>
      </c>
      <c r="J69" s="225">
        <f t="shared" si="1"/>
        <v>0</v>
      </c>
      <c r="K69" s="42">
        <f t="shared" si="2"/>
        <v>0</v>
      </c>
      <c r="L69" s="239"/>
    </row>
    <row r="70" spans="1:12" x14ac:dyDescent="0.25">
      <c r="A70" s="38">
        <f>Données!A70</f>
        <v>5514</v>
      </c>
      <c r="B70" s="170" t="str">
        <f>Données!B70</f>
        <v>Bottens</v>
      </c>
      <c r="C70" s="351">
        <f>VPI!R70</f>
        <v>44222.939448275865</v>
      </c>
      <c r="D70" s="208">
        <f>(PCS!I76-PCS!F76)/C70</f>
        <v>12.696760564677154</v>
      </c>
      <c r="E70" s="512">
        <f>'Péréquation directe'!E76/C70</f>
        <v>-5.8340011609187918</v>
      </c>
      <c r="F70" s="208">
        <f>'Péréquation directe'!F76/Effort!C70</f>
        <v>-9.8867927006281686</v>
      </c>
      <c r="G70" s="208">
        <f>'Péréquation directe'!G76/Effort!C70</f>
        <v>-0.95713590816033012</v>
      </c>
      <c r="H70" s="208">
        <f>'Péréquation directe'!J76/Effort!C70</f>
        <v>19.27808627509641</v>
      </c>
      <c r="I70" s="378">
        <f t="shared" si="0"/>
        <v>15.296917070066273</v>
      </c>
      <c r="J70" s="225">
        <f t="shared" si="1"/>
        <v>0</v>
      </c>
      <c r="K70" s="42">
        <f t="shared" si="2"/>
        <v>0</v>
      </c>
      <c r="L70" s="239"/>
    </row>
    <row r="71" spans="1:12" x14ac:dyDescent="0.25">
      <c r="A71" s="38">
        <f>Données!A71</f>
        <v>5515</v>
      </c>
      <c r="B71" s="170" t="str">
        <f>Données!B71</f>
        <v>Bretigny-sur-Morrens</v>
      </c>
      <c r="C71" s="351">
        <f>VPI!R71</f>
        <v>32347.747307692302</v>
      </c>
      <c r="D71" s="208">
        <f>(PCS!I77-PCS!F77)/C71</f>
        <v>12.696760564677154</v>
      </c>
      <c r="E71" s="512">
        <f>'Péréquation directe'!E77/C71</f>
        <v>-3.5179975499433422</v>
      </c>
      <c r="F71" s="208">
        <f>'Péréquation directe'!F77/Effort!C71</f>
        <v>-7.4603210848468091</v>
      </c>
      <c r="G71" s="208">
        <f>'Péréquation directe'!G77/Effort!C71</f>
        <v>-8.6720708247392775</v>
      </c>
      <c r="H71" s="208">
        <f>'Péréquation directe'!J77/Effort!C71</f>
        <v>19.27808627509641</v>
      </c>
      <c r="I71" s="378">
        <f t="shared" ref="I71:I134" si="3">SUM(D71:H71)</f>
        <v>12.324457380244136</v>
      </c>
      <c r="J71" s="225">
        <f t="shared" ref="J71:J134" si="4">IF(I71&gt;J$5,I71-J$5,0)</f>
        <v>0</v>
      </c>
      <c r="K71" s="42">
        <f t="shared" ref="K71:K134" si="5">-J71*C71</f>
        <v>0</v>
      </c>
      <c r="L71" s="239"/>
    </row>
    <row r="72" spans="1:12" x14ac:dyDescent="0.25">
      <c r="A72" s="38">
        <f>Données!A72</f>
        <v>5516</v>
      </c>
      <c r="B72" s="170" t="str">
        <f>Données!B72</f>
        <v>Cugy</v>
      </c>
      <c r="C72" s="351">
        <f>VPI!R72</f>
        <v>111596.10185897433</v>
      </c>
      <c r="D72" s="208">
        <f>(PCS!I78-PCS!F78)/C72</f>
        <v>12.696760564677154</v>
      </c>
      <c r="E72" s="512">
        <f>'Péréquation directe'!E78/C72</f>
        <v>-6.7663734920313594</v>
      </c>
      <c r="F72" s="208">
        <f>'Péréquation directe'!F78/Effort!C72</f>
        <v>-4.2261526573770078</v>
      </c>
      <c r="G72" s="208">
        <f>'Péréquation directe'!G78/Effort!C72</f>
        <v>-2.3755815340321829</v>
      </c>
      <c r="H72" s="208">
        <f>'Péréquation directe'!J78/Effort!C72</f>
        <v>19.27808627509641</v>
      </c>
      <c r="I72" s="378">
        <f t="shared" si="3"/>
        <v>18.606739156333013</v>
      </c>
      <c r="J72" s="225">
        <f t="shared" si="4"/>
        <v>0</v>
      </c>
      <c r="K72" s="42">
        <f t="shared" si="5"/>
        <v>0</v>
      </c>
      <c r="L72" s="239"/>
    </row>
    <row r="73" spans="1:12" x14ac:dyDescent="0.25">
      <c r="A73" s="38">
        <f>Données!A73</f>
        <v>5518</v>
      </c>
      <c r="B73" s="170" t="str">
        <f>Données!B73</f>
        <v>Echallens</v>
      </c>
      <c r="C73" s="351">
        <f>VPI!R73</f>
        <v>183008.89172413788</v>
      </c>
      <c r="D73" s="208">
        <f>(PCS!I79-PCS!F79)/C73</f>
        <v>12.696760564677154</v>
      </c>
      <c r="E73" s="512">
        <f>'Péréquation directe'!E79/C73</f>
        <v>-12.794061204960576</v>
      </c>
      <c r="F73" s="208">
        <f>'Péréquation directe'!F79/Effort!C73</f>
        <v>-10.564874471343401</v>
      </c>
      <c r="G73" s="208">
        <f>'Péréquation directe'!G79/Effort!C73</f>
        <v>-7.6573405065342008</v>
      </c>
      <c r="H73" s="208">
        <f>'Péréquation directe'!J79/Effort!C73</f>
        <v>19.27808627509641</v>
      </c>
      <c r="I73" s="378">
        <f t="shared" si="3"/>
        <v>0.95857065693538601</v>
      </c>
      <c r="J73" s="225">
        <f t="shared" si="4"/>
        <v>0</v>
      </c>
      <c r="K73" s="42">
        <f t="shared" si="5"/>
        <v>0</v>
      </c>
      <c r="L73" s="239"/>
    </row>
    <row r="74" spans="1:12" x14ac:dyDescent="0.25">
      <c r="A74" s="38">
        <f>Données!A74</f>
        <v>5520</v>
      </c>
      <c r="B74" s="170" t="str">
        <f>Données!B74</f>
        <v>Essertines-sur-Yverdon</v>
      </c>
      <c r="C74" s="351">
        <f>VPI!R74</f>
        <v>31695.423698630133</v>
      </c>
      <c r="D74" s="208">
        <f>(PCS!I80-PCS!F80)/C74</f>
        <v>12.696760564677154</v>
      </c>
      <c r="E74" s="512">
        <f>'Péréquation directe'!E80/C74</f>
        <v>-4.743237857650322</v>
      </c>
      <c r="F74" s="208">
        <f>'Péréquation directe'!F80/Effort!C74</f>
        <v>-12.805675553705751</v>
      </c>
      <c r="G74" s="208">
        <f>'Péréquation directe'!G80/Effort!C74</f>
        <v>-7.0676808792408838</v>
      </c>
      <c r="H74" s="208">
        <f>'Péréquation directe'!J80/Effort!C74</f>
        <v>19.27808627509641</v>
      </c>
      <c r="I74" s="378">
        <f t="shared" si="3"/>
        <v>7.3582525491766084</v>
      </c>
      <c r="J74" s="225">
        <f t="shared" si="4"/>
        <v>0</v>
      </c>
      <c r="K74" s="42">
        <f t="shared" si="5"/>
        <v>0</v>
      </c>
      <c r="L74" s="239"/>
    </row>
    <row r="75" spans="1:12" x14ac:dyDescent="0.25">
      <c r="A75" s="38">
        <f>Données!A75</f>
        <v>5521</v>
      </c>
      <c r="B75" s="170" t="str">
        <f>Données!B75</f>
        <v>Etagnières</v>
      </c>
      <c r="C75" s="351">
        <f>VPI!R75</f>
        <v>42637.34945205479</v>
      </c>
      <c r="D75" s="208">
        <f>(PCS!I81-PCS!F81)/C75</f>
        <v>12.696760564677154</v>
      </c>
      <c r="E75" s="512">
        <f>'Péréquation directe'!E81/C75</f>
        <v>-4.2800913482726672</v>
      </c>
      <c r="F75" s="208">
        <f>'Péréquation directe'!F81/Effort!C75</f>
        <v>-6.1861030206620669</v>
      </c>
      <c r="G75" s="208">
        <f>'Péréquation directe'!G81/Effort!C75</f>
        <v>-2.2769157683415209</v>
      </c>
      <c r="H75" s="208">
        <f>'Péréquation directe'!J81/Effort!C75</f>
        <v>19.27808627509641</v>
      </c>
      <c r="I75" s="378">
        <f t="shared" si="3"/>
        <v>19.231736702497308</v>
      </c>
      <c r="J75" s="225">
        <f t="shared" si="4"/>
        <v>0</v>
      </c>
      <c r="K75" s="42">
        <f t="shared" si="5"/>
        <v>0</v>
      </c>
      <c r="L75" s="239"/>
    </row>
    <row r="76" spans="1:12" x14ac:dyDescent="0.25">
      <c r="A76" s="38">
        <f>Données!A76</f>
        <v>5522</v>
      </c>
      <c r="B76" s="170" t="str">
        <f>Données!B76</f>
        <v>Fey</v>
      </c>
      <c r="C76" s="351">
        <f>VPI!R76</f>
        <v>23923.447333333334</v>
      </c>
      <c r="D76" s="208">
        <f>(PCS!I82-PCS!F82)/C76</f>
        <v>12.696760564677154</v>
      </c>
      <c r="E76" s="512">
        <f>'Péréquation directe'!E82/C76</f>
        <v>-4.0664793779882631</v>
      </c>
      <c r="F76" s="208">
        <f>'Péréquation directe'!F82/Effort!C76</f>
        <v>-11.476302774019659</v>
      </c>
      <c r="G76" s="208">
        <f>'Péréquation directe'!G82/Effort!C76</f>
        <v>-1.4523645156936831</v>
      </c>
      <c r="H76" s="208">
        <f>'Péréquation directe'!J82/Effort!C76</f>
        <v>19.27808627509641</v>
      </c>
      <c r="I76" s="378">
        <f t="shared" si="3"/>
        <v>14.979700172071958</v>
      </c>
      <c r="J76" s="225">
        <f t="shared" si="4"/>
        <v>0</v>
      </c>
      <c r="K76" s="42">
        <f t="shared" si="5"/>
        <v>0</v>
      </c>
      <c r="L76" s="239"/>
    </row>
    <row r="77" spans="1:12" x14ac:dyDescent="0.25">
      <c r="A77" s="38">
        <f>Données!A77</f>
        <v>5523</v>
      </c>
      <c r="B77" s="170" t="str">
        <f>Données!B77</f>
        <v>Froideville</v>
      </c>
      <c r="C77" s="351">
        <f>VPI!R77</f>
        <v>93735.809027777781</v>
      </c>
      <c r="D77" s="208">
        <f>(PCS!I83-PCS!F83)/C77</f>
        <v>12.696760564677154</v>
      </c>
      <c r="E77" s="512">
        <f>'Péréquation directe'!E83/C77</f>
        <v>-7.8243827700598754</v>
      </c>
      <c r="F77" s="208">
        <f>'Péréquation directe'!F83/Effort!C77</f>
        <v>-7.5976797367207718</v>
      </c>
      <c r="G77" s="208">
        <f>'Péréquation directe'!G83/Effort!C77</f>
        <v>-1.8195116423734212</v>
      </c>
      <c r="H77" s="208">
        <f>'Péréquation directe'!J83/Effort!C77</f>
        <v>19.27808627509641</v>
      </c>
      <c r="I77" s="378">
        <f t="shared" si="3"/>
        <v>14.733272690619495</v>
      </c>
      <c r="J77" s="225">
        <f t="shared" si="4"/>
        <v>0</v>
      </c>
      <c r="K77" s="42">
        <f t="shared" si="5"/>
        <v>0</v>
      </c>
      <c r="L77" s="239"/>
    </row>
    <row r="78" spans="1:12" x14ac:dyDescent="0.25">
      <c r="A78" s="38">
        <f>Données!A78</f>
        <v>5527</v>
      </c>
      <c r="B78" s="170" t="str">
        <f>Données!B78</f>
        <v>Morrens</v>
      </c>
      <c r="C78" s="351">
        <f>VPI!R78</f>
        <v>39310.034189189188</v>
      </c>
      <c r="D78" s="208">
        <f>(PCS!I84-PCS!F84)/C78</f>
        <v>12.696760564677154</v>
      </c>
      <c r="E78" s="512">
        <f>'Péréquation directe'!E84/C78</f>
        <v>-4.7158923967324133</v>
      </c>
      <c r="F78" s="208">
        <f>'Péréquation directe'!F84/Effort!C78</f>
        <v>-8.9598532772313124</v>
      </c>
      <c r="G78" s="208">
        <f>'Péréquation directe'!G84/Effort!C78</f>
        <v>-0.61571543663325679</v>
      </c>
      <c r="H78" s="208">
        <f>'Péréquation directe'!J84/Effort!C78</f>
        <v>19.27808627509641</v>
      </c>
      <c r="I78" s="378">
        <f t="shared" si="3"/>
        <v>17.683385729176582</v>
      </c>
      <c r="J78" s="225">
        <f t="shared" si="4"/>
        <v>0</v>
      </c>
      <c r="K78" s="42">
        <f t="shared" si="5"/>
        <v>0</v>
      </c>
      <c r="L78" s="239"/>
    </row>
    <row r="79" spans="1:12" x14ac:dyDescent="0.25">
      <c r="A79" s="38">
        <f>Données!A79</f>
        <v>5529</v>
      </c>
      <c r="B79" s="170" t="str">
        <f>Données!B79</f>
        <v>Oulens-sous-Echallens</v>
      </c>
      <c r="C79" s="351">
        <f>VPI!R79</f>
        <v>21162.073571428573</v>
      </c>
      <c r="D79" s="208">
        <f>(PCS!I85-PCS!F85)/C79</f>
        <v>12.696760564677154</v>
      </c>
      <c r="E79" s="512">
        <f>'Péréquation directe'!E85/C79</f>
        <v>-3.7740132319487443</v>
      </c>
      <c r="F79" s="208">
        <f>'Péréquation directe'!F85/Effort!C79</f>
        <v>-7.8702687206643853</v>
      </c>
      <c r="G79" s="208">
        <f>'Péréquation directe'!G85/Effort!C79</f>
        <v>-6.5188464686977223</v>
      </c>
      <c r="H79" s="208">
        <f>'Péréquation directe'!J85/Effort!C79</f>
        <v>19.27808627509641</v>
      </c>
      <c r="I79" s="378">
        <f t="shared" si="3"/>
        <v>13.811718418462711</v>
      </c>
      <c r="J79" s="225">
        <f t="shared" si="4"/>
        <v>0</v>
      </c>
      <c r="K79" s="42">
        <f t="shared" si="5"/>
        <v>0</v>
      </c>
      <c r="L79" s="239"/>
    </row>
    <row r="80" spans="1:12" x14ac:dyDescent="0.25">
      <c r="A80" s="38">
        <f>Données!A80</f>
        <v>5530</v>
      </c>
      <c r="B80" s="170" t="str">
        <f>Données!B80</f>
        <v>Pailly</v>
      </c>
      <c r="C80" s="351">
        <f>VPI!R80</f>
        <v>19308.365285087715</v>
      </c>
      <c r="D80" s="208">
        <f>(PCS!I86-PCS!F86)/C80</f>
        <v>12.696760564677152</v>
      </c>
      <c r="E80" s="512">
        <f>'Péréquation directe'!E86/C80</f>
        <v>-3.8423181975481127</v>
      </c>
      <c r="F80" s="208">
        <f>'Péréquation directe'!F86/Effort!C80</f>
        <v>-9.8628083888561431</v>
      </c>
      <c r="G80" s="208">
        <f>'Péréquation directe'!G86/Effort!C80</f>
        <v>-41.013080218513203</v>
      </c>
      <c r="H80" s="208">
        <f>'Péréquation directe'!J86/Effort!C80</f>
        <v>19.27808627509641</v>
      </c>
      <c r="I80" s="378">
        <f t="shared" si="3"/>
        <v>-22.743359965143899</v>
      </c>
      <c r="J80" s="225">
        <f t="shared" si="4"/>
        <v>0</v>
      </c>
      <c r="K80" s="42">
        <f t="shared" si="5"/>
        <v>0</v>
      </c>
      <c r="L80" s="239"/>
    </row>
    <row r="81" spans="1:12" x14ac:dyDescent="0.25">
      <c r="A81" s="38">
        <f>Données!A81</f>
        <v>5531</v>
      </c>
      <c r="B81" s="170" t="str">
        <f>Données!B81</f>
        <v>Penthéréaz</v>
      </c>
      <c r="C81" s="351">
        <f>VPI!R81</f>
        <v>14300.520945945947</v>
      </c>
      <c r="D81" s="208">
        <f>(PCS!I87-PCS!F87)/C81</f>
        <v>12.696760564677154</v>
      </c>
      <c r="E81" s="512">
        <f>'Péréquation directe'!E87/C81</f>
        <v>-3.7623152760540091</v>
      </c>
      <c r="F81" s="208">
        <f>'Péréquation directe'!F87/Effort!C81</f>
        <v>-8.7003571898715784</v>
      </c>
      <c r="G81" s="208">
        <f>'Péréquation directe'!G87/Effort!C81</f>
        <v>-6.0356705843876108</v>
      </c>
      <c r="H81" s="208">
        <f>'Péréquation directe'!J87/Effort!C81</f>
        <v>19.27808627509641</v>
      </c>
      <c r="I81" s="378">
        <f t="shared" si="3"/>
        <v>13.476503789460367</v>
      </c>
      <c r="J81" s="225">
        <f t="shared" si="4"/>
        <v>0</v>
      </c>
      <c r="K81" s="42">
        <f t="shared" si="5"/>
        <v>0</v>
      </c>
      <c r="L81" s="239"/>
    </row>
    <row r="82" spans="1:12" x14ac:dyDescent="0.25">
      <c r="A82" s="38">
        <f>Données!A82</f>
        <v>5533</v>
      </c>
      <c r="B82" s="170" t="str">
        <f>Données!B82</f>
        <v>Poliez-Pittet</v>
      </c>
      <c r="C82" s="351">
        <f>VPI!R82</f>
        <v>27495.737397260269</v>
      </c>
      <c r="D82" s="208">
        <f>(PCS!I88-PCS!F88)/C82</f>
        <v>12.696760564677154</v>
      </c>
      <c r="E82" s="512">
        <f>'Péréquation directe'!E88/C82</f>
        <v>-3.9088645313715267</v>
      </c>
      <c r="F82" s="208">
        <f>'Péréquation directe'!F88/Effort!C82</f>
        <v>-9.6258395809503536</v>
      </c>
      <c r="G82" s="208">
        <f>'Péréquation directe'!G88/Effort!C82</f>
        <v>-2.6565398670039446</v>
      </c>
      <c r="H82" s="208">
        <f>'Péréquation directe'!J88/Effort!C82</f>
        <v>19.278086275096406</v>
      </c>
      <c r="I82" s="378">
        <f t="shared" si="3"/>
        <v>15.783602860447736</v>
      </c>
      <c r="J82" s="225">
        <f t="shared" si="4"/>
        <v>0</v>
      </c>
      <c r="K82" s="42">
        <f t="shared" si="5"/>
        <v>0</v>
      </c>
      <c r="L82" s="239"/>
    </row>
    <row r="83" spans="1:12" x14ac:dyDescent="0.25">
      <c r="A83" s="38">
        <f>Données!A83</f>
        <v>5534</v>
      </c>
      <c r="B83" s="170" t="str">
        <f>Données!B83</f>
        <v>Rueyres</v>
      </c>
      <c r="C83" s="351">
        <f>VPI!R83</f>
        <v>13098.988310502282</v>
      </c>
      <c r="D83" s="208">
        <f>(PCS!I89-PCS!F89)/C83</f>
        <v>12.696760564677151</v>
      </c>
      <c r="E83" s="512">
        <f>'Péréquation directe'!E89/C83</f>
        <v>-2.9943793452196323</v>
      </c>
      <c r="F83" s="208">
        <f>'Péréquation directe'!F89/Effort!C83</f>
        <v>-2.3932991519406408</v>
      </c>
      <c r="G83" s="208">
        <f>'Péréquation directe'!G89/Effort!C83</f>
        <v>-0.28525170635716157</v>
      </c>
      <c r="H83" s="208">
        <f>'Péréquation directe'!J89/Effort!C83</f>
        <v>19.27808627509641</v>
      </c>
      <c r="I83" s="378">
        <f t="shared" si="3"/>
        <v>26.301916636256124</v>
      </c>
      <c r="J83" s="225">
        <f t="shared" si="4"/>
        <v>0</v>
      </c>
      <c r="K83" s="42">
        <f t="shared" si="5"/>
        <v>0</v>
      </c>
      <c r="L83" s="239"/>
    </row>
    <row r="84" spans="1:12" x14ac:dyDescent="0.25">
      <c r="A84" s="38">
        <f>Données!A84</f>
        <v>5535</v>
      </c>
      <c r="B84" s="170" t="str">
        <f>Données!B84</f>
        <v>Saint-Barthélemy</v>
      </c>
      <c r="C84" s="351">
        <f>VPI!R84</f>
        <v>25080.037866666662</v>
      </c>
      <c r="D84" s="208">
        <f>(PCS!I90-PCS!F90)/C84</f>
        <v>12.696760564677152</v>
      </c>
      <c r="E84" s="512">
        <f>'Péréquation directe'!E90/C84</f>
        <v>-4.1618969538289683</v>
      </c>
      <c r="F84" s="208">
        <f>'Péréquation directe'!F90/Effort!C84</f>
        <v>-12.272864399963741</v>
      </c>
      <c r="G84" s="208">
        <f>'Péréquation directe'!G90/Effort!C84</f>
        <v>-1.5850662989961262</v>
      </c>
      <c r="H84" s="208">
        <f>'Péréquation directe'!J90/Effort!C84</f>
        <v>19.27808627509641</v>
      </c>
      <c r="I84" s="378">
        <f t="shared" si="3"/>
        <v>13.955019186984728</v>
      </c>
      <c r="J84" s="225">
        <f t="shared" si="4"/>
        <v>0</v>
      </c>
      <c r="K84" s="42">
        <f t="shared" si="5"/>
        <v>0</v>
      </c>
      <c r="L84" s="239"/>
    </row>
    <row r="85" spans="1:12" x14ac:dyDescent="0.25">
      <c r="A85" s="38">
        <f>Données!A85</f>
        <v>5537</v>
      </c>
      <c r="B85" s="170" t="str">
        <f>Données!B85</f>
        <v>Villars-le-Terroir</v>
      </c>
      <c r="C85" s="351">
        <f>VPI!R85</f>
        <v>42917.111184210531</v>
      </c>
      <c r="D85" s="208">
        <f>(PCS!I91-PCS!F91)/C85</f>
        <v>12.696760564677152</v>
      </c>
      <c r="E85" s="512">
        <f>'Péréquation directe'!E91/C85</f>
        <v>-5.6663811132508402</v>
      </c>
      <c r="F85" s="208">
        <f>'Péréquation directe'!F91/Effort!C85</f>
        <v>-10.840451569448843</v>
      </c>
      <c r="G85" s="208">
        <f>'Péréquation directe'!G91/Effort!C85</f>
        <v>-0.92631078368953146</v>
      </c>
      <c r="H85" s="208">
        <f>'Péréquation directe'!J91/Effort!C85</f>
        <v>19.27808627509641</v>
      </c>
      <c r="I85" s="378">
        <f t="shared" si="3"/>
        <v>14.541703373384347</v>
      </c>
      <c r="J85" s="225">
        <f t="shared" si="4"/>
        <v>0</v>
      </c>
      <c r="K85" s="42">
        <f t="shared" si="5"/>
        <v>0</v>
      </c>
      <c r="L85" s="239"/>
    </row>
    <row r="86" spans="1:12" x14ac:dyDescent="0.25">
      <c r="A86" s="38">
        <f>Données!A86</f>
        <v>5539</v>
      </c>
      <c r="B86" s="170" t="str">
        <f>Données!B86</f>
        <v>Vuarrens</v>
      </c>
      <c r="C86" s="351">
        <f>VPI!R86</f>
        <v>34556.836734693868</v>
      </c>
      <c r="D86" s="208">
        <f>(PCS!I92-PCS!F92)/C86</f>
        <v>12.696760564677156</v>
      </c>
      <c r="E86" s="512">
        <f>'Péréquation directe'!E92/C86</f>
        <v>-4.7477465566452279</v>
      </c>
      <c r="F86" s="208">
        <f>'Péréquation directe'!F92/Effort!C86</f>
        <v>-11.257291599762706</v>
      </c>
      <c r="G86" s="208">
        <f>'Péréquation directe'!G92/Effort!C86</f>
        <v>-0.99630363465099114</v>
      </c>
      <c r="H86" s="208">
        <f>'Péréquation directe'!J92/Effort!C86</f>
        <v>19.27808627509641</v>
      </c>
      <c r="I86" s="378">
        <f t="shared" si="3"/>
        <v>14.973505048714641</v>
      </c>
      <c r="J86" s="225">
        <f t="shared" si="4"/>
        <v>0</v>
      </c>
      <c r="K86" s="42">
        <f t="shared" si="5"/>
        <v>0</v>
      </c>
      <c r="L86" s="239"/>
    </row>
    <row r="87" spans="1:12" x14ac:dyDescent="0.25">
      <c r="A87" s="38">
        <f>Données!A87</f>
        <v>5540</v>
      </c>
      <c r="B87" s="170" t="str">
        <f>Données!B87</f>
        <v>Montilliez</v>
      </c>
      <c r="C87" s="351">
        <f>VPI!R87</f>
        <v>63309.453137931036</v>
      </c>
      <c r="D87" s="208">
        <f>(PCS!I93-PCS!F93)/C87</f>
        <v>12.696760564677154</v>
      </c>
      <c r="E87" s="512">
        <f>'Péréquation directe'!E93/C87</f>
        <v>-7.0767226446856748</v>
      </c>
      <c r="F87" s="208">
        <f>'Péréquation directe'!F93/Effort!C87</f>
        <v>-8.9380235078929804</v>
      </c>
      <c r="G87" s="208">
        <f>'Péréquation directe'!G93/Effort!C87</f>
        <v>-1.8476259945591467</v>
      </c>
      <c r="H87" s="208">
        <f>'Péréquation directe'!J93/Effort!C87</f>
        <v>19.27808627509641</v>
      </c>
      <c r="I87" s="378">
        <f t="shared" si="3"/>
        <v>14.112474692635761</v>
      </c>
      <c r="J87" s="225">
        <f t="shared" si="4"/>
        <v>0</v>
      </c>
      <c r="K87" s="42">
        <f t="shared" si="5"/>
        <v>0</v>
      </c>
      <c r="L87" s="239"/>
    </row>
    <row r="88" spans="1:12" x14ac:dyDescent="0.25">
      <c r="A88" s="38">
        <f>Données!A88</f>
        <v>5541</v>
      </c>
      <c r="B88" s="170" t="str">
        <f>Données!B88</f>
        <v>Goumoëns</v>
      </c>
      <c r="C88" s="351">
        <f>VPI!R88</f>
        <v>41276.409536423838</v>
      </c>
      <c r="D88" s="208">
        <f>(PCS!I94-PCS!F94)/C88</f>
        <v>12.696760564677154</v>
      </c>
      <c r="E88" s="512">
        <f>'Péréquation directe'!E94/C88</f>
        <v>-4.5787550207740502</v>
      </c>
      <c r="F88" s="208">
        <f>'Péréquation directe'!F94/Effort!C88</f>
        <v>-8.0620569102680957</v>
      </c>
      <c r="G88" s="208">
        <f>'Péréquation directe'!G94/Effort!C88</f>
        <v>-0.71590027120409139</v>
      </c>
      <c r="H88" s="208">
        <f>'Péréquation directe'!J94/Effort!C88</f>
        <v>19.27808627509641</v>
      </c>
      <c r="I88" s="378">
        <f t="shared" si="3"/>
        <v>18.618134637527326</v>
      </c>
      <c r="J88" s="225">
        <f t="shared" si="4"/>
        <v>0</v>
      </c>
      <c r="K88" s="42">
        <f t="shared" si="5"/>
        <v>0</v>
      </c>
      <c r="L88" s="239"/>
    </row>
    <row r="89" spans="1:12" x14ac:dyDescent="0.25">
      <c r="A89" s="38">
        <f>Données!A89</f>
        <v>5551</v>
      </c>
      <c r="B89" s="170" t="str">
        <f>Données!B89</f>
        <v>Bonvillars</v>
      </c>
      <c r="C89" s="351">
        <f>VPI!R89</f>
        <v>18704.487454545451</v>
      </c>
      <c r="D89" s="208">
        <f>(PCS!I95-PCS!F95)/C89</f>
        <v>12.696760564677156</v>
      </c>
      <c r="E89" s="512">
        <f>'Péréquation directe'!E95/C89</f>
        <v>-3.3179531827807955</v>
      </c>
      <c r="F89" s="208">
        <f>'Péréquation directe'!F95/Effort!C89</f>
        <v>-2.811224143690652</v>
      </c>
      <c r="G89" s="208">
        <f>'Péréquation directe'!G95/Effort!C89</f>
        <v>-6.6838484607305881</v>
      </c>
      <c r="H89" s="208">
        <f>'Péréquation directe'!J95/Effort!C89</f>
        <v>19.27808627509641</v>
      </c>
      <c r="I89" s="378">
        <f t="shared" si="3"/>
        <v>19.161821052571529</v>
      </c>
      <c r="J89" s="225">
        <f t="shared" si="4"/>
        <v>0</v>
      </c>
      <c r="K89" s="42">
        <f t="shared" si="5"/>
        <v>0</v>
      </c>
      <c r="L89" s="239"/>
    </row>
    <row r="90" spans="1:12" x14ac:dyDescent="0.25">
      <c r="A90" s="38">
        <f>Données!A90</f>
        <v>5552</v>
      </c>
      <c r="B90" s="170" t="str">
        <f>Données!B90</f>
        <v>Bullet</v>
      </c>
      <c r="C90" s="351">
        <f>VPI!R90</f>
        <v>19598.576923076926</v>
      </c>
      <c r="D90" s="208">
        <f>(PCS!I96-PCS!F96)/C90</f>
        <v>12.696760564677154</v>
      </c>
      <c r="E90" s="512">
        <f>'Péréquation directe'!E96/C90</f>
        <v>-4.3252560383229053</v>
      </c>
      <c r="F90" s="208">
        <f>'Péréquation directe'!F96/Effort!C90</f>
        <v>-12.393559894514988</v>
      </c>
      <c r="G90" s="208">
        <f>'Péréquation directe'!G96/Effort!C90</f>
        <v>-10.57082392167406</v>
      </c>
      <c r="H90" s="208">
        <f>'Péréquation directe'!J96/Effort!C90</f>
        <v>19.27808627509641</v>
      </c>
      <c r="I90" s="378">
        <f t="shared" si="3"/>
        <v>4.6852069852616101</v>
      </c>
      <c r="J90" s="225">
        <f t="shared" si="4"/>
        <v>0</v>
      </c>
      <c r="K90" s="42">
        <f t="shared" si="5"/>
        <v>0</v>
      </c>
      <c r="L90" s="239"/>
    </row>
    <row r="91" spans="1:12" x14ac:dyDescent="0.25">
      <c r="A91" s="38">
        <f>Données!A91</f>
        <v>5553</v>
      </c>
      <c r="B91" s="170" t="str">
        <f>Données!B91</f>
        <v>Champagne</v>
      </c>
      <c r="C91" s="351">
        <f>VPI!R91</f>
        <v>40077.283076923086</v>
      </c>
      <c r="D91" s="208">
        <f>(PCS!I97-PCS!F97)/C91</f>
        <v>12.696760564677154</v>
      </c>
      <c r="E91" s="512">
        <f>'Péréquation directe'!E97/C91</f>
        <v>-3.985596804092336</v>
      </c>
      <c r="F91" s="208">
        <f>'Péréquation directe'!F97/Effort!C91</f>
        <v>-5.0242290794426614</v>
      </c>
      <c r="G91" s="208">
        <f>'Péréquation directe'!G97/Effort!C91</f>
        <v>-5.954528872946014</v>
      </c>
      <c r="H91" s="208">
        <f>'Péréquation directe'!J97/Effort!C91</f>
        <v>19.27808627509641</v>
      </c>
      <c r="I91" s="378">
        <f t="shared" si="3"/>
        <v>17.010492083292551</v>
      </c>
      <c r="J91" s="225">
        <f t="shared" si="4"/>
        <v>0</v>
      </c>
      <c r="K91" s="42">
        <f t="shared" si="5"/>
        <v>0</v>
      </c>
      <c r="L91" s="239"/>
    </row>
    <row r="92" spans="1:12" x14ac:dyDescent="0.25">
      <c r="A92" s="38">
        <f>Données!A92</f>
        <v>5554</v>
      </c>
      <c r="B92" s="170" t="str">
        <f>Données!B92</f>
        <v>Concise</v>
      </c>
      <c r="C92" s="351">
        <f>VPI!R92</f>
        <v>31499.25106666666</v>
      </c>
      <c r="D92" s="208">
        <f>(PCS!I98-PCS!F98)/C92</f>
        <v>12.696760564677156</v>
      </c>
      <c r="E92" s="512">
        <f>'Péréquation directe'!E98/C92</f>
        <v>-4.1419783288059326</v>
      </c>
      <c r="F92" s="208">
        <f>'Péréquation directe'!F98/Effort!C92</f>
        <v>-11.860376919235613</v>
      </c>
      <c r="G92" s="208">
        <f>'Péréquation directe'!G98/Effort!C92</f>
        <v>-7.7693511849549477</v>
      </c>
      <c r="H92" s="208">
        <f>'Péréquation directe'!J98/Effort!C92</f>
        <v>19.27808627509641</v>
      </c>
      <c r="I92" s="378">
        <f t="shared" si="3"/>
        <v>8.2031404067770719</v>
      </c>
      <c r="J92" s="225">
        <f t="shared" si="4"/>
        <v>0</v>
      </c>
      <c r="K92" s="42">
        <f t="shared" si="5"/>
        <v>0</v>
      </c>
      <c r="L92" s="239"/>
    </row>
    <row r="93" spans="1:12" x14ac:dyDescent="0.25">
      <c r="A93" s="38">
        <f>Données!A93</f>
        <v>5555</v>
      </c>
      <c r="B93" s="170" t="str">
        <f>Données!B93</f>
        <v>Corcelles-près-Concise</v>
      </c>
      <c r="C93" s="351">
        <f>VPI!R93</f>
        <v>13877.681159420288</v>
      </c>
      <c r="D93" s="208">
        <f>(PCS!I99-PCS!F99)/C93</f>
        <v>12.696760564677154</v>
      </c>
      <c r="E93" s="512">
        <f>'Péréquation directe'!E99/C93</f>
        <v>-3.8769494552006467</v>
      </c>
      <c r="F93" s="208">
        <f>'Péréquation directe'!F99/Effort!C93</f>
        <v>-8.3743457467412608</v>
      </c>
      <c r="G93" s="208">
        <f>'Péréquation directe'!G99/Effort!C93</f>
        <v>-15.031736914658092</v>
      </c>
      <c r="H93" s="208">
        <f>'Péréquation directe'!J99/Effort!C93</f>
        <v>19.278086275096413</v>
      </c>
      <c r="I93" s="378">
        <f t="shared" si="3"/>
        <v>4.6918147231735681</v>
      </c>
      <c r="J93" s="225">
        <f t="shared" si="4"/>
        <v>0</v>
      </c>
      <c r="K93" s="42">
        <f t="shared" si="5"/>
        <v>0</v>
      </c>
      <c r="L93" s="239"/>
    </row>
    <row r="94" spans="1:12" x14ac:dyDescent="0.25">
      <c r="A94" s="38">
        <f>Données!A94</f>
        <v>5556</v>
      </c>
      <c r="B94" s="170" t="str">
        <f>Données!B94</f>
        <v>Fiez</v>
      </c>
      <c r="C94" s="351">
        <f>VPI!R94</f>
        <v>14574.59084541063</v>
      </c>
      <c r="D94" s="208">
        <f>(PCS!I100-PCS!F100)/C94</f>
        <v>12.696760564677154</v>
      </c>
      <c r="E94" s="512">
        <f>'Péréquation directe'!E100/C94</f>
        <v>-3.9128832251336112</v>
      </c>
      <c r="F94" s="208">
        <f>'Péréquation directe'!F100/Effort!C94</f>
        <v>-8.6282496863047431</v>
      </c>
      <c r="G94" s="208">
        <f>'Péréquation directe'!G100/Effort!C94</f>
        <v>-5.0354727419772383</v>
      </c>
      <c r="H94" s="208">
        <f>'Péréquation directe'!J100/Effort!C94</f>
        <v>19.27808627509641</v>
      </c>
      <c r="I94" s="378">
        <f t="shared" si="3"/>
        <v>14.398241186357971</v>
      </c>
      <c r="J94" s="225">
        <f t="shared" si="4"/>
        <v>0</v>
      </c>
      <c r="K94" s="42">
        <f t="shared" si="5"/>
        <v>0</v>
      </c>
      <c r="L94" s="239"/>
    </row>
    <row r="95" spans="1:12" x14ac:dyDescent="0.25">
      <c r="A95" s="38">
        <f>Données!A95</f>
        <v>5557</v>
      </c>
      <c r="B95" s="170" t="str">
        <f>Données!B95</f>
        <v>Fontaines-sur-Grandson</v>
      </c>
      <c r="C95" s="351">
        <f>VPI!R95</f>
        <v>4232.7078260869557</v>
      </c>
      <c r="D95" s="208">
        <f>(PCS!I101-PCS!F101)/C95</f>
        <v>12.696760564677154</v>
      </c>
      <c r="E95" s="512">
        <f>'Péréquation directe'!E101/C95</f>
        <v>-6.7061826701771068</v>
      </c>
      <c r="F95" s="208">
        <f>'Péréquation directe'!F101/Effort!C95</f>
        <v>-28.365386502178261</v>
      </c>
      <c r="G95" s="208">
        <f>'Péréquation directe'!G101/Effort!C95</f>
        <v>-7.9359370936150677</v>
      </c>
      <c r="H95" s="208">
        <f>'Péréquation directe'!J101/Effort!C95</f>
        <v>19.27808627509641</v>
      </c>
      <c r="I95" s="378">
        <f t="shared" si="3"/>
        <v>-11.032659426196869</v>
      </c>
      <c r="J95" s="225">
        <f t="shared" si="4"/>
        <v>0</v>
      </c>
      <c r="K95" s="42">
        <f t="shared" si="5"/>
        <v>0</v>
      </c>
      <c r="L95" s="239"/>
    </row>
    <row r="96" spans="1:12" x14ac:dyDescent="0.25">
      <c r="A96" s="38">
        <f>Données!A96</f>
        <v>5559</v>
      </c>
      <c r="B96" s="170" t="str">
        <f>Données!B96</f>
        <v>Giez</v>
      </c>
      <c r="C96" s="351">
        <f>VPI!R96</f>
        <v>23427.520303030306</v>
      </c>
      <c r="D96" s="208">
        <f>(PCS!I102-PCS!F102)/C96</f>
        <v>13.932539565959024</v>
      </c>
      <c r="E96" s="512">
        <f>'Péréquation directe'!E102/C96</f>
        <v>-2.4397672240911095</v>
      </c>
      <c r="F96" s="208">
        <f>'Péréquation directe'!F102/Effort!C96</f>
        <v>0</v>
      </c>
      <c r="G96" s="208">
        <f>'Péréquation directe'!G102/Effort!C96</f>
        <v>0</v>
      </c>
      <c r="H96" s="208">
        <f>'Péréquation directe'!J102/Effort!C96</f>
        <v>19.27808627509641</v>
      </c>
      <c r="I96" s="378">
        <f t="shared" si="3"/>
        <v>30.770858616964325</v>
      </c>
      <c r="J96" s="225">
        <f t="shared" si="4"/>
        <v>0</v>
      </c>
      <c r="K96" s="42">
        <f t="shared" si="5"/>
        <v>0</v>
      </c>
      <c r="L96" s="239"/>
    </row>
    <row r="97" spans="1:12" x14ac:dyDescent="0.25">
      <c r="A97" s="38">
        <f>Données!A97</f>
        <v>5560</v>
      </c>
      <c r="B97" s="170" t="str">
        <f>Données!B97</f>
        <v>Grandevent</v>
      </c>
      <c r="C97" s="351">
        <f>VPI!R97</f>
        <v>7003.3020588235295</v>
      </c>
      <c r="D97" s="208">
        <f>(PCS!I103-PCS!F103)/C97</f>
        <v>12.696760564677156</v>
      </c>
      <c r="E97" s="512">
        <f>'Péréquation directe'!E103/C97</f>
        <v>-4.3847525382950234</v>
      </c>
      <c r="F97" s="208">
        <f>'Péréquation directe'!F103/Effort!C97</f>
        <v>-11.618200330979997</v>
      </c>
      <c r="G97" s="208">
        <f>'Péréquation directe'!G103/Effort!C97</f>
        <v>-2.1717556911283906</v>
      </c>
      <c r="H97" s="208">
        <f>'Péréquation directe'!J103/Effort!C97</f>
        <v>19.27808627509641</v>
      </c>
      <c r="I97" s="378">
        <f t="shared" si="3"/>
        <v>13.800138279370154</v>
      </c>
      <c r="J97" s="225">
        <f t="shared" si="4"/>
        <v>0</v>
      </c>
      <c r="K97" s="42">
        <f t="shared" si="5"/>
        <v>0</v>
      </c>
      <c r="L97" s="239"/>
    </row>
    <row r="98" spans="1:12" x14ac:dyDescent="0.25">
      <c r="A98" s="38">
        <f>Données!A98</f>
        <v>5561</v>
      </c>
      <c r="B98" s="170" t="str">
        <f>Données!B98</f>
        <v>Grandson</v>
      </c>
      <c r="C98" s="351">
        <f>VPI!R98</f>
        <v>114496.59724637681</v>
      </c>
      <c r="D98" s="208">
        <f>(PCS!I104-PCS!F104)/C98</f>
        <v>12.696760564677156</v>
      </c>
      <c r="E98" s="512">
        <f>'Péréquation directe'!E104/C98</f>
        <v>-9.0871757698308055</v>
      </c>
      <c r="F98" s="208">
        <f>'Péréquation directe'!F104/Effort!C98</f>
        <v>-7.7817656970461062</v>
      </c>
      <c r="G98" s="208">
        <f>'Péréquation directe'!G104/Effort!C98</f>
        <v>-8.8497862896428003</v>
      </c>
      <c r="H98" s="208">
        <f>'Péréquation directe'!J104/Effort!C98</f>
        <v>19.27808627509641</v>
      </c>
      <c r="I98" s="378">
        <f t="shared" si="3"/>
        <v>6.2561190832538536</v>
      </c>
      <c r="J98" s="225">
        <f t="shared" si="4"/>
        <v>0</v>
      </c>
      <c r="K98" s="42">
        <f t="shared" si="5"/>
        <v>0</v>
      </c>
      <c r="L98" s="239"/>
    </row>
    <row r="99" spans="1:12" x14ac:dyDescent="0.25">
      <c r="A99" s="38">
        <f>Données!A99</f>
        <v>5562</v>
      </c>
      <c r="B99" s="170" t="str">
        <f>Données!B99</f>
        <v>Mauborget</v>
      </c>
      <c r="C99" s="351">
        <f>VPI!R99</f>
        <v>6099.4266904761898</v>
      </c>
      <c r="D99" s="208">
        <f>(PCS!I105-PCS!F105)/C99</f>
        <v>12.696760564677154</v>
      </c>
      <c r="E99" s="512">
        <f>'Péréquation directe'!E105/C99</f>
        <v>-2.8980277563927044</v>
      </c>
      <c r="F99" s="208">
        <f>'Péréquation directe'!F105/Effort!C99</f>
        <v>-1.49994561643945</v>
      </c>
      <c r="G99" s="208">
        <f>'Péréquation directe'!G105/Effort!C99</f>
        <v>-1.2028376127122433</v>
      </c>
      <c r="H99" s="208">
        <f>'Péréquation directe'!J105/Effort!C99</f>
        <v>19.27808627509641</v>
      </c>
      <c r="I99" s="378">
        <f t="shared" si="3"/>
        <v>26.374035854229167</v>
      </c>
      <c r="J99" s="225">
        <f t="shared" si="4"/>
        <v>0</v>
      </c>
      <c r="K99" s="42">
        <f t="shared" si="5"/>
        <v>0</v>
      </c>
      <c r="L99" s="239"/>
    </row>
    <row r="100" spans="1:12" x14ac:dyDescent="0.25">
      <c r="A100" s="38">
        <f>Données!A100</f>
        <v>5563</v>
      </c>
      <c r="B100" s="170" t="str">
        <f>Données!B100</f>
        <v>Mutrux</v>
      </c>
      <c r="C100" s="351">
        <f>VPI!R100</f>
        <v>4282.2106250000006</v>
      </c>
      <c r="D100" s="208">
        <f>(PCS!I106-PCS!F106)/C100</f>
        <v>12.696760564677154</v>
      </c>
      <c r="E100" s="512">
        <f>'Péréquation directe'!E106/C100</f>
        <v>-4.549670154361336</v>
      </c>
      <c r="F100" s="208">
        <f>'Péréquation directe'!F106/Effort!C100</f>
        <v>-17.647000341233671</v>
      </c>
      <c r="G100" s="208">
        <f>'Péréquation directe'!G106/Effort!C100</f>
        <v>-4.9453980909684914</v>
      </c>
      <c r="H100" s="208">
        <f>'Péréquation directe'!J106/Effort!C100</f>
        <v>19.27808627509641</v>
      </c>
      <c r="I100" s="378">
        <f t="shared" si="3"/>
        <v>4.8327782532100656</v>
      </c>
      <c r="J100" s="225">
        <f t="shared" si="4"/>
        <v>0</v>
      </c>
      <c r="K100" s="42">
        <f t="shared" si="5"/>
        <v>0</v>
      </c>
      <c r="L100" s="239"/>
    </row>
    <row r="101" spans="1:12" x14ac:dyDescent="0.25">
      <c r="A101" s="38">
        <f>Données!A101</f>
        <v>5564</v>
      </c>
      <c r="B101" s="170" t="str">
        <f>Données!B101</f>
        <v>Novalles</v>
      </c>
      <c r="C101" s="351">
        <f>VPI!R101</f>
        <v>2099.5443749999999</v>
      </c>
      <c r="D101" s="208">
        <f>(PCS!I107-PCS!F107)/C101</f>
        <v>12.696760564677154</v>
      </c>
      <c r="E101" s="512">
        <f>'Péréquation directe'!E107/C101</f>
        <v>-6.3297004244214525</v>
      </c>
      <c r="F101" s="208">
        <f>'Péréquation directe'!F107/Effort!C101</f>
        <v>-31.185311499951212</v>
      </c>
      <c r="G101" s="208">
        <f>'Péréquation directe'!G107/Effort!C101</f>
        <v>-14.844685275466018</v>
      </c>
      <c r="H101" s="208">
        <f>'Péréquation directe'!J107/Effort!C101</f>
        <v>19.27808627509641</v>
      </c>
      <c r="I101" s="378">
        <f t="shared" si="3"/>
        <v>-20.384850360065119</v>
      </c>
      <c r="J101" s="225">
        <f t="shared" si="4"/>
        <v>0</v>
      </c>
      <c r="K101" s="42">
        <f t="shared" si="5"/>
        <v>0</v>
      </c>
      <c r="L101" s="239"/>
    </row>
    <row r="102" spans="1:12" x14ac:dyDescent="0.25">
      <c r="A102" s="38">
        <f>Données!A102</f>
        <v>5565</v>
      </c>
      <c r="B102" s="170" t="str">
        <f>Données!B102</f>
        <v>Onnens</v>
      </c>
      <c r="C102" s="351">
        <f>VPI!R102</f>
        <v>22684.162047244088</v>
      </c>
      <c r="D102" s="208">
        <f>(PCS!I108-PCS!F108)/C102</f>
        <v>12.696760564677156</v>
      </c>
      <c r="E102" s="512">
        <f>'Péréquation directe'!E108/C102</f>
        <v>-2.8154864868821896</v>
      </c>
      <c r="F102" s="208">
        <f>'Péréquation directe'!F108/Effort!C102</f>
        <v>-0.74036285170896055</v>
      </c>
      <c r="G102" s="208">
        <f>'Péréquation directe'!G108/Effort!C102</f>
        <v>-3.0008561056533498</v>
      </c>
      <c r="H102" s="208">
        <f>'Péréquation directe'!J108/Effort!C102</f>
        <v>19.27808627509641</v>
      </c>
      <c r="I102" s="378">
        <f t="shared" si="3"/>
        <v>25.418141395529066</v>
      </c>
      <c r="J102" s="225">
        <f t="shared" si="4"/>
        <v>0</v>
      </c>
      <c r="K102" s="42">
        <f t="shared" si="5"/>
        <v>0</v>
      </c>
      <c r="L102" s="239"/>
    </row>
    <row r="103" spans="1:12" x14ac:dyDescent="0.25">
      <c r="A103" s="38">
        <f>Données!A103</f>
        <v>5566</v>
      </c>
      <c r="B103" s="170" t="str">
        <f>Données!B103</f>
        <v>Provence</v>
      </c>
      <c r="C103" s="351">
        <f>VPI!R103</f>
        <v>9377.2088888888902</v>
      </c>
      <c r="D103" s="208">
        <f>(PCS!I109-PCS!F109)/C103</f>
        <v>12.696760564677154</v>
      </c>
      <c r="E103" s="512">
        <f>'Péréquation directe'!E109/C103</f>
        <v>-5.545011420605654</v>
      </c>
      <c r="F103" s="208">
        <f>'Péréquation directe'!F109/Effort!C103</f>
        <v>-27.782868363213467</v>
      </c>
      <c r="G103" s="208">
        <f>'Péréquation directe'!G109/Effort!C103</f>
        <v>-42.136258384394878</v>
      </c>
      <c r="H103" s="208">
        <f>'Péréquation directe'!J109/Effort!C103</f>
        <v>19.27808627509641</v>
      </c>
      <c r="I103" s="378">
        <f t="shared" si="3"/>
        <v>-43.48929132844043</v>
      </c>
      <c r="J103" s="225">
        <f t="shared" si="4"/>
        <v>0</v>
      </c>
      <c r="K103" s="42">
        <f t="shared" si="5"/>
        <v>0</v>
      </c>
      <c r="L103" s="239"/>
    </row>
    <row r="104" spans="1:12" x14ac:dyDescent="0.25">
      <c r="A104" s="38">
        <f>Données!A104</f>
        <v>5568</v>
      </c>
      <c r="B104" s="170" t="str">
        <f>Données!B104</f>
        <v>Sainte-Croix</v>
      </c>
      <c r="C104" s="351">
        <f>VPI!R104</f>
        <v>109152.09599999999</v>
      </c>
      <c r="D104" s="208">
        <f>(PCS!I110-PCS!F110)/C104</f>
        <v>12.696760564677156</v>
      </c>
      <c r="E104" s="512">
        <f>'Péréquation directe'!E110/C104</f>
        <v>-17.012183558598327</v>
      </c>
      <c r="F104" s="208">
        <f>'Péréquation directe'!F110/Effort!C104</f>
        <v>-22.958668507308627</v>
      </c>
      <c r="G104" s="208">
        <f>'Péréquation directe'!G110/Effort!C104</f>
        <v>-14.638552373744615</v>
      </c>
      <c r="H104" s="208">
        <f>'Péréquation directe'!J110/Effort!C104</f>
        <v>19.27808627509641</v>
      </c>
      <c r="I104" s="378">
        <f t="shared" si="3"/>
        <v>-22.634557599878004</v>
      </c>
      <c r="J104" s="225">
        <f t="shared" si="4"/>
        <v>0</v>
      </c>
      <c r="K104" s="42">
        <f t="shared" si="5"/>
        <v>0</v>
      </c>
      <c r="L104" s="239"/>
    </row>
    <row r="105" spans="1:12" x14ac:dyDescent="0.25">
      <c r="A105" s="38">
        <f>Données!A105</f>
        <v>5571</v>
      </c>
      <c r="B105" s="170" t="str">
        <f>Données!B105</f>
        <v>Tévenon</v>
      </c>
      <c r="C105" s="351">
        <f>VPI!R105</f>
        <v>25324.815594405594</v>
      </c>
      <c r="D105" s="208">
        <f>(PCS!I111-PCS!F111)/C105</f>
        <v>12.696760564677154</v>
      </c>
      <c r="E105" s="512">
        <f>'Péréquation directe'!E111/C105</f>
        <v>-4.4986830997768266</v>
      </c>
      <c r="F105" s="208">
        <f>'Péréquation directe'!F111/Effort!C105</f>
        <v>-13.709382745240722</v>
      </c>
      <c r="G105" s="208">
        <f>'Péréquation directe'!G111/Effort!C105</f>
        <v>-8.7554337330197054</v>
      </c>
      <c r="H105" s="208">
        <f>'Péréquation directe'!J111/Effort!C105</f>
        <v>19.27808627509641</v>
      </c>
      <c r="I105" s="378">
        <f t="shared" si="3"/>
        <v>5.0113472617363097</v>
      </c>
      <c r="J105" s="225">
        <f t="shared" si="4"/>
        <v>0</v>
      </c>
      <c r="K105" s="42">
        <f t="shared" si="5"/>
        <v>0</v>
      </c>
      <c r="L105" s="239"/>
    </row>
    <row r="106" spans="1:12" x14ac:dyDescent="0.25">
      <c r="A106" s="38">
        <f>Données!A106</f>
        <v>5581</v>
      </c>
      <c r="B106" s="170" t="str">
        <f>Données!B106</f>
        <v>Belmont-sur-Lausanne</v>
      </c>
      <c r="C106" s="351">
        <f>VPI!R106</f>
        <v>215428.66976851854</v>
      </c>
      <c r="D106" s="208">
        <f>(PCS!I112-PCS!F112)/C106</f>
        <v>14.69408864558509</v>
      </c>
      <c r="E106" s="512">
        <f>'Péréquation directe'!E112/C106</f>
        <v>-6.0394908359189001</v>
      </c>
      <c r="F106" s="208">
        <f>'Péréquation directe'!F112/Effort!C106</f>
        <v>0</v>
      </c>
      <c r="G106" s="208">
        <f>'Péréquation directe'!G112/Effort!C106</f>
        <v>-3.7883629057628427</v>
      </c>
      <c r="H106" s="208">
        <f>'Péréquation directe'!J112/Effort!C106</f>
        <v>19.27808627509641</v>
      </c>
      <c r="I106" s="378">
        <f t="shared" si="3"/>
        <v>24.144321178999757</v>
      </c>
      <c r="J106" s="225">
        <f t="shared" si="4"/>
        <v>0</v>
      </c>
      <c r="K106" s="42">
        <f t="shared" si="5"/>
        <v>0</v>
      </c>
      <c r="L106" s="239"/>
    </row>
    <row r="107" spans="1:12" x14ac:dyDescent="0.25">
      <c r="A107" s="38">
        <f>Données!A107</f>
        <v>5582</v>
      </c>
      <c r="B107" s="170" t="str">
        <f>Données!B107</f>
        <v>Cheseaux-sur-Lausanne</v>
      </c>
      <c r="C107" s="351">
        <f>VPI!R107</f>
        <v>167486.36602739722</v>
      </c>
      <c r="D107" s="208">
        <f>(PCS!I113-PCS!F113)/C107</f>
        <v>12.696760564677154</v>
      </c>
      <c r="E107" s="512">
        <f>'Péréquation directe'!E113/C107</f>
        <v>-9.5493342994686934</v>
      </c>
      <c r="F107" s="208">
        <f>'Péréquation directe'!F113/Effort!C107</f>
        <v>-5.8173236724273067</v>
      </c>
      <c r="G107" s="208">
        <f>'Péréquation directe'!G113/Effort!C107</f>
        <v>-2.8756582715325716</v>
      </c>
      <c r="H107" s="208">
        <f>'Péréquation directe'!J113/Effort!C107</f>
        <v>19.27808627509641</v>
      </c>
      <c r="I107" s="378">
        <f t="shared" si="3"/>
        <v>13.732530596344992</v>
      </c>
      <c r="J107" s="225">
        <f t="shared" si="4"/>
        <v>0</v>
      </c>
      <c r="K107" s="42">
        <f t="shared" si="5"/>
        <v>0</v>
      </c>
      <c r="L107" s="239"/>
    </row>
    <row r="108" spans="1:12" x14ac:dyDescent="0.25">
      <c r="A108" s="38">
        <f>Données!A108</f>
        <v>5583</v>
      </c>
      <c r="B108" s="170" t="str">
        <f>Données!B108</f>
        <v>Crissier</v>
      </c>
      <c r="C108" s="351">
        <f>VPI!R108</f>
        <v>337339.7176377952</v>
      </c>
      <c r="D108" s="208">
        <f>(PCS!I114-PCS!F114)/C108</f>
        <v>12.696760564677154</v>
      </c>
      <c r="E108" s="512">
        <f>'Péréquation directe'!E114/C108</f>
        <v>-12.879935732812145</v>
      </c>
      <c r="F108" s="208">
        <f>'Péréquation directe'!F114/Effort!C108</f>
        <v>-4.4317869179984903</v>
      </c>
      <c r="G108" s="208">
        <f>'Péréquation directe'!G114/Effort!C108</f>
        <v>-8.6462401006244356</v>
      </c>
      <c r="H108" s="208">
        <f>'Péréquation directe'!J114/Effort!C108</f>
        <v>19.27808627509641</v>
      </c>
      <c r="I108" s="378">
        <f t="shared" si="3"/>
        <v>6.0168840883384931</v>
      </c>
      <c r="J108" s="225">
        <f t="shared" si="4"/>
        <v>0</v>
      </c>
      <c r="K108" s="42">
        <f t="shared" si="5"/>
        <v>0</v>
      </c>
      <c r="L108" s="239"/>
    </row>
    <row r="109" spans="1:12" x14ac:dyDescent="0.25">
      <c r="A109" s="38">
        <f>Données!A109</f>
        <v>5584</v>
      </c>
      <c r="B109" s="170" t="str">
        <f>Données!B109</f>
        <v>Epalinges</v>
      </c>
      <c r="C109" s="351">
        <f>VPI!R109</f>
        <v>516682.33689922479</v>
      </c>
      <c r="D109" s="208">
        <f>(PCS!I115-PCS!F115)/C109</f>
        <v>13.853167710148766</v>
      </c>
      <c r="E109" s="512">
        <f>'Péréquation directe'!E115/C109</f>
        <v>-9.820953449903115</v>
      </c>
      <c r="F109" s="208">
        <f>'Péréquation directe'!F115/Effort!C109</f>
        <v>0</v>
      </c>
      <c r="G109" s="208">
        <f>'Péréquation directe'!G115/Effort!C109</f>
        <v>-7.7494505669265861</v>
      </c>
      <c r="H109" s="208">
        <f>'Péréquation directe'!J115/Effort!C109</f>
        <v>19.27808627509641</v>
      </c>
      <c r="I109" s="378">
        <f t="shared" si="3"/>
        <v>15.560849968415475</v>
      </c>
      <c r="J109" s="225">
        <f t="shared" si="4"/>
        <v>0</v>
      </c>
      <c r="K109" s="42">
        <f t="shared" si="5"/>
        <v>0</v>
      </c>
      <c r="L109" s="239"/>
    </row>
    <row r="110" spans="1:12" x14ac:dyDescent="0.25">
      <c r="A110" s="38">
        <f>Données!A110</f>
        <v>5585</v>
      </c>
      <c r="B110" s="170" t="str">
        <f>Données!B110</f>
        <v>Jouxtens-Mézery</v>
      </c>
      <c r="C110" s="351">
        <f>VPI!R110</f>
        <v>191742.38983050847</v>
      </c>
      <c r="D110" s="208">
        <f>(PCS!I116-PCS!F116)/C110</f>
        <v>27.769142857323324</v>
      </c>
      <c r="E110" s="512">
        <f>'Péréquation directe'!E116/C110</f>
        <v>-1.5396034425236604</v>
      </c>
      <c r="F110" s="208">
        <f>'Péréquation directe'!F116/Effort!C110</f>
        <v>0</v>
      </c>
      <c r="G110" s="208">
        <f>'Péréquation directe'!G116/Effort!C110</f>
        <v>0</v>
      </c>
      <c r="H110" s="208">
        <f>'Péréquation directe'!J116/Effort!C110</f>
        <v>19.27808627509641</v>
      </c>
      <c r="I110" s="378">
        <f t="shared" si="3"/>
        <v>45.507625689896074</v>
      </c>
      <c r="J110" s="225">
        <f t="shared" si="4"/>
        <v>0</v>
      </c>
      <c r="K110" s="42">
        <f t="shared" si="5"/>
        <v>0</v>
      </c>
      <c r="L110" s="239"/>
    </row>
    <row r="111" spans="1:12" x14ac:dyDescent="0.25">
      <c r="A111" s="38">
        <f>Données!A111</f>
        <v>5586</v>
      </c>
      <c r="B111" s="170" t="str">
        <f>Données!B111</f>
        <v>Lausanne</v>
      </c>
      <c r="C111" s="351">
        <f>VPI!R111</f>
        <v>6457900.2123142257</v>
      </c>
      <c r="D111" s="208">
        <f>(PCS!I117-PCS!F117)/C111</f>
        <v>12.696760564677154</v>
      </c>
      <c r="E111" s="512">
        <f>'Péréquation directe'!E117/C111</f>
        <v>-22.678903195701647</v>
      </c>
      <c r="F111" s="208">
        <f>'Péréquation directe'!F117/Effort!C111</f>
        <v>-1.1138433497221063</v>
      </c>
      <c r="G111" s="208">
        <f>'Péréquation directe'!G117/Effort!C111</f>
        <v>-7.6761385816381837</v>
      </c>
      <c r="H111" s="208">
        <f>'Péréquation directe'!J117/Effort!C111</f>
        <v>19.27808627509641</v>
      </c>
      <c r="I111" s="378">
        <f t="shared" si="3"/>
        <v>0.5059617127116276</v>
      </c>
      <c r="J111" s="225">
        <f t="shared" si="4"/>
        <v>0</v>
      </c>
      <c r="K111" s="42">
        <f t="shared" si="5"/>
        <v>0</v>
      </c>
      <c r="L111" s="239"/>
    </row>
    <row r="112" spans="1:12" x14ac:dyDescent="0.25">
      <c r="A112" s="38">
        <f>Données!A112</f>
        <v>5587</v>
      </c>
      <c r="B112" s="170" t="str">
        <f>Données!B112</f>
        <v>Le Mont-sur-Lausanne</v>
      </c>
      <c r="C112" s="351">
        <f>VPI!R112</f>
        <v>494912.33501133788</v>
      </c>
      <c r="D112" s="208">
        <f>(PCS!I118-PCS!F118)/C112</f>
        <v>14.274406967393276</v>
      </c>
      <c r="E112" s="512">
        <f>'Péréquation directe'!E118/C112</f>
        <v>-9.1963844963456456</v>
      </c>
      <c r="F112" s="208">
        <f>'Péréquation directe'!F118/Effort!C112</f>
        <v>0</v>
      </c>
      <c r="G112" s="208">
        <f>'Péréquation directe'!G118/Effort!C112</f>
        <v>-4.7506448589084176</v>
      </c>
      <c r="H112" s="208">
        <f>'Péréquation directe'!J118/Effort!C112</f>
        <v>19.27808627509641</v>
      </c>
      <c r="I112" s="378">
        <f t="shared" si="3"/>
        <v>19.605463887235622</v>
      </c>
      <c r="J112" s="225">
        <f t="shared" si="4"/>
        <v>0</v>
      </c>
      <c r="K112" s="42">
        <f t="shared" si="5"/>
        <v>0</v>
      </c>
      <c r="L112" s="239"/>
    </row>
    <row r="113" spans="1:12" x14ac:dyDescent="0.25">
      <c r="A113" s="38">
        <f>Données!A113</f>
        <v>5588</v>
      </c>
      <c r="B113" s="170" t="str">
        <f>Données!B113</f>
        <v>Paudex</v>
      </c>
      <c r="C113" s="351">
        <f>VPI!R113</f>
        <v>140525.78356605806</v>
      </c>
      <c r="D113" s="208">
        <f>(PCS!I119-PCS!F119)/C113</f>
        <v>22.825567282365043</v>
      </c>
      <c r="E113" s="512">
        <f>'Péréquation directe'!E119/C113</f>
        <v>-2.3192540306059377</v>
      </c>
      <c r="F113" s="208">
        <f>'Péréquation directe'!F119/Effort!C113</f>
        <v>0</v>
      </c>
      <c r="G113" s="208">
        <f>'Péréquation directe'!G119/Effort!C113</f>
        <v>0</v>
      </c>
      <c r="H113" s="208">
        <f>'Péréquation directe'!J119/Effort!C113</f>
        <v>19.27808627509641</v>
      </c>
      <c r="I113" s="378">
        <f t="shared" si="3"/>
        <v>39.784399526855516</v>
      </c>
      <c r="J113" s="225">
        <f t="shared" si="4"/>
        <v>0</v>
      </c>
      <c r="K113" s="42">
        <f t="shared" si="5"/>
        <v>0</v>
      </c>
      <c r="L113" s="239"/>
    </row>
    <row r="114" spans="1:12" x14ac:dyDescent="0.25">
      <c r="A114" s="38">
        <f>Données!A114</f>
        <v>5589</v>
      </c>
      <c r="B114" s="170" t="str">
        <f>Données!B114</f>
        <v>Prilly</v>
      </c>
      <c r="C114" s="351">
        <f>VPI!R114</f>
        <v>419337.60911405843</v>
      </c>
      <c r="D114" s="208">
        <f>(PCS!I120-PCS!F120)/C114</f>
        <v>12.696760564677154</v>
      </c>
      <c r="E114" s="512">
        <f>'Péréquation directe'!E120/C114</f>
        <v>-17.515925973424547</v>
      </c>
      <c r="F114" s="208">
        <f>'Péréquation directe'!F120/Effort!C114</f>
        <v>-8.6229414497472412</v>
      </c>
      <c r="G114" s="208">
        <f>'Péréquation directe'!G120/Effort!C114</f>
        <v>-7.9049869920301346</v>
      </c>
      <c r="H114" s="208">
        <f>'Péréquation directe'!J120/Effort!C114</f>
        <v>19.27808627509641</v>
      </c>
      <c r="I114" s="378">
        <f t="shared" si="3"/>
        <v>-2.0690075754283583</v>
      </c>
      <c r="J114" s="225">
        <f t="shared" si="4"/>
        <v>0</v>
      </c>
      <c r="K114" s="42">
        <f t="shared" si="5"/>
        <v>0</v>
      </c>
      <c r="L114" s="239"/>
    </row>
    <row r="115" spans="1:12" x14ac:dyDescent="0.25">
      <c r="A115" s="38">
        <f>Données!A115</f>
        <v>5590</v>
      </c>
      <c r="B115" s="170" t="str">
        <f>Données!B115</f>
        <v>Pully</v>
      </c>
      <c r="C115" s="351">
        <f>VPI!R115</f>
        <v>1602221.7514051518</v>
      </c>
      <c r="D115" s="208">
        <f>(PCS!I121-PCS!F121)/C115</f>
        <v>20.84667340776118</v>
      </c>
      <c r="E115" s="512">
        <f>'Péréquation directe'!E121/C115</f>
        <v>-8.9665328982497279</v>
      </c>
      <c r="F115" s="208">
        <f>'Péréquation directe'!F121/Effort!C115</f>
        <v>0</v>
      </c>
      <c r="G115" s="208">
        <f>'Péréquation directe'!G121/Effort!C115</f>
        <v>-1.5550647027379245</v>
      </c>
      <c r="H115" s="208">
        <f>'Péréquation directe'!J121/Effort!C115</f>
        <v>19.27808627509641</v>
      </c>
      <c r="I115" s="378">
        <f t="shared" si="3"/>
        <v>29.603162081869939</v>
      </c>
      <c r="J115" s="225">
        <f t="shared" si="4"/>
        <v>0</v>
      </c>
      <c r="K115" s="42">
        <f t="shared" si="5"/>
        <v>0</v>
      </c>
      <c r="L115" s="239"/>
    </row>
    <row r="116" spans="1:12" x14ac:dyDescent="0.25">
      <c r="A116" s="38">
        <f>Données!A116</f>
        <v>5591</v>
      </c>
      <c r="B116" s="170" t="str">
        <f>Données!B116</f>
        <v>Renens</v>
      </c>
      <c r="C116" s="351">
        <f>VPI!R116</f>
        <v>569549.93361781072</v>
      </c>
      <c r="D116" s="208">
        <f>(PCS!I122-PCS!F122)/C116</f>
        <v>12.696760564677154</v>
      </c>
      <c r="E116" s="512">
        <f>'Péréquation directe'!E122/C116</f>
        <v>-28.974719198987902</v>
      </c>
      <c r="F116" s="208">
        <f>'Péréquation directe'!F122/Effort!C116</f>
        <v>-18.009647487214625</v>
      </c>
      <c r="G116" s="208">
        <f>'Péréquation directe'!G122/Effort!C116</f>
        <v>-12.345590760812007</v>
      </c>
      <c r="H116" s="208">
        <f>'Péréquation directe'!J122/Effort!C116</f>
        <v>19.27808627509641</v>
      </c>
      <c r="I116" s="378">
        <f t="shared" si="3"/>
        <v>-27.35511060724097</v>
      </c>
      <c r="J116" s="225">
        <f t="shared" si="4"/>
        <v>0</v>
      </c>
      <c r="K116" s="42">
        <f t="shared" si="5"/>
        <v>0</v>
      </c>
      <c r="L116" s="239"/>
    </row>
    <row r="117" spans="1:12" x14ac:dyDescent="0.25">
      <c r="A117" s="38">
        <f>Données!A117</f>
        <v>5592</v>
      </c>
      <c r="B117" s="170" t="str">
        <f>Données!B117</f>
        <v>Romanel-sur-Lausanne</v>
      </c>
      <c r="C117" s="351">
        <f>VPI!R117</f>
        <v>121058.65858156027</v>
      </c>
      <c r="D117" s="208">
        <f>(PCS!I123-PCS!F123)/C117</f>
        <v>12.696760564677154</v>
      </c>
      <c r="E117" s="512">
        <f>'Péréquation directe'!E123/C117</f>
        <v>-9.0891301814926013</v>
      </c>
      <c r="F117" s="208">
        <f>'Péréquation directe'!F123/Effort!C117</f>
        <v>-7.5191053795447438</v>
      </c>
      <c r="G117" s="208">
        <f>'Péréquation directe'!G123/Effort!C117</f>
        <v>-2.0611768000264781</v>
      </c>
      <c r="H117" s="208">
        <f>'Péréquation directe'!J123/Effort!C117</f>
        <v>19.27808627509641</v>
      </c>
      <c r="I117" s="378">
        <f t="shared" si="3"/>
        <v>13.30543447870974</v>
      </c>
      <c r="J117" s="225">
        <f t="shared" si="4"/>
        <v>0</v>
      </c>
      <c r="K117" s="42">
        <f t="shared" si="5"/>
        <v>0</v>
      </c>
      <c r="L117" s="239"/>
    </row>
    <row r="118" spans="1:12" x14ac:dyDescent="0.25">
      <c r="A118" s="38">
        <f>Données!A118</f>
        <v>5601</v>
      </c>
      <c r="B118" s="170" t="str">
        <f>Données!B118</f>
        <v>Chexbres</v>
      </c>
      <c r="C118" s="351">
        <f>VPI!R118</f>
        <v>105964.39288888889</v>
      </c>
      <c r="D118" s="208">
        <f>(PCS!I124-PCS!F124)/C118</f>
        <v>12.696760564677154</v>
      </c>
      <c r="E118" s="512">
        <f>'Péréquation directe'!E124/C118</f>
        <v>-5.4076847568410331</v>
      </c>
      <c r="F118" s="208">
        <f>'Péréquation directe'!F124/Effort!C118</f>
        <v>-0.15079753964834461</v>
      </c>
      <c r="G118" s="208">
        <f>'Péréquation directe'!G124/Effort!C118</f>
        <v>-2.7112186918101173</v>
      </c>
      <c r="H118" s="208">
        <f>'Péréquation directe'!J124/Effort!C118</f>
        <v>19.27808627509641</v>
      </c>
      <c r="I118" s="378">
        <f t="shared" si="3"/>
        <v>23.705145851474068</v>
      </c>
      <c r="J118" s="225">
        <f t="shared" si="4"/>
        <v>0</v>
      </c>
      <c r="K118" s="42">
        <f t="shared" si="5"/>
        <v>0</v>
      </c>
      <c r="L118" s="239"/>
    </row>
    <row r="119" spans="1:12" x14ac:dyDescent="0.25">
      <c r="A119" s="38">
        <f>Données!A119</f>
        <v>5604</v>
      </c>
      <c r="B119" s="170" t="str">
        <f>Données!B119</f>
        <v>Forel (Lavaux)</v>
      </c>
      <c r="C119" s="351">
        <f>VPI!R119</f>
        <v>75806.642898550723</v>
      </c>
      <c r="D119" s="208">
        <f>(PCS!I125-PCS!F125)/C119</f>
        <v>12.696760564677154</v>
      </c>
      <c r="E119" s="512">
        <f>'Péréquation directe'!E125/C119</f>
        <v>-6.9918831233834986</v>
      </c>
      <c r="F119" s="208">
        <f>'Péréquation directe'!F125/Effort!C119</f>
        <v>-6.3556574575161671</v>
      </c>
      <c r="G119" s="208">
        <f>'Péréquation directe'!G125/Effort!C119</f>
        <v>-4.4605938171041251</v>
      </c>
      <c r="H119" s="208">
        <f>'Péréquation directe'!J125/Effort!C119</f>
        <v>19.27808627509641</v>
      </c>
      <c r="I119" s="378">
        <f t="shared" si="3"/>
        <v>14.166712441769773</v>
      </c>
      <c r="J119" s="225">
        <f t="shared" si="4"/>
        <v>0</v>
      </c>
      <c r="K119" s="42">
        <f t="shared" si="5"/>
        <v>0</v>
      </c>
      <c r="L119" s="239"/>
    </row>
    <row r="120" spans="1:12" x14ac:dyDescent="0.25">
      <c r="A120" s="38">
        <f>Données!A120</f>
        <v>5606</v>
      </c>
      <c r="B120" s="170" t="str">
        <f>Données!B120</f>
        <v>Lutry</v>
      </c>
      <c r="C120" s="351">
        <f>VPI!R120</f>
        <v>959386.53714285709</v>
      </c>
      <c r="D120" s="208">
        <f>(PCS!I126-PCS!F126)/C120</f>
        <v>20.723718643966677</v>
      </c>
      <c r="E120" s="512">
        <f>'Péréquation directe'!E126/C120</f>
        <v>-6.1039470967019147</v>
      </c>
      <c r="F120" s="208">
        <f>'Péréquation directe'!F126/Effort!C120</f>
        <v>0</v>
      </c>
      <c r="G120" s="208">
        <f>'Péréquation directe'!G126/Effort!C120</f>
        <v>-2.1414103675679805</v>
      </c>
      <c r="H120" s="208">
        <f>'Péréquation directe'!J126/Effort!C120</f>
        <v>19.27808627509641</v>
      </c>
      <c r="I120" s="378">
        <f t="shared" si="3"/>
        <v>31.756447454793189</v>
      </c>
      <c r="J120" s="225">
        <f t="shared" si="4"/>
        <v>0</v>
      </c>
      <c r="K120" s="42">
        <f t="shared" si="5"/>
        <v>0</v>
      </c>
      <c r="L120" s="239"/>
    </row>
    <row r="121" spans="1:12" x14ac:dyDescent="0.25">
      <c r="A121" s="38">
        <f>Données!A121</f>
        <v>5607</v>
      </c>
      <c r="B121" s="170" t="str">
        <f>Données!B121</f>
        <v>Puidoux</v>
      </c>
      <c r="C121" s="351">
        <f>VPI!R121</f>
        <v>111538.40092668995</v>
      </c>
      <c r="D121" s="208">
        <f>(PCS!I127-PCS!F127)/C121</f>
        <v>12.696760564677154</v>
      </c>
      <c r="E121" s="512">
        <f>'Péréquation directe'!E127/C121</f>
        <v>-7.3885138325616131</v>
      </c>
      <c r="F121" s="208">
        <f>'Péréquation directe'!F127/Effort!C121</f>
        <v>-4.8093928409953293</v>
      </c>
      <c r="G121" s="208">
        <f>'Péréquation directe'!G127/Effort!C121</f>
        <v>-8.6939505711330227</v>
      </c>
      <c r="H121" s="208">
        <f>'Péréquation directe'!J127/Effort!C121</f>
        <v>19.27808627509641</v>
      </c>
      <c r="I121" s="378">
        <f t="shared" si="3"/>
        <v>11.0829895950836</v>
      </c>
      <c r="J121" s="225">
        <f t="shared" si="4"/>
        <v>0</v>
      </c>
      <c r="K121" s="42">
        <f t="shared" si="5"/>
        <v>0</v>
      </c>
      <c r="L121" s="239"/>
    </row>
    <row r="122" spans="1:12" x14ac:dyDescent="0.25">
      <c r="A122" s="38">
        <f>Données!A122</f>
        <v>5609</v>
      </c>
      <c r="B122" s="170" t="str">
        <f>Données!B122</f>
        <v>Rivaz</v>
      </c>
      <c r="C122" s="351">
        <f>VPI!R122</f>
        <v>14895.889354838711</v>
      </c>
      <c r="D122" s="208">
        <f>(PCS!I128-PCS!F128)/C122</f>
        <v>12.696760564677154</v>
      </c>
      <c r="E122" s="512">
        <f>'Péréquation directe'!E128/C122</f>
        <v>-2.8670320337628925</v>
      </c>
      <c r="F122" s="208">
        <f>'Péréquation directe'!F128/Effort!C122</f>
        <v>-0.99986297799937118</v>
      </c>
      <c r="G122" s="208">
        <f>'Péréquation directe'!G128/Effort!C122</f>
        <v>-3.3847870825241948</v>
      </c>
      <c r="H122" s="208">
        <f>'Péréquation directe'!J128/Effort!C122</f>
        <v>19.27808627509641</v>
      </c>
      <c r="I122" s="378">
        <f t="shared" si="3"/>
        <v>24.723164745487104</v>
      </c>
      <c r="J122" s="225">
        <f t="shared" si="4"/>
        <v>0</v>
      </c>
      <c r="K122" s="42">
        <f t="shared" si="5"/>
        <v>0</v>
      </c>
      <c r="L122" s="239"/>
    </row>
    <row r="123" spans="1:12" x14ac:dyDescent="0.25">
      <c r="A123" s="38">
        <f>Données!A123</f>
        <v>5610</v>
      </c>
      <c r="B123" s="170" t="str">
        <f>Données!B123</f>
        <v>St-Saphorin (Lavaux)</v>
      </c>
      <c r="C123" s="351">
        <f>VPI!R123</f>
        <v>23447.805208333331</v>
      </c>
      <c r="D123" s="208">
        <f>(PCS!I129-PCS!F129)/C123</f>
        <v>15.645484290488794</v>
      </c>
      <c r="E123" s="512">
        <f>'Péréquation directe'!E129/C123</f>
        <v>-2.1790338547358212</v>
      </c>
      <c r="F123" s="208">
        <f>'Péréquation directe'!F129/Effort!C123</f>
        <v>0</v>
      </c>
      <c r="G123" s="208">
        <f>'Péréquation directe'!G129/Effort!C123</f>
        <v>-0.17274191396645072</v>
      </c>
      <c r="H123" s="208">
        <f>'Péréquation directe'!J129/Effort!C123</f>
        <v>19.27808627509641</v>
      </c>
      <c r="I123" s="378">
        <f t="shared" si="3"/>
        <v>32.571794796882926</v>
      </c>
      <c r="J123" s="225">
        <f t="shared" si="4"/>
        <v>0</v>
      </c>
      <c r="K123" s="42">
        <f t="shared" si="5"/>
        <v>0</v>
      </c>
      <c r="L123" s="239"/>
    </row>
    <row r="124" spans="1:12" x14ac:dyDescent="0.25">
      <c r="A124" s="38">
        <f>Données!A124</f>
        <v>5611</v>
      </c>
      <c r="B124" s="170" t="str">
        <f>Données!B124</f>
        <v>Savigny</v>
      </c>
      <c r="C124" s="351">
        <f>VPI!R124</f>
        <v>140961.75301932363</v>
      </c>
      <c r="D124" s="208">
        <f>(PCS!I130-PCS!F130)/C124</f>
        <v>12.696760564677154</v>
      </c>
      <c r="E124" s="512">
        <f>'Péréquation directe'!E130/C124</f>
        <v>-7.3957301765419095</v>
      </c>
      <c r="F124" s="208">
        <f>'Péréquation directe'!F130/Effort!C124</f>
        <v>-2.775731770912782</v>
      </c>
      <c r="G124" s="208">
        <f>'Péréquation directe'!G130/Effort!C124</f>
        <v>-4.5481484739777001</v>
      </c>
      <c r="H124" s="208">
        <f>'Péréquation directe'!J130/Effort!C124</f>
        <v>19.27808627509641</v>
      </c>
      <c r="I124" s="378">
        <f t="shared" si="3"/>
        <v>17.255236418341173</v>
      </c>
      <c r="J124" s="225">
        <f t="shared" si="4"/>
        <v>0</v>
      </c>
      <c r="K124" s="42">
        <f t="shared" si="5"/>
        <v>0</v>
      </c>
      <c r="L124" s="239"/>
    </row>
    <row r="125" spans="1:12" x14ac:dyDescent="0.25">
      <c r="A125" s="38">
        <f>Données!A125</f>
        <v>5613</v>
      </c>
      <c r="B125" s="170" t="str">
        <f>Données!B125</f>
        <v>Bourg-en-Lavaux</v>
      </c>
      <c r="C125" s="351">
        <f>VPI!R125</f>
        <v>357200.5696533334</v>
      </c>
      <c r="D125" s="208">
        <f>(PCS!I131-PCS!F131)/C125</f>
        <v>17.042779552705777</v>
      </c>
      <c r="E125" s="512">
        <f>'Péréquation directe'!E131/C125</f>
        <v>-5.9099610360110519</v>
      </c>
      <c r="F125" s="208">
        <f>'Péréquation directe'!F131/Effort!C125</f>
        <v>0</v>
      </c>
      <c r="G125" s="208">
        <f>'Péréquation directe'!G131/Effort!C125</f>
        <v>0</v>
      </c>
      <c r="H125" s="208">
        <f>'Péréquation directe'!J131/Effort!C125</f>
        <v>19.27808627509641</v>
      </c>
      <c r="I125" s="378">
        <f t="shared" si="3"/>
        <v>30.410904791791136</v>
      </c>
      <c r="J125" s="225">
        <f t="shared" si="4"/>
        <v>0</v>
      </c>
      <c r="K125" s="42">
        <f t="shared" si="5"/>
        <v>0</v>
      </c>
      <c r="L125" s="239"/>
    </row>
    <row r="126" spans="1:12" x14ac:dyDescent="0.25">
      <c r="A126" s="38">
        <f>Données!A126</f>
        <v>5621</v>
      </c>
      <c r="B126" s="170" t="str">
        <f>Données!B126</f>
        <v>Aclens</v>
      </c>
      <c r="C126" s="351">
        <f>VPI!R126</f>
        <v>32245.149105571847</v>
      </c>
      <c r="D126" s="208">
        <f>(PCS!I132-PCS!F132)/C126</f>
        <v>16.049180817561485</v>
      </c>
      <c r="E126" s="512">
        <f>'Péréquation directe'!E132/C126</f>
        <v>-2.06869823051486</v>
      </c>
      <c r="F126" s="208">
        <f>'Péréquation directe'!F132/Effort!C126</f>
        <v>0</v>
      </c>
      <c r="G126" s="208">
        <f>'Péréquation directe'!G132/Effort!C126</f>
        <v>-1.1209780810200378</v>
      </c>
      <c r="H126" s="208">
        <f>'Péréquation directe'!J132/Effort!C126</f>
        <v>19.27808627509641</v>
      </c>
      <c r="I126" s="378">
        <f t="shared" si="3"/>
        <v>32.137590781122995</v>
      </c>
      <c r="J126" s="225">
        <f t="shared" si="4"/>
        <v>0</v>
      </c>
      <c r="K126" s="42">
        <f t="shared" si="5"/>
        <v>0</v>
      </c>
      <c r="L126" s="239"/>
    </row>
    <row r="127" spans="1:12" x14ac:dyDescent="0.25">
      <c r="A127" s="38">
        <f>Données!A127</f>
        <v>5622</v>
      </c>
      <c r="B127" s="170" t="str">
        <f>Données!B127</f>
        <v>Bremblens</v>
      </c>
      <c r="C127" s="351">
        <f>VPI!R127</f>
        <v>28642.58897058824</v>
      </c>
      <c r="D127" s="208">
        <f>(PCS!I133-PCS!F133)/C127</f>
        <v>12.696760564677156</v>
      </c>
      <c r="E127" s="512">
        <f>'Péréquation directe'!E133/C127</f>
        <v>-2.734307852409378</v>
      </c>
      <c r="F127" s="208">
        <f>'Péréquation directe'!F133/Effort!C127</f>
        <v>-0.2919208419908112</v>
      </c>
      <c r="G127" s="208">
        <f>'Péréquation directe'!G133/Effort!C127</f>
        <v>-0.35127642221177063</v>
      </c>
      <c r="H127" s="208">
        <f>'Péréquation directe'!J133/Effort!C127</f>
        <v>19.27808627509641</v>
      </c>
      <c r="I127" s="378">
        <f t="shared" si="3"/>
        <v>28.597341723161605</v>
      </c>
      <c r="J127" s="225">
        <f t="shared" si="4"/>
        <v>0</v>
      </c>
      <c r="K127" s="42">
        <f t="shared" si="5"/>
        <v>0</v>
      </c>
      <c r="L127" s="239"/>
    </row>
    <row r="128" spans="1:12" x14ac:dyDescent="0.25">
      <c r="A128" s="38">
        <f>Données!A128</f>
        <v>5623</v>
      </c>
      <c r="B128" s="170" t="str">
        <f>Données!B128</f>
        <v>Buchillon</v>
      </c>
      <c r="C128" s="351">
        <f>VPI!R128</f>
        <v>89223.972115384619</v>
      </c>
      <c r="D128" s="208">
        <f>(PCS!I134-PCS!F134)/C128</f>
        <v>26.175276570586139</v>
      </c>
      <c r="E128" s="512">
        <f>'Péréquation directe'!E134/C128</f>
        <v>-0.96742109627084849</v>
      </c>
      <c r="F128" s="208">
        <f>'Péréquation directe'!F134/Effort!C128</f>
        <v>0</v>
      </c>
      <c r="G128" s="208">
        <f>'Péréquation directe'!G134/Effort!C128</f>
        <v>0</v>
      </c>
      <c r="H128" s="208">
        <f>'Péréquation directe'!J134/Effort!C128</f>
        <v>19.27808627509641</v>
      </c>
      <c r="I128" s="378">
        <f t="shared" si="3"/>
        <v>44.485941749411701</v>
      </c>
      <c r="J128" s="225">
        <f t="shared" si="4"/>
        <v>0</v>
      </c>
      <c r="K128" s="42">
        <f t="shared" si="5"/>
        <v>0</v>
      </c>
      <c r="L128" s="239"/>
    </row>
    <row r="129" spans="1:12" x14ac:dyDescent="0.25">
      <c r="A129" s="38">
        <f>Données!A129</f>
        <v>5624</v>
      </c>
      <c r="B129" s="170" t="str">
        <f>Données!B129</f>
        <v>Bussigny</v>
      </c>
      <c r="C129" s="351">
        <f>VPI!R129</f>
        <v>441652.56160000002</v>
      </c>
      <c r="D129" s="208">
        <f>(PCS!I135-PCS!F135)/C129</f>
        <v>12.696760564677156</v>
      </c>
      <c r="E129" s="512">
        <f>'Péréquation directe'!E135/C129</f>
        <v>-12.363459187786892</v>
      </c>
      <c r="F129" s="208">
        <f>'Péréquation directe'!F135/Effort!C129</f>
        <v>-1.7597020394296581</v>
      </c>
      <c r="G129" s="208">
        <f>'Péréquation directe'!G135/Effort!C129</f>
        <v>-3.148195949238664</v>
      </c>
      <c r="H129" s="208">
        <f>'Péréquation directe'!J135/Effort!C129</f>
        <v>19.27808627509641</v>
      </c>
      <c r="I129" s="378">
        <f t="shared" si="3"/>
        <v>14.703489663318351</v>
      </c>
      <c r="J129" s="225">
        <f t="shared" si="4"/>
        <v>0</v>
      </c>
      <c r="K129" s="42">
        <f t="shared" si="5"/>
        <v>0</v>
      </c>
      <c r="L129" s="239"/>
    </row>
    <row r="130" spans="1:12" x14ac:dyDescent="0.25">
      <c r="A130" s="38">
        <f>Données!A130</f>
        <v>5627</v>
      </c>
      <c r="B130" s="170" t="str">
        <f>Données!B130</f>
        <v>Chavannes-près-Renens</v>
      </c>
      <c r="C130" s="351">
        <f>VPI!R130</f>
        <v>194013.68774193546</v>
      </c>
      <c r="D130" s="208">
        <f>(PCS!I136-PCS!F136)/C130</f>
        <v>12.696760564677156</v>
      </c>
      <c r="E130" s="512">
        <f>'Péréquation directe'!E136/C130</f>
        <v>-21.73411341248536</v>
      </c>
      <c r="F130" s="208">
        <f>'Péréquation directe'!F136/Effort!C130</f>
        <v>-27.976658163199001</v>
      </c>
      <c r="G130" s="208">
        <f>'Péréquation directe'!G136/Effort!C130</f>
        <v>-9.7759294492211701</v>
      </c>
      <c r="H130" s="208">
        <f>'Péréquation directe'!J136/Effort!C130</f>
        <v>19.27808627509641</v>
      </c>
      <c r="I130" s="378">
        <f t="shared" si="3"/>
        <v>-27.51185418513197</v>
      </c>
      <c r="J130" s="225">
        <f t="shared" si="4"/>
        <v>0</v>
      </c>
      <c r="K130" s="42">
        <f t="shared" si="5"/>
        <v>0</v>
      </c>
      <c r="L130" s="239"/>
    </row>
    <row r="131" spans="1:12" x14ac:dyDescent="0.25">
      <c r="A131" s="38">
        <f>Données!A131</f>
        <v>5628</v>
      </c>
      <c r="B131" s="170" t="str">
        <f>Données!B131</f>
        <v>Chigny</v>
      </c>
      <c r="C131" s="351">
        <f>VPI!R131</f>
        <v>25790.655967741935</v>
      </c>
      <c r="D131" s="208">
        <f>(PCS!I137-PCS!F137)/C131</f>
        <v>16.363061520596339</v>
      </c>
      <c r="E131" s="512">
        <f>'Péréquation directe'!E137/C131</f>
        <v>-2.0261128192082691</v>
      </c>
      <c r="F131" s="208">
        <f>'Péréquation directe'!F137/Effort!C131</f>
        <v>0</v>
      </c>
      <c r="G131" s="208">
        <f>'Péréquation directe'!G137/Effort!C131</f>
        <v>0</v>
      </c>
      <c r="H131" s="208">
        <f>'Péréquation directe'!J137/Effort!C131</f>
        <v>19.27808627509641</v>
      </c>
      <c r="I131" s="378">
        <f t="shared" si="3"/>
        <v>33.61503497648448</v>
      </c>
      <c r="J131" s="225">
        <f t="shared" si="4"/>
        <v>0</v>
      </c>
      <c r="K131" s="42">
        <f t="shared" si="5"/>
        <v>0</v>
      </c>
      <c r="L131" s="239"/>
    </row>
    <row r="132" spans="1:12" x14ac:dyDescent="0.25">
      <c r="A132" s="38">
        <f>Données!A132</f>
        <v>5629</v>
      </c>
      <c r="B132" s="170" t="str">
        <f>Données!B132</f>
        <v>Clarmont</v>
      </c>
      <c r="C132" s="351">
        <f>VPI!R132</f>
        <v>9947.9383673469401</v>
      </c>
      <c r="D132" s="208">
        <f>(PCS!I138-PCS!F138)/C132</f>
        <v>12.696760564677154</v>
      </c>
      <c r="E132" s="512">
        <f>'Péréquation directe'!E138/C132</f>
        <v>-2.7366569395689706</v>
      </c>
      <c r="F132" s="208">
        <f>'Péréquation directe'!F138/Effort!C132</f>
        <v>-0.35988705192837739</v>
      </c>
      <c r="G132" s="208">
        <f>'Péréquation directe'!G138/Effort!C132</f>
        <v>-4.91050185395813</v>
      </c>
      <c r="H132" s="208">
        <f>'Péréquation directe'!J138/Effort!C132</f>
        <v>19.27808627509641</v>
      </c>
      <c r="I132" s="378">
        <f t="shared" si="3"/>
        <v>23.967800994318086</v>
      </c>
      <c r="J132" s="225">
        <f t="shared" si="4"/>
        <v>0</v>
      </c>
      <c r="K132" s="42">
        <f t="shared" si="5"/>
        <v>0</v>
      </c>
      <c r="L132" s="239"/>
    </row>
    <row r="133" spans="1:12" x14ac:dyDescent="0.25">
      <c r="A133" s="38">
        <f>Données!A133</f>
        <v>5631</v>
      </c>
      <c r="B133" s="170" t="str">
        <f>Données!B133</f>
        <v>Denens</v>
      </c>
      <c r="C133" s="351">
        <f>VPI!R133</f>
        <v>43289.846911764696</v>
      </c>
      <c r="D133" s="208">
        <f>(PCS!I139-PCS!F139)/C133</f>
        <v>15.435979460155709</v>
      </c>
      <c r="E133" s="512">
        <f>'Péréquation directe'!E139/C133</f>
        <v>-2.1846854386411012</v>
      </c>
      <c r="F133" s="208">
        <f>'Péréquation directe'!F139/Effort!C133</f>
        <v>0</v>
      </c>
      <c r="G133" s="208">
        <f>'Péréquation directe'!G139/Effort!C133</f>
        <v>0</v>
      </c>
      <c r="H133" s="208">
        <f>'Péréquation directe'!J139/Effort!C133</f>
        <v>19.27808627509641</v>
      </c>
      <c r="I133" s="378">
        <f t="shared" si="3"/>
        <v>32.529380296611016</v>
      </c>
      <c r="J133" s="225">
        <f t="shared" si="4"/>
        <v>0</v>
      </c>
      <c r="K133" s="42">
        <f t="shared" si="5"/>
        <v>0</v>
      </c>
      <c r="L133" s="239"/>
    </row>
    <row r="134" spans="1:12" x14ac:dyDescent="0.25">
      <c r="A134" s="38">
        <f>Données!A134</f>
        <v>5632</v>
      </c>
      <c r="B134" s="170" t="str">
        <f>Données!B134</f>
        <v>Denges</v>
      </c>
      <c r="C134" s="351">
        <f>VPI!R134</f>
        <v>80504.673548387087</v>
      </c>
      <c r="D134" s="208">
        <f>(PCS!I140-PCS!F140)/C134</f>
        <v>12.696760564677154</v>
      </c>
      <c r="E134" s="512">
        <f>'Péréquation directe'!E140/C134</f>
        <v>-4.9414180062684645</v>
      </c>
      <c r="F134" s="208">
        <f>'Péréquation directe'!F140/Effort!C134</f>
        <v>-0.58945856801685126</v>
      </c>
      <c r="G134" s="208">
        <f>'Péréquation directe'!G140/Effort!C134</f>
        <v>-1.3094017286626141</v>
      </c>
      <c r="H134" s="208">
        <f>'Péréquation directe'!J140/Effort!C134</f>
        <v>19.27808627509641</v>
      </c>
      <c r="I134" s="378">
        <f t="shared" si="3"/>
        <v>25.134568536825633</v>
      </c>
      <c r="J134" s="225">
        <f t="shared" si="4"/>
        <v>0</v>
      </c>
      <c r="K134" s="42">
        <f t="shared" si="5"/>
        <v>0</v>
      </c>
      <c r="L134" s="239"/>
    </row>
    <row r="135" spans="1:12" x14ac:dyDescent="0.25">
      <c r="A135" s="38">
        <f>Données!A135</f>
        <v>5633</v>
      </c>
      <c r="B135" s="170" t="str">
        <f>Données!B135</f>
        <v>Echandens</v>
      </c>
      <c r="C135" s="351">
        <f>VPI!R135</f>
        <v>168819.8966942149</v>
      </c>
      <c r="D135" s="208">
        <f>(PCS!I141-PCS!F141)/C135</f>
        <v>15.592969188495852</v>
      </c>
      <c r="E135" s="512">
        <f>'Péréquation directe'!E141/C135</f>
        <v>-4.5626976437760769</v>
      </c>
      <c r="F135" s="208">
        <f>'Péréquation directe'!F141/Effort!C135</f>
        <v>0</v>
      </c>
      <c r="G135" s="208">
        <f>'Péréquation directe'!G141/Effort!C135</f>
        <v>-3.5758603201147281</v>
      </c>
      <c r="H135" s="208">
        <f>'Péréquation directe'!J141/Effort!C135</f>
        <v>19.27808627509641</v>
      </c>
      <c r="I135" s="378">
        <f t="shared" ref="I135:I198" si="6">SUM(D135:H135)</f>
        <v>26.732497499701456</v>
      </c>
      <c r="J135" s="225">
        <f t="shared" ref="J135:J198" si="7">IF(I135&gt;J$5,I135-J$5,0)</f>
        <v>0</v>
      </c>
      <c r="K135" s="42">
        <f t="shared" ref="K135:K198" si="8">-J135*C135</f>
        <v>0</v>
      </c>
      <c r="L135" s="239"/>
    </row>
    <row r="136" spans="1:12" x14ac:dyDescent="0.25">
      <c r="A136" s="38">
        <f>Données!A136</f>
        <v>5634</v>
      </c>
      <c r="B136" s="170" t="str">
        <f>Données!B136</f>
        <v>Echichens</v>
      </c>
      <c r="C136" s="351">
        <f>VPI!R136</f>
        <v>152560.86727272728</v>
      </c>
      <c r="D136" s="208">
        <f>(PCS!I142-PCS!F142)/C136</f>
        <v>12.865991292716405</v>
      </c>
      <c r="E136" s="512">
        <f>'Péréquation directe'!E142/C136</f>
        <v>-6.0621382596706441</v>
      </c>
      <c r="F136" s="208">
        <f>'Péréquation directe'!F142/Effort!C136</f>
        <v>0</v>
      </c>
      <c r="G136" s="208">
        <f>'Péréquation directe'!G142/Effort!C136</f>
        <v>-0.82233110368574536</v>
      </c>
      <c r="H136" s="208">
        <f>'Péréquation directe'!J142/Effort!C136</f>
        <v>19.27808627509641</v>
      </c>
      <c r="I136" s="378">
        <f t="shared" si="6"/>
        <v>25.259608204456427</v>
      </c>
      <c r="J136" s="225">
        <f t="shared" si="7"/>
        <v>0</v>
      </c>
      <c r="K136" s="42">
        <f t="shared" si="8"/>
        <v>0</v>
      </c>
      <c r="L136" s="239"/>
    </row>
    <row r="137" spans="1:12" x14ac:dyDescent="0.25">
      <c r="A137" s="38">
        <f>Données!A137</f>
        <v>5635</v>
      </c>
      <c r="B137" s="170" t="str">
        <f>Données!B137</f>
        <v>Ecublens</v>
      </c>
      <c r="C137" s="351">
        <f>VPI!R137</f>
        <v>655936.21421333333</v>
      </c>
      <c r="D137" s="208">
        <f>(PCS!I143-PCS!F143)/C137</f>
        <v>13.126523536683333</v>
      </c>
      <c r="E137" s="512">
        <f>'Péréquation directe'!E143/C137</f>
        <v>-12.571635729506067</v>
      </c>
      <c r="F137" s="208">
        <f>'Péréquation directe'!F143/Effort!C137</f>
        <v>0</v>
      </c>
      <c r="G137" s="208">
        <f>'Péréquation directe'!G143/Effort!C137</f>
        <v>-3.903365005987125</v>
      </c>
      <c r="H137" s="208">
        <f>'Péréquation directe'!J143/Effort!C137</f>
        <v>19.27808627509641</v>
      </c>
      <c r="I137" s="378">
        <f t="shared" si="6"/>
        <v>15.929609076286551</v>
      </c>
      <c r="J137" s="225">
        <f t="shared" si="7"/>
        <v>0</v>
      </c>
      <c r="K137" s="42">
        <f t="shared" si="8"/>
        <v>0</v>
      </c>
      <c r="L137" s="239"/>
    </row>
    <row r="138" spans="1:12" x14ac:dyDescent="0.25">
      <c r="A138" s="38">
        <f>Données!A138</f>
        <v>5636</v>
      </c>
      <c r="B138" s="170" t="str">
        <f>Données!B138</f>
        <v>Etoy</v>
      </c>
      <c r="C138" s="351">
        <f>VPI!R138</f>
        <v>186941.23816666668</v>
      </c>
      <c r="D138" s="208">
        <f>(PCS!I144-PCS!F144)/C138</f>
        <v>16.331467397911084</v>
      </c>
      <c r="E138" s="512">
        <f>'Péréquation directe'!E144/C138</f>
        <v>-4.3967581499703989</v>
      </c>
      <c r="F138" s="208">
        <f>'Péréquation directe'!F144/Effort!C138</f>
        <v>0</v>
      </c>
      <c r="G138" s="208">
        <f>'Péréquation directe'!G144/Effort!C138</f>
        <v>0</v>
      </c>
      <c r="H138" s="208">
        <f>'Péréquation directe'!J144/Effort!C138</f>
        <v>19.27808627509641</v>
      </c>
      <c r="I138" s="378">
        <f t="shared" si="6"/>
        <v>31.212795523037094</v>
      </c>
      <c r="J138" s="225">
        <f t="shared" si="7"/>
        <v>0</v>
      </c>
      <c r="K138" s="42">
        <f t="shared" si="8"/>
        <v>0</v>
      </c>
      <c r="L138" s="239"/>
    </row>
    <row r="139" spans="1:12" x14ac:dyDescent="0.25">
      <c r="A139" s="38">
        <f>Données!A139</f>
        <v>5637</v>
      </c>
      <c r="B139" s="170" t="str">
        <f>Données!B139</f>
        <v>Lavigny</v>
      </c>
      <c r="C139" s="351">
        <f>VPI!R139</f>
        <v>37899.400821917814</v>
      </c>
      <c r="D139" s="208">
        <f>(PCS!I145-PCS!F145)/C139</f>
        <v>12.696760564677152</v>
      </c>
      <c r="E139" s="512">
        <f>'Péréquation directe'!E145/C139</f>
        <v>-3.6522240355748679</v>
      </c>
      <c r="F139" s="208">
        <f>'Péréquation directe'!F145/Effort!C139</f>
        <v>-6.3360227233771322</v>
      </c>
      <c r="G139" s="208">
        <f>'Péréquation directe'!G145/Effort!C139</f>
        <v>-3.0238102076330931</v>
      </c>
      <c r="H139" s="208">
        <f>'Péréquation directe'!J145/Effort!C139</f>
        <v>19.27808627509641</v>
      </c>
      <c r="I139" s="378">
        <f t="shared" si="6"/>
        <v>18.96278987318847</v>
      </c>
      <c r="J139" s="225">
        <f t="shared" si="7"/>
        <v>0</v>
      </c>
      <c r="K139" s="42">
        <f t="shared" si="8"/>
        <v>0</v>
      </c>
      <c r="L139" s="239"/>
    </row>
    <row r="140" spans="1:12" x14ac:dyDescent="0.25">
      <c r="A140" s="38">
        <f>Données!A140</f>
        <v>5638</v>
      </c>
      <c r="B140" s="170" t="str">
        <f>Données!B140</f>
        <v>Lonay</v>
      </c>
      <c r="C140" s="351">
        <f>VPI!R140</f>
        <v>174116.12454545454</v>
      </c>
      <c r="D140" s="208">
        <f>(PCS!I146-PCS!F146)/C140</f>
        <v>15.867767004301747</v>
      </c>
      <c r="E140" s="512">
        <f>'Péréquation directe'!E146/C140</f>
        <v>-4.374113680293755</v>
      </c>
      <c r="F140" s="208">
        <f>'Péréquation directe'!F146/Effort!C140</f>
        <v>0</v>
      </c>
      <c r="G140" s="208">
        <f>'Péréquation directe'!G146/Effort!C140</f>
        <v>-2.1200937230308319</v>
      </c>
      <c r="H140" s="208">
        <f>'Péréquation directe'!J146/Effort!C140</f>
        <v>19.27808627509641</v>
      </c>
      <c r="I140" s="378">
        <f t="shared" si="6"/>
        <v>28.651645876073569</v>
      </c>
      <c r="J140" s="225">
        <f t="shared" si="7"/>
        <v>0</v>
      </c>
      <c r="K140" s="42">
        <f t="shared" si="8"/>
        <v>0</v>
      </c>
      <c r="L140" s="239"/>
    </row>
    <row r="141" spans="1:12" x14ac:dyDescent="0.25">
      <c r="A141" s="38">
        <f>Données!A141</f>
        <v>5639</v>
      </c>
      <c r="B141" s="170" t="str">
        <f>Données!B141</f>
        <v>Lully</v>
      </c>
      <c r="C141" s="351">
        <f>VPI!R141</f>
        <v>53706.334426229514</v>
      </c>
      <c r="D141" s="208">
        <f>(PCS!I147-PCS!F147)/C141</f>
        <v>16.571697174148561</v>
      </c>
      <c r="E141" s="512">
        <f>'Péréquation directe'!E147/C141</f>
        <v>-1.9891879252800915</v>
      </c>
      <c r="F141" s="208">
        <f>'Péréquation directe'!F147/Effort!C141</f>
        <v>0</v>
      </c>
      <c r="G141" s="208">
        <f>'Péréquation directe'!G147/Effort!C141</f>
        <v>0</v>
      </c>
      <c r="H141" s="208">
        <f>'Péréquation directe'!J147/Effort!C141</f>
        <v>19.27808627509641</v>
      </c>
      <c r="I141" s="378">
        <f t="shared" si="6"/>
        <v>33.860595523964875</v>
      </c>
      <c r="J141" s="225">
        <f t="shared" si="7"/>
        <v>0</v>
      </c>
      <c r="K141" s="42">
        <f t="shared" si="8"/>
        <v>0</v>
      </c>
      <c r="L141" s="239"/>
    </row>
    <row r="142" spans="1:12" x14ac:dyDescent="0.25">
      <c r="A142" s="38">
        <f>Données!A142</f>
        <v>5640</v>
      </c>
      <c r="B142" s="170" t="str">
        <f>Données!B142</f>
        <v>Lussy-sur-Morges</v>
      </c>
      <c r="C142" s="351">
        <f>VPI!R142</f>
        <v>70525.081395348854</v>
      </c>
      <c r="D142" s="208">
        <f>(PCS!I148-PCS!F148)/C142</f>
        <v>23.249957586764719</v>
      </c>
      <c r="E142" s="512">
        <f>'Péréquation directe'!E148/C142</f>
        <v>-1.3538143496494579</v>
      </c>
      <c r="F142" s="208">
        <f>'Péréquation directe'!F148/Effort!C142</f>
        <v>0</v>
      </c>
      <c r="G142" s="208">
        <f>'Péréquation directe'!G148/Effort!C142</f>
        <v>0</v>
      </c>
      <c r="H142" s="208">
        <f>'Péréquation directe'!J148/Effort!C142</f>
        <v>19.27808627509641</v>
      </c>
      <c r="I142" s="378">
        <f t="shared" si="6"/>
        <v>41.174229512211667</v>
      </c>
      <c r="J142" s="225">
        <f t="shared" si="7"/>
        <v>0</v>
      </c>
      <c r="K142" s="42">
        <f t="shared" si="8"/>
        <v>0</v>
      </c>
      <c r="L142" s="239"/>
    </row>
    <row r="143" spans="1:12" x14ac:dyDescent="0.25">
      <c r="A143" s="38">
        <f>Données!A143</f>
        <v>5642</v>
      </c>
      <c r="B143" s="170" t="str">
        <f>Données!B143</f>
        <v>Morges</v>
      </c>
      <c r="C143" s="351">
        <f>VPI!R143</f>
        <v>838094.10597014928</v>
      </c>
      <c r="D143" s="208">
        <f>(PCS!I149-PCS!F149)/C143</f>
        <v>13.15640621324372</v>
      </c>
      <c r="E143" s="512">
        <f>'Péréquation directe'!E149/C143</f>
        <v>-14.476484624107261</v>
      </c>
      <c r="F143" s="208">
        <f>'Péréquation directe'!F149/Effort!C143</f>
        <v>0</v>
      </c>
      <c r="G143" s="208">
        <f>'Péréquation directe'!G149/Effort!C143</f>
        <v>-1.11400093083623</v>
      </c>
      <c r="H143" s="208">
        <f>'Péréquation directe'!J149/Effort!C143</f>
        <v>19.27808627509641</v>
      </c>
      <c r="I143" s="378">
        <f t="shared" si="6"/>
        <v>16.844006933396638</v>
      </c>
      <c r="J143" s="225">
        <f t="shared" si="7"/>
        <v>0</v>
      </c>
      <c r="K143" s="42">
        <f t="shared" si="8"/>
        <v>0</v>
      </c>
      <c r="L143" s="239"/>
    </row>
    <row r="144" spans="1:12" x14ac:dyDescent="0.25">
      <c r="A144" s="38">
        <f>Données!A144</f>
        <v>5643</v>
      </c>
      <c r="B144" s="170" t="str">
        <f>Données!B144</f>
        <v>Préverenges</v>
      </c>
      <c r="C144" s="351">
        <f>VPI!R144</f>
        <v>257720.44144</v>
      </c>
      <c r="D144" s="208">
        <f>(PCS!I150-PCS!F150)/C144</f>
        <v>13.088961247244088</v>
      </c>
      <c r="E144" s="512">
        <f>'Péréquation directe'!E150/C144</f>
        <v>-7.809121426623487</v>
      </c>
      <c r="F144" s="208">
        <f>'Péréquation directe'!F150/Effort!C144</f>
        <v>0</v>
      </c>
      <c r="G144" s="208">
        <f>'Péréquation directe'!G150/Effort!C144</f>
        <v>0</v>
      </c>
      <c r="H144" s="208">
        <f>'Péréquation directe'!J150/Effort!C144</f>
        <v>19.27808627509641</v>
      </c>
      <c r="I144" s="378">
        <f t="shared" si="6"/>
        <v>24.557926095717011</v>
      </c>
      <c r="J144" s="225">
        <f t="shared" si="7"/>
        <v>0</v>
      </c>
      <c r="K144" s="42">
        <f t="shared" si="8"/>
        <v>0</v>
      </c>
      <c r="L144" s="239"/>
    </row>
    <row r="145" spans="1:12" x14ac:dyDescent="0.25">
      <c r="A145" s="38">
        <f>Données!A145</f>
        <v>5645</v>
      </c>
      <c r="B145" s="170" t="str">
        <f>Données!B145</f>
        <v>Romanel-sur-Morges</v>
      </c>
      <c r="C145" s="351">
        <f>VPI!R145</f>
        <v>26576.594107142857</v>
      </c>
      <c r="D145" s="208">
        <f>(PCS!I151-PCS!F151)/C145</f>
        <v>14.483551426213165</v>
      </c>
      <c r="E145" s="512">
        <f>'Péréquation directe'!E151/C145</f>
        <v>-2.2623384797412678</v>
      </c>
      <c r="F145" s="208">
        <f>'Péréquation directe'!F151/Effort!C145</f>
        <v>0</v>
      </c>
      <c r="G145" s="208">
        <f>'Péréquation directe'!G151/Effort!C145</f>
        <v>-1.0956458753478794E-2</v>
      </c>
      <c r="H145" s="208">
        <f>'Péréquation directe'!J151/Effort!C145</f>
        <v>19.27808627509641</v>
      </c>
      <c r="I145" s="378">
        <f t="shared" si="6"/>
        <v>31.488342762814831</v>
      </c>
      <c r="J145" s="225">
        <f t="shared" si="7"/>
        <v>0</v>
      </c>
      <c r="K145" s="42">
        <f t="shared" si="8"/>
        <v>0</v>
      </c>
      <c r="L145" s="239"/>
    </row>
    <row r="146" spans="1:12" x14ac:dyDescent="0.25">
      <c r="A146" s="38">
        <f>Données!A146</f>
        <v>5646</v>
      </c>
      <c r="B146" s="170" t="str">
        <f>Données!B146</f>
        <v>Saint-Prex</v>
      </c>
      <c r="C146" s="351">
        <f>VPI!R146</f>
        <v>527362.62542372884</v>
      </c>
      <c r="D146" s="208">
        <f>(PCS!I152-PCS!F152)/C146</f>
        <v>21.511953126998421</v>
      </c>
      <c r="E146" s="512">
        <f>'Péréquation directe'!E152/C146</f>
        <v>-4.5890246365835932</v>
      </c>
      <c r="F146" s="208">
        <f>'Péréquation directe'!F152/Effort!C146</f>
        <v>0</v>
      </c>
      <c r="G146" s="208">
        <f>'Péréquation directe'!G152/Effort!C146</f>
        <v>0</v>
      </c>
      <c r="H146" s="208">
        <f>'Péréquation directe'!J152/Effort!C146</f>
        <v>19.27808627509641</v>
      </c>
      <c r="I146" s="378">
        <f t="shared" si="6"/>
        <v>36.201014765511232</v>
      </c>
      <c r="J146" s="225">
        <f t="shared" si="7"/>
        <v>0</v>
      </c>
      <c r="K146" s="42">
        <f t="shared" si="8"/>
        <v>0</v>
      </c>
      <c r="L146" s="239"/>
    </row>
    <row r="147" spans="1:12" x14ac:dyDescent="0.25">
      <c r="A147" s="38">
        <f>Données!A147</f>
        <v>5648</v>
      </c>
      <c r="B147" s="170" t="str">
        <f>Données!B147</f>
        <v>Saint-Sulpice</v>
      </c>
      <c r="C147" s="351">
        <f>VPI!R147</f>
        <v>394357.66704545449</v>
      </c>
      <c r="D147" s="208">
        <f>(PCS!I153-PCS!F153)/C147</f>
        <v>19.200517541683848</v>
      </c>
      <c r="E147" s="512">
        <f>'Péréquation directe'!E153/C147</f>
        <v>-4.6877697637688787</v>
      </c>
      <c r="F147" s="208">
        <f>'Péréquation directe'!F153/Effort!C147</f>
        <v>0</v>
      </c>
      <c r="G147" s="208">
        <f>'Péréquation directe'!G153/Effort!C147</f>
        <v>0</v>
      </c>
      <c r="H147" s="208">
        <f>'Péréquation directe'!J153/Effort!C147</f>
        <v>19.27808627509641</v>
      </c>
      <c r="I147" s="378">
        <f t="shared" si="6"/>
        <v>33.79083405301138</v>
      </c>
      <c r="J147" s="225">
        <f t="shared" si="7"/>
        <v>0</v>
      </c>
      <c r="K147" s="42">
        <f t="shared" si="8"/>
        <v>0</v>
      </c>
      <c r="L147" s="239"/>
    </row>
    <row r="148" spans="1:12" x14ac:dyDescent="0.25">
      <c r="A148" s="38">
        <f>Données!A148</f>
        <v>5649</v>
      </c>
      <c r="B148" s="170" t="str">
        <f>Données!B148</f>
        <v>Tolochenaz</v>
      </c>
      <c r="C148" s="351">
        <f>VPI!R148</f>
        <v>155562.29718749996</v>
      </c>
      <c r="D148" s="208">
        <f>(PCS!I154-PCS!F154)/C148</f>
        <v>20.816485405629376</v>
      </c>
      <c r="E148" s="512">
        <f>'Péréquation directe'!E154/C148</f>
        <v>-2.8869928741117357</v>
      </c>
      <c r="F148" s="208">
        <f>'Péréquation directe'!F154/Effort!C148</f>
        <v>0</v>
      </c>
      <c r="G148" s="208">
        <f>'Péréquation directe'!G154/Effort!C148</f>
        <v>-1.2958263057277486</v>
      </c>
      <c r="H148" s="208">
        <f>'Péréquation directe'!J154/Effort!C148</f>
        <v>19.27808627509641</v>
      </c>
      <c r="I148" s="378">
        <f t="shared" si="6"/>
        <v>35.911752500886301</v>
      </c>
      <c r="J148" s="225">
        <f t="shared" si="7"/>
        <v>0</v>
      </c>
      <c r="K148" s="42">
        <f t="shared" si="8"/>
        <v>0</v>
      </c>
      <c r="L148" s="239"/>
    </row>
    <row r="149" spans="1:12" x14ac:dyDescent="0.25">
      <c r="A149" s="38">
        <f>Données!A149</f>
        <v>5650</v>
      </c>
      <c r="B149" s="170" t="str">
        <f>Données!B149</f>
        <v>Vaux-sur-Morges</v>
      </c>
      <c r="C149" s="351">
        <f>VPI!R149</f>
        <v>83125.210178571419</v>
      </c>
      <c r="D149" s="208">
        <f>(PCS!I155-PCS!F155)/C149</f>
        <v>40.157498557726768</v>
      </c>
      <c r="E149" s="512">
        <f>'Péréquation directe'!E155/C149</f>
        <v>-0.30422458289176502</v>
      </c>
      <c r="F149" s="208">
        <f>'Péréquation directe'!F155/Effort!C149</f>
        <v>0</v>
      </c>
      <c r="G149" s="208">
        <f>'Péréquation directe'!G155/Effort!C149</f>
        <v>0</v>
      </c>
      <c r="H149" s="208">
        <f>'Péréquation directe'!J155/Effort!C149</f>
        <v>19.27808627509641</v>
      </c>
      <c r="I149" s="378">
        <f t="shared" si="6"/>
        <v>59.131360249931419</v>
      </c>
      <c r="J149" s="225">
        <f t="shared" si="7"/>
        <v>11.131360249931419</v>
      </c>
      <c r="K149" s="42">
        <f t="shared" si="8"/>
        <v>-925296.66034894448</v>
      </c>
      <c r="L149" s="239"/>
    </row>
    <row r="150" spans="1:12" x14ac:dyDescent="0.25">
      <c r="A150" s="38">
        <f>Données!A150</f>
        <v>5651</v>
      </c>
      <c r="B150" s="170" t="str">
        <f>Données!B150</f>
        <v>Villars-Sainte-Croix</v>
      </c>
      <c r="C150" s="351">
        <f>VPI!R150</f>
        <v>57448.170743801653</v>
      </c>
      <c r="D150" s="208">
        <f>(PCS!I156-PCS!F156)/C150</f>
        <v>15.371864186740455</v>
      </c>
      <c r="E150" s="512">
        <f>'Péréquation directe'!E156/C150</f>
        <v>-2.1515938485829778</v>
      </c>
      <c r="F150" s="208">
        <f>'Péréquation directe'!F156/Effort!C150</f>
        <v>0</v>
      </c>
      <c r="G150" s="208">
        <f>'Péréquation directe'!G156/Effort!C150</f>
        <v>0</v>
      </c>
      <c r="H150" s="208">
        <f>'Péréquation directe'!J156/Effort!C150</f>
        <v>19.27808627509641</v>
      </c>
      <c r="I150" s="378">
        <f t="shared" si="6"/>
        <v>32.49835661325389</v>
      </c>
      <c r="J150" s="225">
        <f t="shared" si="7"/>
        <v>0</v>
      </c>
      <c r="K150" s="42">
        <f t="shared" si="8"/>
        <v>0</v>
      </c>
      <c r="L150" s="239"/>
    </row>
    <row r="151" spans="1:12" x14ac:dyDescent="0.25">
      <c r="A151" s="38">
        <f>Données!A151</f>
        <v>5652</v>
      </c>
      <c r="B151" s="170" t="str">
        <f>Données!B151</f>
        <v>Villars-sous-Yens</v>
      </c>
      <c r="C151" s="351">
        <f>VPI!R151</f>
        <v>25907.601491228066</v>
      </c>
      <c r="D151" s="208">
        <f>(PCS!I157-PCS!F157)/C151</f>
        <v>12.696760564677154</v>
      </c>
      <c r="E151" s="512">
        <f>'Péréquation directe'!E157/C151</f>
        <v>-3.1175836449188861</v>
      </c>
      <c r="F151" s="208">
        <f>'Péréquation directe'!F157/Effort!C151</f>
        <v>-3.650190727524885</v>
      </c>
      <c r="G151" s="208">
        <f>'Péréquation directe'!G157/Effort!C151</f>
        <v>-1.0093713639020478</v>
      </c>
      <c r="H151" s="208">
        <f>'Péréquation directe'!J157/Effort!C151</f>
        <v>19.27808627509641</v>
      </c>
      <c r="I151" s="378">
        <f t="shared" si="6"/>
        <v>24.197701103427747</v>
      </c>
      <c r="J151" s="225">
        <f t="shared" si="7"/>
        <v>0</v>
      </c>
      <c r="K151" s="42">
        <f t="shared" si="8"/>
        <v>0</v>
      </c>
      <c r="L151" s="239"/>
    </row>
    <row r="152" spans="1:12" x14ac:dyDescent="0.25">
      <c r="A152" s="38">
        <f>Données!A152</f>
        <v>5653</v>
      </c>
      <c r="B152" s="170" t="str">
        <f>Données!B152</f>
        <v>Vufflens-le-Château</v>
      </c>
      <c r="C152" s="351">
        <f>VPI!R152</f>
        <v>67686.262735042736</v>
      </c>
      <c r="D152" s="208">
        <f>(PCS!I158-PCS!F158)/C152</f>
        <v>18.689765768884666</v>
      </c>
      <c r="E152" s="512">
        <f>'Péréquation directe'!E158/C152</f>
        <v>-1.7041506038619023</v>
      </c>
      <c r="F152" s="208">
        <f>'Péréquation directe'!F158/Effort!C152</f>
        <v>0</v>
      </c>
      <c r="G152" s="208">
        <f>'Péréquation directe'!G158/Effort!C152</f>
        <v>0</v>
      </c>
      <c r="H152" s="208">
        <f>'Péréquation directe'!J158/Effort!C152</f>
        <v>19.27808627509641</v>
      </c>
      <c r="I152" s="378">
        <f t="shared" si="6"/>
        <v>36.263701440119178</v>
      </c>
      <c r="J152" s="225">
        <f t="shared" si="7"/>
        <v>0</v>
      </c>
      <c r="K152" s="42">
        <f t="shared" si="8"/>
        <v>0</v>
      </c>
      <c r="L152" s="239"/>
    </row>
    <row r="153" spans="1:12" x14ac:dyDescent="0.25">
      <c r="A153" s="38">
        <f>Données!A153</f>
        <v>5654</v>
      </c>
      <c r="B153" s="170" t="str">
        <f>Données!B153</f>
        <v>Vullierens</v>
      </c>
      <c r="C153" s="351">
        <f>VPI!R153</f>
        <v>20663.918947368424</v>
      </c>
      <c r="D153" s="208">
        <f>(PCS!I159-PCS!F159)/C153</f>
        <v>12.696760564677154</v>
      </c>
      <c r="E153" s="512">
        <f>'Péréquation directe'!E159/C153</f>
        <v>-3.4966030069510183</v>
      </c>
      <c r="F153" s="208">
        <f>'Péréquation directe'!F159/Effort!C153</f>
        <v>-6.8992456732354634</v>
      </c>
      <c r="G153" s="208">
        <f>'Péréquation directe'!G159/Effort!C153</f>
        <v>-4.950318793658286</v>
      </c>
      <c r="H153" s="208">
        <f>'Péréquation directe'!J159/Effort!C153</f>
        <v>19.27808627509641</v>
      </c>
      <c r="I153" s="378">
        <f t="shared" si="6"/>
        <v>16.628679365928797</v>
      </c>
      <c r="J153" s="225">
        <f t="shared" si="7"/>
        <v>0</v>
      </c>
      <c r="K153" s="42">
        <f t="shared" si="8"/>
        <v>0</v>
      </c>
      <c r="L153" s="239"/>
    </row>
    <row r="154" spans="1:12" x14ac:dyDescent="0.25">
      <c r="A154" s="38">
        <f>Données!A154</f>
        <v>5655</v>
      </c>
      <c r="B154" s="170" t="str">
        <f>Données!B154</f>
        <v>Yens</v>
      </c>
      <c r="C154" s="351">
        <f>VPI!R154</f>
        <v>73733.325734265731</v>
      </c>
      <c r="D154" s="208">
        <f>(PCS!I160-PCS!F160)/C154</f>
        <v>13.061761650224181</v>
      </c>
      <c r="E154" s="512">
        <f>'Péréquation directe'!E160/C154</f>
        <v>-4.1948016992368613</v>
      </c>
      <c r="F154" s="208">
        <f>'Péréquation directe'!F160/Effort!C154</f>
        <v>0</v>
      </c>
      <c r="G154" s="208">
        <f>'Péréquation directe'!G160/Effort!C154</f>
        <v>0</v>
      </c>
      <c r="H154" s="208">
        <f>'Péréquation directe'!J160/Effort!C154</f>
        <v>19.27808627509641</v>
      </c>
      <c r="I154" s="378">
        <f t="shared" si="6"/>
        <v>28.145046226083728</v>
      </c>
      <c r="J154" s="225">
        <f t="shared" si="7"/>
        <v>0</v>
      </c>
      <c r="K154" s="42">
        <f t="shared" si="8"/>
        <v>0</v>
      </c>
      <c r="L154" s="239"/>
    </row>
    <row r="155" spans="1:12" x14ac:dyDescent="0.25">
      <c r="A155" s="38">
        <f>Données!A155</f>
        <v>5656</v>
      </c>
      <c r="B155" s="170" t="str">
        <f>Données!B155</f>
        <v>Hautemorges</v>
      </c>
      <c r="C155" s="351">
        <f>VPI!R155</f>
        <v>172159.8076957982</v>
      </c>
      <c r="D155" s="208">
        <f>(PCS!I161-PCS!F161)/C155</f>
        <v>12.696760564677152</v>
      </c>
      <c r="E155" s="512">
        <f>'Péréquation directe'!E161/C155</f>
        <v>-8.4627223006519277</v>
      </c>
      <c r="F155" s="208">
        <f>'Péréquation directe'!F161/Effort!C155</f>
        <v>-3.4891398729351715</v>
      </c>
      <c r="G155" s="208">
        <f>'Péréquation directe'!G161/Effort!C155</f>
        <v>-11.463497633202394</v>
      </c>
      <c r="H155" s="208">
        <f>'Péréquation directe'!J161/Effort!C155</f>
        <v>19.27808627509641</v>
      </c>
      <c r="I155" s="378">
        <f t="shared" si="6"/>
        <v>8.5594870329840695</v>
      </c>
      <c r="J155" s="225">
        <f t="shared" si="7"/>
        <v>0</v>
      </c>
      <c r="K155" s="42">
        <f t="shared" si="8"/>
        <v>0</v>
      </c>
      <c r="L155" s="239"/>
    </row>
    <row r="156" spans="1:12" x14ac:dyDescent="0.25">
      <c r="A156" s="38">
        <f>Données!A156</f>
        <v>5661</v>
      </c>
      <c r="B156" s="170" t="str">
        <f>Données!B156</f>
        <v>Boulens</v>
      </c>
      <c r="C156" s="351">
        <f>VPI!R156</f>
        <v>11226.317902097902</v>
      </c>
      <c r="D156" s="208">
        <f>(PCS!I162-PCS!F162)/C156</f>
        <v>12.696760564677156</v>
      </c>
      <c r="E156" s="512">
        <f>'Péréquation directe'!E162/C156</f>
        <v>-4.2639054197399489</v>
      </c>
      <c r="F156" s="208">
        <f>'Péréquation directe'!F162/Effort!C156</f>
        <v>-11.928081524756285</v>
      </c>
      <c r="G156" s="208">
        <f>'Péréquation directe'!G162/Effort!C156</f>
        <v>-1.5460638396491222</v>
      </c>
      <c r="H156" s="208">
        <f>'Péréquation directe'!J162/Effort!C156</f>
        <v>19.27808627509641</v>
      </c>
      <c r="I156" s="378">
        <f t="shared" si="6"/>
        <v>14.23679605562821</v>
      </c>
      <c r="J156" s="225">
        <f t="shared" si="7"/>
        <v>0</v>
      </c>
      <c r="K156" s="42">
        <f t="shared" si="8"/>
        <v>0</v>
      </c>
      <c r="L156" s="239"/>
    </row>
    <row r="157" spans="1:12" x14ac:dyDescent="0.25">
      <c r="A157" s="38">
        <f>Données!A157</f>
        <v>5663</v>
      </c>
      <c r="B157" s="170" t="str">
        <f>Données!B157</f>
        <v>Bussy-sur-Moudon</v>
      </c>
      <c r="C157" s="351">
        <f>VPI!R157</f>
        <v>5263.613630573248</v>
      </c>
      <c r="D157" s="208">
        <f>(PCS!I163-PCS!F163)/C157</f>
        <v>12.696760564677154</v>
      </c>
      <c r="E157" s="512">
        <f>'Péréquation directe'!E163/C157</f>
        <v>-5.7849417389358413</v>
      </c>
      <c r="F157" s="208">
        <f>'Péréquation directe'!F163/Effort!C157</f>
        <v>-28.288626829118414</v>
      </c>
      <c r="G157" s="208">
        <f>'Péréquation directe'!G163/Effort!C157</f>
        <v>-2.0779105352703016</v>
      </c>
      <c r="H157" s="208">
        <f>'Péréquation directe'!J163/Effort!C157</f>
        <v>19.27808627509641</v>
      </c>
      <c r="I157" s="378">
        <f t="shared" si="6"/>
        <v>-4.1766322635509923</v>
      </c>
      <c r="J157" s="225">
        <f t="shared" si="7"/>
        <v>0</v>
      </c>
      <c r="K157" s="42">
        <f t="shared" si="8"/>
        <v>0</v>
      </c>
      <c r="L157" s="239"/>
    </row>
    <row r="158" spans="1:12" x14ac:dyDescent="0.25">
      <c r="A158" s="38">
        <f>Données!A158</f>
        <v>5665</v>
      </c>
      <c r="B158" s="170" t="str">
        <f>Données!B158</f>
        <v>Chavannes-sur-Moudon</v>
      </c>
      <c r="C158" s="351">
        <f>VPI!R158</f>
        <v>4920.7560000000012</v>
      </c>
      <c r="D158" s="208">
        <f>(PCS!I164-PCS!F164)/C158</f>
        <v>12.696760564677154</v>
      </c>
      <c r="E158" s="512">
        <f>'Péréquation directe'!E164/C158</f>
        <v>-5.8209267358442043</v>
      </c>
      <c r="F158" s="208">
        <f>'Péréquation directe'!F164/Effort!C158</f>
        <v>-22.755789942278629</v>
      </c>
      <c r="G158" s="208">
        <f>'Péréquation directe'!G164/Effort!C158</f>
        <v>-0.52171129802005867</v>
      </c>
      <c r="H158" s="208">
        <f>'Péréquation directe'!J164/Effort!C158</f>
        <v>19.27808627509641</v>
      </c>
      <c r="I158" s="378">
        <f t="shared" si="6"/>
        <v>2.876418863630672</v>
      </c>
      <c r="J158" s="225">
        <f t="shared" si="7"/>
        <v>0</v>
      </c>
      <c r="K158" s="42">
        <f t="shared" si="8"/>
        <v>0</v>
      </c>
      <c r="L158" s="239"/>
    </row>
    <row r="159" spans="1:12" x14ac:dyDescent="0.25">
      <c r="A159" s="38">
        <f>Données!A159</f>
        <v>5669</v>
      </c>
      <c r="B159" s="170" t="str">
        <f>Données!B159</f>
        <v>Curtilles</v>
      </c>
      <c r="C159" s="351">
        <f>VPI!R159</f>
        <v>9337.6116438356166</v>
      </c>
      <c r="D159" s="208">
        <f>(PCS!I165-PCS!F165)/C159</f>
        <v>12.696760564677154</v>
      </c>
      <c r="E159" s="512">
        <f>'Péréquation directe'!E165/C159</f>
        <v>-4.090033762166609</v>
      </c>
      <c r="F159" s="208">
        <f>'Péréquation directe'!F165/Effort!C159</f>
        <v>-11.058682677875476</v>
      </c>
      <c r="G159" s="208">
        <f>'Péréquation directe'!G165/Effort!C159</f>
        <v>-6.4342081549261182E-3</v>
      </c>
      <c r="H159" s="208">
        <f>'Péréquation directe'!J165/Effort!C159</f>
        <v>19.27808627509641</v>
      </c>
      <c r="I159" s="378">
        <f t="shared" si="6"/>
        <v>16.819696191576554</v>
      </c>
      <c r="J159" s="225">
        <f t="shared" si="7"/>
        <v>0</v>
      </c>
      <c r="K159" s="42">
        <f t="shared" si="8"/>
        <v>0</v>
      </c>
      <c r="L159" s="239"/>
    </row>
    <row r="160" spans="1:12" x14ac:dyDescent="0.25">
      <c r="A160" s="38">
        <f>Données!A160</f>
        <v>5671</v>
      </c>
      <c r="B160" s="170" t="str">
        <f>Données!B160</f>
        <v>Dompierre</v>
      </c>
      <c r="C160" s="351">
        <f>VPI!R160</f>
        <v>6463.499743589743</v>
      </c>
      <c r="D160" s="208">
        <f>(PCS!I166-PCS!F166)/C160</f>
        <v>12.696760564677158</v>
      </c>
      <c r="E160" s="512">
        <f>'Péréquation directe'!E166/C160</f>
        <v>-4.9106429793403237</v>
      </c>
      <c r="F160" s="208">
        <f>'Péréquation directe'!F166/Effort!C160</f>
        <v>-20.035038628160216</v>
      </c>
      <c r="G160" s="208">
        <f>'Péréquation directe'!G166/Effort!C160</f>
        <v>0</v>
      </c>
      <c r="H160" s="208">
        <f>'Péréquation directe'!J166/Effort!C160</f>
        <v>19.27808627509641</v>
      </c>
      <c r="I160" s="378">
        <f t="shared" si="6"/>
        <v>7.0291652322730283</v>
      </c>
      <c r="J160" s="225">
        <f t="shared" si="7"/>
        <v>0</v>
      </c>
      <c r="K160" s="42">
        <f t="shared" si="8"/>
        <v>0</v>
      </c>
      <c r="L160" s="239"/>
    </row>
    <row r="161" spans="1:12" x14ac:dyDescent="0.25">
      <c r="A161" s="38">
        <f>Données!A161</f>
        <v>5673</v>
      </c>
      <c r="B161" s="170" t="str">
        <f>Données!B161</f>
        <v>Hermenches</v>
      </c>
      <c r="C161" s="351">
        <f>VPI!R161</f>
        <v>10227.21768707483</v>
      </c>
      <c r="D161" s="208">
        <f>(PCS!I167-PCS!F167)/C161</f>
        <v>12.696760564677154</v>
      </c>
      <c r="E161" s="512">
        <f>'Péréquation directe'!E167/C161</f>
        <v>-4.6804477240153446</v>
      </c>
      <c r="F161" s="208">
        <f>'Péréquation directe'!F167/Effort!C161</f>
        <v>-15.944379829078969</v>
      </c>
      <c r="G161" s="208">
        <f>'Péréquation directe'!G167/Effort!C161</f>
        <v>-21.362411292795468</v>
      </c>
      <c r="H161" s="208">
        <f>'Péréquation directe'!J167/Effort!C161</f>
        <v>19.27808627509641</v>
      </c>
      <c r="I161" s="378">
        <f t="shared" si="6"/>
        <v>-10.012392006116219</v>
      </c>
      <c r="J161" s="225">
        <f t="shared" si="7"/>
        <v>0</v>
      </c>
      <c r="K161" s="42">
        <f t="shared" si="8"/>
        <v>0</v>
      </c>
      <c r="L161" s="239"/>
    </row>
    <row r="162" spans="1:12" x14ac:dyDescent="0.25">
      <c r="A162" s="38">
        <f>Données!A162</f>
        <v>5674</v>
      </c>
      <c r="B162" s="170" t="str">
        <f>Données!B162</f>
        <v>Lovatens</v>
      </c>
      <c r="C162" s="351">
        <f>VPI!R162</f>
        <v>4222.7066666666669</v>
      </c>
      <c r="D162" s="208">
        <f>(PCS!I168-PCS!F168)/C162</f>
        <v>12.696760564677156</v>
      </c>
      <c r="E162" s="512">
        <f>'Péréquation directe'!E168/C162</f>
        <v>-4.4610072728010381</v>
      </c>
      <c r="F162" s="208">
        <f>'Péréquation directe'!F168/Effort!C162</f>
        <v>-14.76988656718804</v>
      </c>
      <c r="G162" s="208">
        <f>'Péréquation directe'!G168/Effort!C162</f>
        <v>-6.0873302431615732</v>
      </c>
      <c r="H162" s="208">
        <f>'Péréquation directe'!J168/Effort!C162</f>
        <v>19.27808627509641</v>
      </c>
      <c r="I162" s="378">
        <f t="shared" si="6"/>
        <v>6.6566227566229159</v>
      </c>
      <c r="J162" s="225">
        <f t="shared" si="7"/>
        <v>0</v>
      </c>
      <c r="K162" s="42">
        <f t="shared" si="8"/>
        <v>0</v>
      </c>
      <c r="L162" s="239"/>
    </row>
    <row r="163" spans="1:12" x14ac:dyDescent="0.25">
      <c r="A163" s="38">
        <f>Données!A163</f>
        <v>5675</v>
      </c>
      <c r="B163" s="170" t="str">
        <f>Données!B163</f>
        <v>Lucens</v>
      </c>
      <c r="C163" s="351">
        <f>VPI!R163</f>
        <v>105149.82705723906</v>
      </c>
      <c r="D163" s="208">
        <f>(PCS!I169-PCS!F169)/C163</f>
        <v>12.696760564677154</v>
      </c>
      <c r="E163" s="512">
        <f>'Péréquation directe'!E169/C163</f>
        <v>-14.837494301433958</v>
      </c>
      <c r="F163" s="208">
        <f>'Péréquation directe'!F169/Effort!C163</f>
        <v>-18.082448732699028</v>
      </c>
      <c r="G163" s="208">
        <f>'Péréquation directe'!G169/Effort!C163</f>
        <v>-5.0184275373968577</v>
      </c>
      <c r="H163" s="208">
        <f>'Péréquation directe'!J169/Effort!C163</f>
        <v>19.27808627509641</v>
      </c>
      <c r="I163" s="378">
        <f t="shared" si="6"/>
        <v>-5.963523731756279</v>
      </c>
      <c r="J163" s="225">
        <f t="shared" si="7"/>
        <v>0</v>
      </c>
      <c r="K163" s="42">
        <f t="shared" si="8"/>
        <v>0</v>
      </c>
      <c r="L163" s="239"/>
    </row>
    <row r="164" spans="1:12" x14ac:dyDescent="0.25">
      <c r="A164" s="38">
        <f>Données!A164</f>
        <v>5678</v>
      </c>
      <c r="B164" s="170" t="str">
        <f>Données!B164</f>
        <v>Moudon</v>
      </c>
      <c r="C164" s="351">
        <f>VPI!R164</f>
        <v>124814.5703448276</v>
      </c>
      <c r="D164" s="208">
        <f>(PCS!I170-PCS!F170)/C164</f>
        <v>12.696760564677152</v>
      </c>
      <c r="E164" s="512">
        <f>'Péréquation directe'!E170/C164</f>
        <v>-20.649723111547392</v>
      </c>
      <c r="F164" s="208">
        <f>'Péréquation directe'!F170/Effort!C164</f>
        <v>-28.353427416017585</v>
      </c>
      <c r="G164" s="208">
        <f>'Péréquation directe'!G170/Effort!C164</f>
        <v>-10.698122616951101</v>
      </c>
      <c r="H164" s="208">
        <f>'Péréquation directe'!J170/Effort!C164</f>
        <v>19.27808627509641</v>
      </c>
      <c r="I164" s="378">
        <f t="shared" si="6"/>
        <v>-27.726426304742514</v>
      </c>
      <c r="J164" s="225">
        <f t="shared" si="7"/>
        <v>0</v>
      </c>
      <c r="K164" s="42">
        <f t="shared" si="8"/>
        <v>0</v>
      </c>
      <c r="L164" s="239"/>
    </row>
    <row r="165" spans="1:12" x14ac:dyDescent="0.25">
      <c r="A165" s="38">
        <f>Données!A165</f>
        <v>5680</v>
      </c>
      <c r="B165" s="170" t="str">
        <f>Données!B165</f>
        <v>Ogens</v>
      </c>
      <c r="C165" s="351">
        <f>VPI!R165</f>
        <v>8501.7127777777787</v>
      </c>
      <c r="D165" s="208">
        <f>(PCS!I171-PCS!F171)/C165</f>
        <v>12.696760564677154</v>
      </c>
      <c r="E165" s="512">
        <f>'Péréquation directe'!E171/C165</f>
        <v>-4.8715772439731637</v>
      </c>
      <c r="F165" s="208">
        <f>'Péréquation directe'!F171/Effort!C165</f>
        <v>-19.682299461754749</v>
      </c>
      <c r="G165" s="208">
        <f>'Péréquation directe'!G171/Effort!C165</f>
        <v>-2.163850888739216</v>
      </c>
      <c r="H165" s="208">
        <f>'Péréquation directe'!J171/Effort!C165</f>
        <v>19.27808627509641</v>
      </c>
      <c r="I165" s="378">
        <f t="shared" si="6"/>
        <v>5.2571192453064359</v>
      </c>
      <c r="J165" s="225">
        <f t="shared" si="7"/>
        <v>0</v>
      </c>
      <c r="K165" s="42">
        <f t="shared" si="8"/>
        <v>0</v>
      </c>
      <c r="L165" s="239"/>
    </row>
    <row r="166" spans="1:12" x14ac:dyDescent="0.25">
      <c r="A166" s="38">
        <f>Données!A166</f>
        <v>5683</v>
      </c>
      <c r="B166" s="170" t="str">
        <f>Données!B166</f>
        <v>Prévonloup</v>
      </c>
      <c r="C166" s="351">
        <f>VPI!R166</f>
        <v>5386.3598620689654</v>
      </c>
      <c r="D166" s="208">
        <f>(PCS!I172-PCS!F172)/C166</f>
        <v>12.696760564677152</v>
      </c>
      <c r="E166" s="512">
        <f>'Péréquation directe'!E172/C166</f>
        <v>-5.1500812900061126</v>
      </c>
      <c r="F166" s="208">
        <f>'Péréquation directe'!F172/Effort!C166</f>
        <v>-19.177033194581877</v>
      </c>
      <c r="G166" s="208">
        <f>'Péréquation directe'!G172/Effort!C166</f>
        <v>0</v>
      </c>
      <c r="H166" s="208">
        <f>'Péréquation directe'!J172/Effort!C166</f>
        <v>19.27808627509641</v>
      </c>
      <c r="I166" s="378">
        <f t="shared" si="6"/>
        <v>7.6477323551855712</v>
      </c>
      <c r="J166" s="225">
        <f t="shared" si="7"/>
        <v>0</v>
      </c>
      <c r="K166" s="42">
        <f t="shared" si="8"/>
        <v>0</v>
      </c>
      <c r="L166" s="239"/>
    </row>
    <row r="167" spans="1:12" x14ac:dyDescent="0.25">
      <c r="A167" s="38">
        <f>Données!A167</f>
        <v>5684</v>
      </c>
      <c r="B167" s="170" t="str">
        <f>Données!B167</f>
        <v>Rossenges</v>
      </c>
      <c r="C167" s="351">
        <f>VPI!R167</f>
        <v>3253.4312666666665</v>
      </c>
      <c r="D167" s="208">
        <f>(PCS!I173-PCS!F173)/C167</f>
        <v>12.696760564677154</v>
      </c>
      <c r="E167" s="512">
        <f>'Péréquation directe'!E173/C167</f>
        <v>-3.688181642494313</v>
      </c>
      <c r="F167" s="208">
        <f>'Péréquation directe'!F173/Effort!C167</f>
        <v>-8.3182110218345606</v>
      </c>
      <c r="G167" s="208">
        <f>'Péréquation directe'!G173/Effort!C167</f>
        <v>0</v>
      </c>
      <c r="H167" s="208">
        <f>'Péréquation directe'!J173/Effort!C167</f>
        <v>19.27808627509641</v>
      </c>
      <c r="I167" s="378">
        <f t="shared" si="6"/>
        <v>19.968454175444691</v>
      </c>
      <c r="J167" s="225">
        <f t="shared" si="7"/>
        <v>0</v>
      </c>
      <c r="K167" s="42">
        <f t="shared" si="8"/>
        <v>0</v>
      </c>
      <c r="L167" s="239"/>
    </row>
    <row r="168" spans="1:12" x14ac:dyDescent="0.25">
      <c r="A168" s="38">
        <f>Données!A168</f>
        <v>5688</v>
      </c>
      <c r="B168" s="170" t="str">
        <f>Données!B168</f>
        <v>Syens</v>
      </c>
      <c r="C168" s="351">
        <f>VPI!R168</f>
        <v>6192.4015384615377</v>
      </c>
      <c r="D168" s="208">
        <f>(PCS!I174-PCS!F174)/C168</f>
        <v>12.696760564677154</v>
      </c>
      <c r="E168" s="512">
        <f>'Péréquation directe'!E174/C168</f>
        <v>-3.3545769270486532</v>
      </c>
      <c r="F168" s="208">
        <f>'Péréquation directe'!F174/Effort!C168</f>
        <v>-4.1560659937094266</v>
      </c>
      <c r="G168" s="208">
        <f>'Péréquation directe'!G174/Effort!C168</f>
        <v>-3.9174283942529082</v>
      </c>
      <c r="H168" s="208">
        <f>'Péréquation directe'!J174/Effort!C168</f>
        <v>19.27808627509641</v>
      </c>
      <c r="I168" s="378">
        <f t="shared" si="6"/>
        <v>20.546775524762577</v>
      </c>
      <c r="J168" s="225">
        <f t="shared" si="7"/>
        <v>0</v>
      </c>
      <c r="K168" s="42">
        <f t="shared" si="8"/>
        <v>0</v>
      </c>
      <c r="L168" s="239"/>
    </row>
    <row r="169" spans="1:12" x14ac:dyDescent="0.25">
      <c r="A169" s="38">
        <f>Données!A169</f>
        <v>5690</v>
      </c>
      <c r="B169" s="170" t="str">
        <f>Données!B169</f>
        <v>Villars-le-Comte</v>
      </c>
      <c r="C169" s="351">
        <f>VPI!R169</f>
        <v>3509.9673809523806</v>
      </c>
      <c r="D169" s="208">
        <f>(PCS!I175-PCS!F175)/C169</f>
        <v>12.696760564677154</v>
      </c>
      <c r="E169" s="512">
        <f>'Péréquation directe'!E175/C169</f>
        <v>-4.8889945133762032</v>
      </c>
      <c r="F169" s="208">
        <f>'Péréquation directe'!F175/Effort!C169</f>
        <v>-15.978612084858993</v>
      </c>
      <c r="G169" s="208">
        <f>'Péréquation directe'!G175/Effort!C169</f>
        <v>-5.9772480588104786</v>
      </c>
      <c r="H169" s="208">
        <f>'Péréquation directe'!J175/Effort!C169</f>
        <v>19.27808627509641</v>
      </c>
      <c r="I169" s="378">
        <f t="shared" si="6"/>
        <v>5.1299921827278894</v>
      </c>
      <c r="J169" s="225">
        <f t="shared" si="7"/>
        <v>0</v>
      </c>
      <c r="K169" s="42">
        <f t="shared" si="8"/>
        <v>0</v>
      </c>
      <c r="L169" s="239"/>
    </row>
    <row r="170" spans="1:12" x14ac:dyDescent="0.25">
      <c r="A170" s="38">
        <f>Données!A170</f>
        <v>5692</v>
      </c>
      <c r="B170" s="170" t="str">
        <f>Données!B170</f>
        <v>Vucherens</v>
      </c>
      <c r="C170" s="351">
        <f>VPI!R170</f>
        <v>18792.58012987013</v>
      </c>
      <c r="D170" s="208">
        <f>(PCS!I176-PCS!F176)/C170</f>
        <v>12.696760564677154</v>
      </c>
      <c r="E170" s="512">
        <f>'Péréquation directe'!E176/C170</f>
        <v>-4.2773286955821863</v>
      </c>
      <c r="F170" s="208">
        <f>'Péréquation directe'!F176/Effort!C170</f>
        <v>-13.951867275033093</v>
      </c>
      <c r="G170" s="208">
        <f>'Péréquation directe'!G176/Effort!C170</f>
        <v>-4.2640110440935493</v>
      </c>
      <c r="H170" s="208">
        <f>'Péréquation directe'!J176/Effort!C170</f>
        <v>19.27808627509641</v>
      </c>
      <c r="I170" s="378">
        <f t="shared" si="6"/>
        <v>9.481639825064736</v>
      </c>
      <c r="J170" s="225">
        <f t="shared" si="7"/>
        <v>0</v>
      </c>
      <c r="K170" s="42">
        <f t="shared" si="8"/>
        <v>0</v>
      </c>
      <c r="L170" s="239"/>
    </row>
    <row r="171" spans="1:12" x14ac:dyDescent="0.25">
      <c r="A171" s="38">
        <f>Données!A171</f>
        <v>5693</v>
      </c>
      <c r="B171" s="170" t="str">
        <f>Données!B171</f>
        <v>Montanaire</v>
      </c>
      <c r="C171" s="351">
        <f>VPI!R171</f>
        <v>75687.075428571436</v>
      </c>
      <c r="D171" s="208">
        <f>(PCS!I177-PCS!F177)/C171</f>
        <v>12.696760564677154</v>
      </c>
      <c r="E171" s="512">
        <f>'Péréquation directe'!E177/C171</f>
        <v>-10.143677335694212</v>
      </c>
      <c r="F171" s="208">
        <f>'Péréquation directe'!F177/Effort!C171</f>
        <v>-14.739645538014852</v>
      </c>
      <c r="G171" s="208">
        <f>'Péréquation directe'!G177/Effort!C171</f>
        <v>-6.5224014544336386</v>
      </c>
      <c r="H171" s="208">
        <f>'Péréquation directe'!J177/Effort!C171</f>
        <v>19.27808627509641</v>
      </c>
      <c r="I171" s="378">
        <f t="shared" si="6"/>
        <v>0.56912251163086225</v>
      </c>
      <c r="J171" s="225">
        <f t="shared" si="7"/>
        <v>0</v>
      </c>
      <c r="K171" s="42">
        <f t="shared" si="8"/>
        <v>0</v>
      </c>
      <c r="L171" s="239"/>
    </row>
    <row r="172" spans="1:12" x14ac:dyDescent="0.25">
      <c r="A172" s="38">
        <f>Données!A172</f>
        <v>5701</v>
      </c>
      <c r="B172" s="170" t="str">
        <f>Données!B172</f>
        <v>Arnex-sur-Nyon</v>
      </c>
      <c r="C172" s="351">
        <f>VPI!R172</f>
        <v>14488.632285714286</v>
      </c>
      <c r="D172" s="208">
        <f>(PCS!I178-PCS!F178)/C172</f>
        <v>16.948791148139396</v>
      </c>
      <c r="E172" s="512">
        <f>'Péréquation directe'!E178/C172</f>
        <v>-2.0125748355967126</v>
      </c>
      <c r="F172" s="208">
        <f>'Péréquation directe'!F178/Effort!C172</f>
        <v>0</v>
      </c>
      <c r="G172" s="208">
        <f>'Péréquation directe'!G178/Effort!C172</f>
        <v>0</v>
      </c>
      <c r="H172" s="208">
        <f>'Péréquation directe'!J178/Effort!C172</f>
        <v>19.27808627509641</v>
      </c>
      <c r="I172" s="378">
        <f t="shared" si="6"/>
        <v>34.214302587639096</v>
      </c>
      <c r="J172" s="225">
        <f t="shared" si="7"/>
        <v>0</v>
      </c>
      <c r="K172" s="42">
        <f t="shared" si="8"/>
        <v>0</v>
      </c>
      <c r="L172" s="239"/>
    </row>
    <row r="173" spans="1:12" x14ac:dyDescent="0.25">
      <c r="A173" s="38">
        <f>Données!A173</f>
        <v>5702</v>
      </c>
      <c r="B173" s="170" t="str">
        <f>Données!B173</f>
        <v>Arzier-Le Muids</v>
      </c>
      <c r="C173" s="351">
        <f>VPI!R173</f>
        <v>174855.39411458338</v>
      </c>
      <c r="D173" s="208">
        <f>(PCS!I179-PCS!F179)/C173</f>
        <v>15.351860593286796</v>
      </c>
      <c r="E173" s="512">
        <f>'Péréquation directe'!E179/C173</f>
        <v>-4.7605747437951305</v>
      </c>
      <c r="F173" s="208">
        <f>'Péréquation directe'!F179/Effort!C173</f>
        <v>0</v>
      </c>
      <c r="G173" s="208">
        <f>'Péréquation directe'!G179/Effort!C173</f>
        <v>-2.6781856332506786</v>
      </c>
      <c r="H173" s="208">
        <f>'Péréquation directe'!J179/Effort!C173</f>
        <v>19.27808627509641</v>
      </c>
      <c r="I173" s="378">
        <f t="shared" si="6"/>
        <v>27.191186491337398</v>
      </c>
      <c r="J173" s="225">
        <f t="shared" si="7"/>
        <v>0</v>
      </c>
      <c r="K173" s="42">
        <f t="shared" si="8"/>
        <v>0</v>
      </c>
      <c r="L173" s="239"/>
    </row>
    <row r="174" spans="1:12" x14ac:dyDescent="0.25">
      <c r="A174" s="38">
        <f>Données!A174</f>
        <v>5703</v>
      </c>
      <c r="B174" s="170" t="str">
        <f>Données!B174</f>
        <v>Bassins</v>
      </c>
      <c r="C174" s="351">
        <f>VPI!R174</f>
        <v>66798.778167487675</v>
      </c>
      <c r="D174" s="208">
        <f>(PCS!I180-PCS!F180)/C174</f>
        <v>12.696760564677156</v>
      </c>
      <c r="E174" s="512">
        <f>'Péréquation directe'!E180/C174</f>
        <v>-4.5653749541381305</v>
      </c>
      <c r="F174" s="208">
        <f>'Péréquation directe'!F180/Effort!C174</f>
        <v>-1.407454236491213</v>
      </c>
      <c r="G174" s="208">
        <f>'Péréquation directe'!G180/Effort!C174</f>
        <v>0</v>
      </c>
      <c r="H174" s="208">
        <f>'Péréquation directe'!J180/Effort!C174</f>
        <v>19.27808627509641</v>
      </c>
      <c r="I174" s="378">
        <f t="shared" si="6"/>
        <v>26.002017649144221</v>
      </c>
      <c r="J174" s="225">
        <f t="shared" si="7"/>
        <v>0</v>
      </c>
      <c r="K174" s="42">
        <f t="shared" si="8"/>
        <v>0</v>
      </c>
      <c r="L174" s="239"/>
    </row>
    <row r="175" spans="1:12" x14ac:dyDescent="0.25">
      <c r="A175" s="38">
        <f>Données!A175</f>
        <v>5704</v>
      </c>
      <c r="B175" s="170" t="str">
        <f>Données!B175</f>
        <v>Begnins</v>
      </c>
      <c r="C175" s="351">
        <f>VPI!R175</f>
        <v>146339.67776000002</v>
      </c>
      <c r="D175" s="208">
        <f>(PCS!I181-PCS!F181)/C175</f>
        <v>19.02116723668977</v>
      </c>
      <c r="E175" s="512">
        <f>'Péréquation directe'!E181/C175</f>
        <v>-3.2047150092796786</v>
      </c>
      <c r="F175" s="208">
        <f>'Péréquation directe'!F181/Effort!C175</f>
        <v>0</v>
      </c>
      <c r="G175" s="208">
        <f>'Péréquation directe'!G181/Effort!C175</f>
        <v>0</v>
      </c>
      <c r="H175" s="208">
        <f>'Péréquation directe'!J181/Effort!C175</f>
        <v>19.27808627509641</v>
      </c>
      <c r="I175" s="378">
        <f t="shared" si="6"/>
        <v>35.094538502506502</v>
      </c>
      <c r="J175" s="225">
        <f t="shared" si="7"/>
        <v>0</v>
      </c>
      <c r="K175" s="42">
        <f t="shared" si="8"/>
        <v>0</v>
      </c>
      <c r="L175" s="239"/>
    </row>
    <row r="176" spans="1:12" x14ac:dyDescent="0.25">
      <c r="A176" s="38">
        <f>Données!A176</f>
        <v>5705</v>
      </c>
      <c r="B176" s="170" t="str">
        <f>Données!B176</f>
        <v>Bogis-Bossey</v>
      </c>
      <c r="C176" s="351">
        <f>VPI!R176</f>
        <v>51950.537852349</v>
      </c>
      <c r="D176" s="208">
        <f>(PCS!I182-PCS!F182)/C176</f>
        <v>15.514061427427757</v>
      </c>
      <c r="E176" s="512">
        <f>'Péréquation directe'!E182/C176</f>
        <v>-2.2054331943491627</v>
      </c>
      <c r="F176" s="208">
        <f>'Péréquation directe'!F182/Effort!C176</f>
        <v>0</v>
      </c>
      <c r="G176" s="208">
        <f>'Péréquation directe'!G182/Effort!C176</f>
        <v>0</v>
      </c>
      <c r="H176" s="208">
        <f>'Péréquation directe'!J182/Effort!C176</f>
        <v>19.27808627509641</v>
      </c>
      <c r="I176" s="378">
        <f t="shared" si="6"/>
        <v>32.586714508175007</v>
      </c>
      <c r="J176" s="225">
        <f t="shared" si="7"/>
        <v>0</v>
      </c>
      <c r="K176" s="42">
        <f t="shared" si="8"/>
        <v>0</v>
      </c>
      <c r="L176" s="239"/>
    </row>
    <row r="177" spans="1:12" x14ac:dyDescent="0.25">
      <c r="A177" s="38">
        <f>Données!A177</f>
        <v>5706</v>
      </c>
      <c r="B177" s="170" t="str">
        <f>Données!B177</f>
        <v>Borex</v>
      </c>
      <c r="C177" s="351">
        <f>VPI!R177</f>
        <v>71207.729649122819</v>
      </c>
      <c r="D177" s="208">
        <f>(PCS!I183-PCS!F183)/C177</f>
        <v>15.492786558097452</v>
      </c>
      <c r="E177" s="512">
        <f>'Péréquation directe'!E183/C177</f>
        <v>-2.6490565101329056</v>
      </c>
      <c r="F177" s="208">
        <f>'Péréquation directe'!F183/Effort!C177</f>
        <v>0</v>
      </c>
      <c r="G177" s="208">
        <f>'Péréquation directe'!G183/Effort!C177</f>
        <v>0</v>
      </c>
      <c r="H177" s="208">
        <f>'Péréquation directe'!J183/Effort!C177</f>
        <v>19.27808627509641</v>
      </c>
      <c r="I177" s="378">
        <f t="shared" si="6"/>
        <v>32.121816323060955</v>
      </c>
      <c r="J177" s="225">
        <f t="shared" si="7"/>
        <v>0</v>
      </c>
      <c r="K177" s="42">
        <f t="shared" si="8"/>
        <v>0</v>
      </c>
      <c r="L177" s="239"/>
    </row>
    <row r="178" spans="1:12" x14ac:dyDescent="0.25">
      <c r="A178" s="38">
        <f>Données!A178</f>
        <v>5707</v>
      </c>
      <c r="B178" s="170" t="str">
        <f>Données!B178</f>
        <v>Chavannes-de-Bogis</v>
      </c>
      <c r="C178" s="351">
        <f>VPI!R178</f>
        <v>88004.58971264369</v>
      </c>
      <c r="D178" s="208">
        <f>(PCS!I184-PCS!F184)/C178</f>
        <v>16.651866571460516</v>
      </c>
      <c r="E178" s="512">
        <f>'Péréquation directe'!E184/C178</f>
        <v>-2.8207898649257039</v>
      </c>
      <c r="F178" s="208">
        <f>'Péréquation directe'!F184/Effort!C178</f>
        <v>0</v>
      </c>
      <c r="G178" s="208">
        <f>'Péréquation directe'!G184/Effort!C178</f>
        <v>0</v>
      </c>
      <c r="H178" s="208">
        <f>'Péréquation directe'!J184/Effort!C178</f>
        <v>19.27808627509641</v>
      </c>
      <c r="I178" s="378">
        <f t="shared" si="6"/>
        <v>33.109162981631222</v>
      </c>
      <c r="J178" s="225">
        <f t="shared" si="7"/>
        <v>0</v>
      </c>
      <c r="K178" s="42">
        <f t="shared" si="8"/>
        <v>0</v>
      </c>
      <c r="L178" s="239"/>
    </row>
    <row r="179" spans="1:12" x14ac:dyDescent="0.25">
      <c r="A179" s="38">
        <f>Données!A179</f>
        <v>5708</v>
      </c>
      <c r="B179" s="170" t="str">
        <f>Données!B179</f>
        <v>Chavannes-des-Bois</v>
      </c>
      <c r="C179" s="351">
        <f>VPI!R179</f>
        <v>66993.89235294117</v>
      </c>
      <c r="D179" s="208">
        <f>(PCS!I185-PCS!F185)/C179</f>
        <v>17.450057754403456</v>
      </c>
      <c r="E179" s="512">
        <f>'Péréquation directe'!E185/C179</f>
        <v>-1.9528717962547306</v>
      </c>
      <c r="F179" s="208">
        <f>'Péréquation directe'!F185/Effort!C179</f>
        <v>0</v>
      </c>
      <c r="G179" s="208">
        <f>'Péréquation directe'!G185/Effort!C179</f>
        <v>0</v>
      </c>
      <c r="H179" s="208">
        <f>'Péréquation directe'!J185/Effort!C179</f>
        <v>19.27808627509641</v>
      </c>
      <c r="I179" s="378">
        <f t="shared" si="6"/>
        <v>34.775272233245133</v>
      </c>
      <c r="J179" s="225">
        <f t="shared" si="7"/>
        <v>0</v>
      </c>
      <c r="K179" s="42">
        <f t="shared" si="8"/>
        <v>0</v>
      </c>
      <c r="L179" s="239"/>
    </row>
    <row r="180" spans="1:12" x14ac:dyDescent="0.25">
      <c r="A180" s="38">
        <f>Données!A180</f>
        <v>5709</v>
      </c>
      <c r="B180" s="170" t="str">
        <f>Données!B180</f>
        <v>Chéserex</v>
      </c>
      <c r="C180" s="351">
        <f>VPI!R180</f>
        <v>88341.005087719284</v>
      </c>
      <c r="D180" s="208">
        <f>(PCS!I186-PCS!F186)/C180</f>
        <v>17.297079252175035</v>
      </c>
      <c r="E180" s="512">
        <f>'Péréquation directe'!E186/C180</f>
        <v>-2.5360536132506595</v>
      </c>
      <c r="F180" s="208">
        <f>'Péréquation directe'!F186/Effort!C180</f>
        <v>0</v>
      </c>
      <c r="G180" s="208">
        <f>'Péréquation directe'!G186/Effort!C180</f>
        <v>0</v>
      </c>
      <c r="H180" s="208">
        <f>'Péréquation directe'!J186/Effort!C180</f>
        <v>19.27808627509641</v>
      </c>
      <c r="I180" s="378">
        <f t="shared" si="6"/>
        <v>34.039111914020786</v>
      </c>
      <c r="J180" s="225">
        <f t="shared" si="7"/>
        <v>0</v>
      </c>
      <c r="K180" s="42">
        <f t="shared" si="8"/>
        <v>0</v>
      </c>
      <c r="L180" s="239"/>
    </row>
    <row r="181" spans="1:12" x14ac:dyDescent="0.25">
      <c r="A181" s="38">
        <f>Données!A181</f>
        <v>5710</v>
      </c>
      <c r="B181" s="170" t="str">
        <f>Données!B181</f>
        <v>Coinsins</v>
      </c>
      <c r="C181" s="351">
        <f>VPI!R181</f>
        <v>43388.780196078442</v>
      </c>
      <c r="D181" s="208">
        <f>(PCS!I187-PCS!F187)/C181</f>
        <v>19.644743872434987</v>
      </c>
      <c r="E181" s="512">
        <f>'Péréquation directe'!E187/C181</f>
        <v>-1.5106270629725003</v>
      </c>
      <c r="F181" s="208">
        <f>'Péréquation directe'!F187/Effort!C181</f>
        <v>0</v>
      </c>
      <c r="G181" s="208">
        <f>'Péréquation directe'!G187/Effort!C181</f>
        <v>0</v>
      </c>
      <c r="H181" s="208">
        <f>'Péréquation directe'!J187/Effort!C181</f>
        <v>19.27808627509641</v>
      </c>
      <c r="I181" s="378">
        <f t="shared" si="6"/>
        <v>37.412203084558897</v>
      </c>
      <c r="J181" s="225">
        <f t="shared" si="7"/>
        <v>0</v>
      </c>
      <c r="K181" s="42">
        <f t="shared" si="8"/>
        <v>0</v>
      </c>
      <c r="L181" s="239"/>
    </row>
    <row r="182" spans="1:12" x14ac:dyDescent="0.25">
      <c r="A182" s="38">
        <f>Données!A182</f>
        <v>5711</v>
      </c>
      <c r="B182" s="170" t="str">
        <f>Données!B182</f>
        <v>Commugny</v>
      </c>
      <c r="C182" s="351">
        <f>VPI!R182</f>
        <v>286267.46263340261</v>
      </c>
      <c r="D182" s="208">
        <f>(PCS!I188-PCS!F188)/C182</f>
        <v>21.789318706890317</v>
      </c>
      <c r="E182" s="512">
        <f>'Péréquation directe'!E188/C182</f>
        <v>-2.9765012232894774</v>
      </c>
      <c r="F182" s="208">
        <f>'Péréquation directe'!F188/Effort!C182</f>
        <v>0</v>
      </c>
      <c r="G182" s="208">
        <f>'Péréquation directe'!G188/Effort!C182</f>
        <v>0</v>
      </c>
      <c r="H182" s="208">
        <f>'Péréquation directe'!J188/Effort!C182</f>
        <v>19.27808627509641</v>
      </c>
      <c r="I182" s="378">
        <f t="shared" si="6"/>
        <v>38.090903758697252</v>
      </c>
      <c r="J182" s="225">
        <f t="shared" si="7"/>
        <v>0</v>
      </c>
      <c r="K182" s="42">
        <f t="shared" si="8"/>
        <v>0</v>
      </c>
      <c r="L182" s="239"/>
    </row>
    <row r="183" spans="1:12" x14ac:dyDescent="0.25">
      <c r="A183" s="38">
        <f>Données!A183</f>
        <v>5712</v>
      </c>
      <c r="B183" s="170" t="str">
        <f>Données!B183</f>
        <v>Coppet</v>
      </c>
      <c r="C183" s="351">
        <f>VPI!R183</f>
        <v>333743.32396226411</v>
      </c>
      <c r="D183" s="208">
        <f>(PCS!I189-PCS!F189)/C183</f>
        <v>22.820622811417635</v>
      </c>
      <c r="E183" s="512">
        <f>'Péréquation directe'!E189/C183</f>
        <v>-2.8778275562301161</v>
      </c>
      <c r="F183" s="208">
        <f>'Péréquation directe'!F189/Effort!C183</f>
        <v>0</v>
      </c>
      <c r="G183" s="208">
        <f>'Péréquation directe'!G189/Effort!C183</f>
        <v>0</v>
      </c>
      <c r="H183" s="208">
        <f>'Péréquation directe'!J189/Effort!C183</f>
        <v>19.27808627509641</v>
      </c>
      <c r="I183" s="378">
        <f t="shared" si="6"/>
        <v>39.220881530283933</v>
      </c>
      <c r="J183" s="225">
        <f t="shared" si="7"/>
        <v>0</v>
      </c>
      <c r="K183" s="42">
        <f t="shared" si="8"/>
        <v>0</v>
      </c>
      <c r="L183" s="239"/>
    </row>
    <row r="184" spans="1:12" x14ac:dyDescent="0.25">
      <c r="A184" s="38">
        <f>Données!A184</f>
        <v>5713</v>
      </c>
      <c r="B184" s="170" t="str">
        <f>Données!B184</f>
        <v>Crans</v>
      </c>
      <c r="C184" s="351">
        <f>VPI!R184</f>
        <v>302501.76750000002</v>
      </c>
      <c r="D184" s="208">
        <f>(PCS!I190-PCS!F190)/C184</f>
        <v>26.588751064992724</v>
      </c>
      <c r="E184" s="512">
        <f>'Péréquation directe'!E190/C184</f>
        <v>-2.066250959688777</v>
      </c>
      <c r="F184" s="208">
        <f>'Péréquation directe'!F190/Effort!C184</f>
        <v>0</v>
      </c>
      <c r="G184" s="208">
        <f>'Péréquation directe'!G190/Effort!C184</f>
        <v>0</v>
      </c>
      <c r="H184" s="208">
        <f>'Péréquation directe'!J190/Effort!C184</f>
        <v>19.27808627509641</v>
      </c>
      <c r="I184" s="378">
        <f t="shared" si="6"/>
        <v>43.800586380400361</v>
      </c>
      <c r="J184" s="225">
        <f t="shared" si="7"/>
        <v>0</v>
      </c>
      <c r="K184" s="42">
        <f t="shared" si="8"/>
        <v>0</v>
      </c>
      <c r="L184" s="239"/>
    </row>
    <row r="185" spans="1:12" x14ac:dyDescent="0.25">
      <c r="A185" s="38">
        <f>Données!A185</f>
        <v>5714</v>
      </c>
      <c r="B185" s="170" t="str">
        <f>Données!B185</f>
        <v>Crassier</v>
      </c>
      <c r="C185" s="351">
        <f>VPI!R185</f>
        <v>62133.653235294114</v>
      </c>
      <c r="D185" s="208">
        <f>(PCS!I191-PCS!F191)/C185</f>
        <v>13.412975295921679</v>
      </c>
      <c r="E185" s="512">
        <f>'Péréquation directe'!E191/C185</f>
        <v>-3.4022328954841412</v>
      </c>
      <c r="F185" s="208">
        <f>'Péréquation directe'!F191/Effort!C185</f>
        <v>0</v>
      </c>
      <c r="G185" s="208">
        <f>'Péréquation directe'!G191/Effort!C185</f>
        <v>0</v>
      </c>
      <c r="H185" s="208">
        <f>'Péréquation directe'!J191/Effort!C185</f>
        <v>19.27808627509641</v>
      </c>
      <c r="I185" s="378">
        <f t="shared" si="6"/>
        <v>29.288828675533949</v>
      </c>
      <c r="J185" s="225">
        <f t="shared" si="7"/>
        <v>0</v>
      </c>
      <c r="K185" s="42">
        <f t="shared" si="8"/>
        <v>0</v>
      </c>
      <c r="L185" s="239"/>
    </row>
    <row r="186" spans="1:12" x14ac:dyDescent="0.25">
      <c r="A186" s="38">
        <f>Données!A186</f>
        <v>5715</v>
      </c>
      <c r="B186" s="170" t="str">
        <f>Données!B186</f>
        <v>Duillier</v>
      </c>
      <c r="C186" s="351">
        <f>VPI!R186</f>
        <v>70392.808484848487</v>
      </c>
      <c r="D186" s="208">
        <f>(PCS!I192-PCS!F192)/C186</f>
        <v>16.015769238596871</v>
      </c>
      <c r="E186" s="512">
        <f>'Péréquation directe'!E192/C186</f>
        <v>-2.5822128595831617</v>
      </c>
      <c r="F186" s="208">
        <f>'Péréquation directe'!F192/Effort!C186</f>
        <v>0</v>
      </c>
      <c r="G186" s="208">
        <f>'Péréquation directe'!G192/Effort!C186</f>
        <v>0</v>
      </c>
      <c r="H186" s="208">
        <f>'Péréquation directe'!J192/Effort!C186</f>
        <v>19.27808627509641</v>
      </c>
      <c r="I186" s="378">
        <f t="shared" si="6"/>
        <v>32.711642654110122</v>
      </c>
      <c r="J186" s="225">
        <f t="shared" si="7"/>
        <v>0</v>
      </c>
      <c r="K186" s="42">
        <f t="shared" si="8"/>
        <v>0</v>
      </c>
      <c r="L186" s="239"/>
    </row>
    <row r="187" spans="1:12" x14ac:dyDescent="0.25">
      <c r="A187" s="38">
        <f>Données!A187</f>
        <v>5716</v>
      </c>
      <c r="B187" s="170" t="str">
        <f>Données!B187</f>
        <v>Eysins</v>
      </c>
      <c r="C187" s="351">
        <f>VPI!R187</f>
        <v>203469.72924369748</v>
      </c>
      <c r="D187" s="208">
        <f>(PCS!I193-PCS!F193)/C187</f>
        <v>26.143488569228346</v>
      </c>
      <c r="E187" s="512">
        <f>'Péréquation directe'!E193/C187</f>
        <v>-1.940913294983051</v>
      </c>
      <c r="F187" s="208">
        <f>'Péréquation directe'!F193/Effort!C187</f>
        <v>0</v>
      </c>
      <c r="G187" s="208">
        <f>'Péréquation directe'!G193/Effort!C187</f>
        <v>0</v>
      </c>
      <c r="H187" s="208">
        <f>'Péréquation directe'!J193/Effort!C187</f>
        <v>19.27808627509641</v>
      </c>
      <c r="I187" s="378">
        <f t="shared" si="6"/>
        <v>43.480661549341704</v>
      </c>
      <c r="J187" s="225">
        <f t="shared" si="7"/>
        <v>0</v>
      </c>
      <c r="K187" s="42">
        <f t="shared" si="8"/>
        <v>0</v>
      </c>
      <c r="L187" s="239"/>
    </row>
    <row r="188" spans="1:12" x14ac:dyDescent="0.25">
      <c r="A188" s="38">
        <f>Données!A188</f>
        <v>5717</v>
      </c>
      <c r="B188" s="170" t="str">
        <f>Données!B188</f>
        <v>Founex</v>
      </c>
      <c r="C188" s="351">
        <f>VPI!R188</f>
        <v>390717.85842105263</v>
      </c>
      <c r="D188" s="208">
        <f>(PCS!I194-PCS!F194)/C188</f>
        <v>23.290282654129953</v>
      </c>
      <c r="E188" s="512">
        <f>'Péréquation directe'!E194/C188</f>
        <v>-3.2652480990309871</v>
      </c>
      <c r="F188" s="208">
        <f>'Péréquation directe'!F194/Effort!C188</f>
        <v>0</v>
      </c>
      <c r="G188" s="208">
        <f>'Péréquation directe'!G194/Effort!C188</f>
        <v>0</v>
      </c>
      <c r="H188" s="208">
        <f>'Péréquation directe'!J194/Effort!C188</f>
        <v>19.27808627509641</v>
      </c>
      <c r="I188" s="378">
        <f t="shared" si="6"/>
        <v>39.303120830195375</v>
      </c>
      <c r="J188" s="225">
        <f t="shared" si="7"/>
        <v>0</v>
      </c>
      <c r="K188" s="42">
        <f t="shared" si="8"/>
        <v>0</v>
      </c>
      <c r="L188" s="239"/>
    </row>
    <row r="189" spans="1:12" x14ac:dyDescent="0.25">
      <c r="A189" s="38">
        <f>Données!A189</f>
        <v>5718</v>
      </c>
      <c r="B189" s="170" t="str">
        <f>Données!B189</f>
        <v>Genolier</v>
      </c>
      <c r="C189" s="351">
        <f>VPI!R189</f>
        <v>192258.25363636363</v>
      </c>
      <c r="D189" s="208">
        <f>(PCS!I195-PCS!F195)/C189</f>
        <v>21.66539891419237</v>
      </c>
      <c r="E189" s="512">
        <f>'Péréquation directe'!E195/C189</f>
        <v>-2.591512345521092</v>
      </c>
      <c r="F189" s="208">
        <f>'Péréquation directe'!F195/Effort!C189</f>
        <v>0</v>
      </c>
      <c r="G189" s="208">
        <f>'Péréquation directe'!G195/Effort!C189</f>
        <v>0</v>
      </c>
      <c r="H189" s="208">
        <f>'Péréquation directe'!J195/Effort!C189</f>
        <v>19.27808627509641</v>
      </c>
      <c r="I189" s="378">
        <f t="shared" si="6"/>
        <v>38.351972843767683</v>
      </c>
      <c r="J189" s="225">
        <f t="shared" si="7"/>
        <v>0</v>
      </c>
      <c r="K189" s="42">
        <f t="shared" si="8"/>
        <v>0</v>
      </c>
      <c r="L189" s="239"/>
    </row>
    <row r="190" spans="1:12" x14ac:dyDescent="0.25">
      <c r="A190" s="38">
        <f>Données!A190</f>
        <v>5719</v>
      </c>
      <c r="B190" s="170" t="str">
        <f>Données!B190</f>
        <v>Gingins</v>
      </c>
      <c r="C190" s="351">
        <f>VPI!R190</f>
        <v>151290.43366666668</v>
      </c>
      <c r="D190" s="208">
        <f>(PCS!I196-PCS!F196)/C190</f>
        <v>26.585177937707492</v>
      </c>
      <c r="E190" s="512">
        <f>'Péréquation directe'!E196/C190</f>
        <v>-1.4856197772383917</v>
      </c>
      <c r="F190" s="208">
        <f>'Péréquation directe'!F196/Effort!C190</f>
        <v>0</v>
      </c>
      <c r="G190" s="208">
        <f>'Péréquation directe'!G196/Effort!C190</f>
        <v>0</v>
      </c>
      <c r="H190" s="208">
        <f>'Péréquation directe'!J196/Effort!C190</f>
        <v>19.27808627509641</v>
      </c>
      <c r="I190" s="378">
        <f t="shared" si="6"/>
        <v>44.377644435565514</v>
      </c>
      <c r="J190" s="225">
        <f t="shared" si="7"/>
        <v>0</v>
      </c>
      <c r="K190" s="42">
        <f t="shared" si="8"/>
        <v>0</v>
      </c>
      <c r="L190" s="239"/>
    </row>
    <row r="191" spans="1:12" x14ac:dyDescent="0.25">
      <c r="A191" s="38">
        <f>Données!A191</f>
        <v>5720</v>
      </c>
      <c r="B191" s="170" t="str">
        <f>Données!B191</f>
        <v>Givrins</v>
      </c>
      <c r="C191" s="351">
        <f>VPI!R191</f>
        <v>74789.584809286913</v>
      </c>
      <c r="D191" s="208">
        <f>(PCS!I197-PCS!F197)/C191</f>
        <v>19.112920448527955</v>
      </c>
      <c r="E191" s="512">
        <f>'Péréquation directe'!E197/C191</f>
        <v>-1.7734664694793609</v>
      </c>
      <c r="F191" s="208">
        <f>'Péréquation directe'!F197/Effort!C191</f>
        <v>0</v>
      </c>
      <c r="G191" s="208">
        <f>'Péréquation directe'!G197/Effort!C191</f>
        <v>-0.61235212777044268</v>
      </c>
      <c r="H191" s="208">
        <f>'Péréquation directe'!J197/Effort!C191</f>
        <v>19.27808627509641</v>
      </c>
      <c r="I191" s="378">
        <f t="shared" si="6"/>
        <v>36.005188126374563</v>
      </c>
      <c r="J191" s="225">
        <f t="shared" si="7"/>
        <v>0</v>
      </c>
      <c r="K191" s="42">
        <f t="shared" si="8"/>
        <v>0</v>
      </c>
      <c r="L191" s="239"/>
    </row>
    <row r="192" spans="1:12" x14ac:dyDescent="0.25">
      <c r="A192" s="38">
        <f>Données!A192</f>
        <v>5721</v>
      </c>
      <c r="B192" s="170" t="str">
        <f>Données!B192</f>
        <v>Gland</v>
      </c>
      <c r="C192" s="351">
        <f>VPI!R192</f>
        <v>722641.89508196723</v>
      </c>
      <c r="D192" s="208">
        <f>(PCS!I198-PCS!F198)/C192</f>
        <v>14.129200434510647</v>
      </c>
      <c r="E192" s="512">
        <f>'Péréquation directe'!E198/C192</f>
        <v>-11.542581428328225</v>
      </c>
      <c r="F192" s="208">
        <f>'Péréquation directe'!F198/Effort!C192</f>
        <v>0</v>
      </c>
      <c r="G192" s="208">
        <f>'Péréquation directe'!G198/Effort!C192</f>
        <v>0</v>
      </c>
      <c r="H192" s="208">
        <f>'Péréquation directe'!J198/Effort!C192</f>
        <v>19.27808627509641</v>
      </c>
      <c r="I192" s="378">
        <f t="shared" si="6"/>
        <v>21.86470528127883</v>
      </c>
      <c r="J192" s="225">
        <f t="shared" si="7"/>
        <v>0</v>
      </c>
      <c r="K192" s="42">
        <f t="shared" si="8"/>
        <v>0</v>
      </c>
      <c r="L192" s="239"/>
    </row>
    <row r="193" spans="1:12" x14ac:dyDescent="0.25">
      <c r="A193" s="38">
        <f>Données!A193</f>
        <v>5722</v>
      </c>
      <c r="B193" s="170" t="str">
        <f>Données!B193</f>
        <v>Grens</v>
      </c>
      <c r="C193" s="351">
        <f>VPI!R193</f>
        <v>22316.235806451619</v>
      </c>
      <c r="D193" s="208">
        <f>(PCS!I199-PCS!F199)/C193</f>
        <v>14.416589519449948</v>
      </c>
      <c r="E193" s="512">
        <f>'Péréquation directe'!E199/C193</f>
        <v>-2.3184323082657907</v>
      </c>
      <c r="F193" s="208">
        <f>'Péréquation directe'!F199/Effort!C193</f>
        <v>0</v>
      </c>
      <c r="G193" s="208">
        <f>'Péréquation directe'!G199/Effort!C193</f>
        <v>0</v>
      </c>
      <c r="H193" s="208">
        <f>'Péréquation directe'!J199/Effort!C193</f>
        <v>19.27808627509641</v>
      </c>
      <c r="I193" s="378">
        <f t="shared" si="6"/>
        <v>31.376243486280565</v>
      </c>
      <c r="J193" s="225">
        <f t="shared" si="7"/>
        <v>0</v>
      </c>
      <c r="K193" s="42">
        <f t="shared" si="8"/>
        <v>0</v>
      </c>
      <c r="L193" s="239"/>
    </row>
    <row r="194" spans="1:12" x14ac:dyDescent="0.25">
      <c r="A194" s="38">
        <f>Données!A194</f>
        <v>5723</v>
      </c>
      <c r="B194" s="170" t="str">
        <f>Données!B194</f>
        <v>Mies</v>
      </c>
      <c r="C194" s="351">
        <f>VPI!R194</f>
        <v>245963.39999999997</v>
      </c>
      <c r="D194" s="208">
        <f>(PCS!I200-PCS!F200)/C194</f>
        <v>23.79370656006348</v>
      </c>
      <c r="E194" s="512">
        <f>'Péréquation directe'!E200/C194</f>
        <v>-2.2797657440156121</v>
      </c>
      <c r="F194" s="208">
        <f>'Péréquation directe'!F200/Effort!C194</f>
        <v>0</v>
      </c>
      <c r="G194" s="208">
        <f>'Péréquation directe'!G200/Effort!C194</f>
        <v>0</v>
      </c>
      <c r="H194" s="208">
        <f>'Péréquation directe'!J200/Effort!C194</f>
        <v>19.27808627509641</v>
      </c>
      <c r="I194" s="378">
        <f t="shared" si="6"/>
        <v>40.792027091144277</v>
      </c>
      <c r="J194" s="225">
        <f t="shared" si="7"/>
        <v>0</v>
      </c>
      <c r="K194" s="42">
        <f t="shared" si="8"/>
        <v>0</v>
      </c>
      <c r="L194" s="239"/>
    </row>
    <row r="195" spans="1:12" x14ac:dyDescent="0.25">
      <c r="A195" s="38">
        <f>Données!A195</f>
        <v>5724</v>
      </c>
      <c r="B195" s="170" t="str">
        <f>Données!B195</f>
        <v>Nyon</v>
      </c>
      <c r="C195" s="351">
        <f>VPI!R195</f>
        <v>1461398.290765027</v>
      </c>
      <c r="D195" s="208">
        <f>(PCS!I201-PCS!F201)/C195</f>
        <v>16.832041671536466</v>
      </c>
      <c r="E195" s="512">
        <f>'Péréquation directe'!E201/C195</f>
        <v>-12.187436860251523</v>
      </c>
      <c r="F195" s="208">
        <f>'Péréquation directe'!F201/Effort!C195</f>
        <v>0</v>
      </c>
      <c r="G195" s="208">
        <f>'Péréquation directe'!G201/Effort!C195</f>
        <v>-0.55745463817627006</v>
      </c>
      <c r="H195" s="208">
        <f>'Péréquation directe'!J201/Effort!C195</f>
        <v>19.27808627509641</v>
      </c>
      <c r="I195" s="378">
        <f t="shared" si="6"/>
        <v>23.365236448205081</v>
      </c>
      <c r="J195" s="225">
        <f t="shared" si="7"/>
        <v>0</v>
      </c>
      <c r="K195" s="42">
        <f t="shared" si="8"/>
        <v>0</v>
      </c>
      <c r="L195" s="239"/>
    </row>
    <row r="196" spans="1:12" x14ac:dyDescent="0.25">
      <c r="A196" s="38">
        <f>Données!A196</f>
        <v>5725</v>
      </c>
      <c r="B196" s="170" t="str">
        <f>Données!B196</f>
        <v>Prangins</v>
      </c>
      <c r="C196" s="351">
        <f>VPI!R196</f>
        <v>354965.57820779225</v>
      </c>
      <c r="D196" s="208">
        <f>(PCS!I202-PCS!F202)/C196</f>
        <v>20.52468587590058</v>
      </c>
      <c r="E196" s="512">
        <f>'Péréquation directe'!E202/C196</f>
        <v>-3.9401615712821552</v>
      </c>
      <c r="F196" s="208">
        <f>'Péréquation directe'!F202/Effort!C196</f>
        <v>0</v>
      </c>
      <c r="G196" s="208">
        <f>'Péréquation directe'!G202/Effort!C196</f>
        <v>0</v>
      </c>
      <c r="H196" s="208">
        <f>'Péréquation directe'!J202/Effort!C196</f>
        <v>19.27808627509641</v>
      </c>
      <c r="I196" s="378">
        <f t="shared" si="6"/>
        <v>35.86261057971484</v>
      </c>
      <c r="J196" s="225">
        <f t="shared" si="7"/>
        <v>0</v>
      </c>
      <c r="K196" s="42">
        <f t="shared" si="8"/>
        <v>0</v>
      </c>
      <c r="L196" s="239"/>
    </row>
    <row r="197" spans="1:12" x14ac:dyDescent="0.25">
      <c r="A197" s="38">
        <f>Données!A197</f>
        <v>5726</v>
      </c>
      <c r="B197" s="170" t="str">
        <f>Données!B197</f>
        <v>La Rippe</v>
      </c>
      <c r="C197" s="351">
        <f>VPI!R197</f>
        <v>70364.194375000006</v>
      </c>
      <c r="D197" s="208">
        <f>(PCS!I203-PCS!F203)/C197</f>
        <v>15.6436215443825</v>
      </c>
      <c r="E197" s="512">
        <f>'Péréquation directe'!E203/C197</f>
        <v>-2.6808137501509299</v>
      </c>
      <c r="F197" s="208">
        <f>'Péréquation directe'!F203/Effort!C197</f>
        <v>0</v>
      </c>
      <c r="G197" s="208">
        <f>'Péréquation directe'!G203/Effort!C197</f>
        <v>0</v>
      </c>
      <c r="H197" s="208">
        <f>'Péréquation directe'!J203/Effort!C197</f>
        <v>19.27808627509641</v>
      </c>
      <c r="I197" s="378">
        <f t="shared" si="6"/>
        <v>32.240894069327979</v>
      </c>
      <c r="J197" s="225">
        <f t="shared" si="7"/>
        <v>0</v>
      </c>
      <c r="K197" s="42">
        <f t="shared" si="8"/>
        <v>0</v>
      </c>
      <c r="L197" s="239"/>
    </row>
    <row r="198" spans="1:12" x14ac:dyDescent="0.25">
      <c r="A198" s="38">
        <f>Données!A198</f>
        <v>5727</v>
      </c>
      <c r="B198" s="170" t="str">
        <f>Données!B198</f>
        <v>Saint-Cergue</v>
      </c>
      <c r="C198" s="351">
        <f>VPI!R198</f>
        <v>106171.3535858586</v>
      </c>
      <c r="D198" s="208">
        <f>(PCS!I204-PCS!F204)/C198</f>
        <v>12.696760564677154</v>
      </c>
      <c r="E198" s="512">
        <f>'Péréquation directe'!E204/C198</f>
        <v>-7.1869554920902194</v>
      </c>
      <c r="F198" s="208">
        <f>'Péréquation directe'!F204/Effort!C198</f>
        <v>-4.2423994758115926</v>
      </c>
      <c r="G198" s="208">
        <f>'Péréquation directe'!G204/Effort!C198</f>
        <v>-4.4395648861562238</v>
      </c>
      <c r="H198" s="208">
        <f>'Péréquation directe'!J204/Effort!C198</f>
        <v>19.27808627509641</v>
      </c>
      <c r="I198" s="378">
        <f t="shared" si="6"/>
        <v>16.105926985715527</v>
      </c>
      <c r="J198" s="225">
        <f t="shared" si="7"/>
        <v>0</v>
      </c>
      <c r="K198" s="42">
        <f t="shared" si="8"/>
        <v>0</v>
      </c>
      <c r="L198" s="239"/>
    </row>
    <row r="199" spans="1:12" x14ac:dyDescent="0.25">
      <c r="A199" s="38">
        <f>Données!A199</f>
        <v>5728</v>
      </c>
      <c r="B199" s="170" t="str">
        <f>Données!B199</f>
        <v>Signy-Avenex</v>
      </c>
      <c r="C199" s="351">
        <f>VPI!R199</f>
        <v>56428.273965517248</v>
      </c>
      <c r="D199" s="208">
        <f>(PCS!I205-PCS!F205)/C199</f>
        <v>22.419204750430289</v>
      </c>
      <c r="E199" s="512">
        <f>'Péréquation directe'!E205/C199</f>
        <v>-1.3353252777086078</v>
      </c>
      <c r="F199" s="208">
        <f>'Péréquation directe'!F205/Effort!C199</f>
        <v>0</v>
      </c>
      <c r="G199" s="208">
        <f>'Péréquation directe'!G205/Effort!C199</f>
        <v>0</v>
      </c>
      <c r="H199" s="208">
        <f>'Péréquation directe'!J205/Effort!C199</f>
        <v>19.27808627509641</v>
      </c>
      <c r="I199" s="378">
        <f t="shared" ref="I199:I262" si="9">SUM(D199:H199)</f>
        <v>40.36196574781809</v>
      </c>
      <c r="J199" s="225">
        <f t="shared" ref="J199:J262" si="10">IF(I199&gt;J$5,I199-J$5,0)</f>
        <v>0</v>
      </c>
      <c r="K199" s="42">
        <f t="shared" ref="K199:K262" si="11">-J199*C199</f>
        <v>0</v>
      </c>
      <c r="L199" s="239"/>
    </row>
    <row r="200" spans="1:12" x14ac:dyDescent="0.25">
      <c r="A200" s="38">
        <f>Données!A200</f>
        <v>5729</v>
      </c>
      <c r="B200" s="170" t="str">
        <f>Données!B200</f>
        <v>Tannay</v>
      </c>
      <c r="C200" s="351">
        <f>VPI!R200</f>
        <v>161668.92523415975</v>
      </c>
      <c r="D200" s="208">
        <f>(PCS!I206-PCS!F206)/C200</f>
        <v>23.188962997698347</v>
      </c>
      <c r="E200" s="512">
        <f>'Péréquation directe'!E206/C200</f>
        <v>-2.2371676088866774</v>
      </c>
      <c r="F200" s="208">
        <f>'Péréquation directe'!F206/Effort!C200</f>
        <v>0</v>
      </c>
      <c r="G200" s="208">
        <f>'Péréquation directe'!G206/Effort!C200</f>
        <v>0</v>
      </c>
      <c r="H200" s="208">
        <f>'Péréquation directe'!J206/Effort!C200</f>
        <v>19.27808627509641</v>
      </c>
      <c r="I200" s="378">
        <f t="shared" si="9"/>
        <v>40.229881663908074</v>
      </c>
      <c r="J200" s="225">
        <f t="shared" si="10"/>
        <v>0</v>
      </c>
      <c r="K200" s="42">
        <f t="shared" si="11"/>
        <v>0</v>
      </c>
      <c r="L200" s="239"/>
    </row>
    <row r="201" spans="1:12" x14ac:dyDescent="0.25">
      <c r="A201" s="38">
        <f>Données!A201</f>
        <v>5730</v>
      </c>
      <c r="B201" s="170" t="str">
        <f>Données!B201</f>
        <v>Trélex</v>
      </c>
      <c r="C201" s="351">
        <f>VPI!R201</f>
        <v>125084.29905905908</v>
      </c>
      <c r="D201" s="208">
        <f>(PCS!I207-PCS!F207)/C201</f>
        <v>20.512685929627732</v>
      </c>
      <c r="E201" s="512">
        <f>'Péréquation directe'!E207/C201</f>
        <v>-2.2994142822565875</v>
      </c>
      <c r="F201" s="208">
        <f>'Péréquation directe'!F207/Effort!C201</f>
        <v>0</v>
      </c>
      <c r="G201" s="208">
        <f>'Péréquation directe'!G207/Effort!C201</f>
        <v>0</v>
      </c>
      <c r="H201" s="208">
        <f>'Péréquation directe'!J207/Effort!C201</f>
        <v>19.27808627509641</v>
      </c>
      <c r="I201" s="378">
        <f t="shared" si="9"/>
        <v>37.491357922467557</v>
      </c>
      <c r="J201" s="225">
        <f t="shared" si="10"/>
        <v>0</v>
      </c>
      <c r="K201" s="42">
        <f t="shared" si="11"/>
        <v>0</v>
      </c>
      <c r="L201" s="239"/>
    </row>
    <row r="202" spans="1:12" x14ac:dyDescent="0.25">
      <c r="A202" s="38">
        <f>Données!A202</f>
        <v>5731</v>
      </c>
      <c r="B202" s="170" t="str">
        <f>Données!B202</f>
        <v>Le Vaud</v>
      </c>
      <c r="C202" s="351">
        <f>VPI!R202</f>
        <v>69594.777477477473</v>
      </c>
      <c r="D202" s="208">
        <f>(PCS!I208-PCS!F208)/C202</f>
        <v>13.358544383991029</v>
      </c>
      <c r="E202" s="512">
        <f>'Péréquation directe'!E208/C202</f>
        <v>-3.8628575015775897</v>
      </c>
      <c r="F202" s="208">
        <f>'Péréquation directe'!F208/Effort!C202</f>
        <v>0</v>
      </c>
      <c r="G202" s="208">
        <f>'Péréquation directe'!G208/Effort!C202</f>
        <v>-2.2231601384918047</v>
      </c>
      <c r="H202" s="208">
        <f>'Péréquation directe'!J208/Effort!C202</f>
        <v>19.27808627509641</v>
      </c>
      <c r="I202" s="378">
        <f t="shared" si="9"/>
        <v>26.550613019018044</v>
      </c>
      <c r="J202" s="225">
        <f t="shared" si="10"/>
        <v>0</v>
      </c>
      <c r="K202" s="42">
        <f t="shared" si="11"/>
        <v>0</v>
      </c>
      <c r="L202" s="239"/>
    </row>
    <row r="203" spans="1:12" x14ac:dyDescent="0.25">
      <c r="A203" s="38">
        <f>Données!A203</f>
        <v>5732</v>
      </c>
      <c r="B203" s="170" t="str">
        <f>Données!B203</f>
        <v>Vich</v>
      </c>
      <c r="C203" s="351">
        <f>VPI!R203</f>
        <v>86531.798253968242</v>
      </c>
      <c r="D203" s="208">
        <f>(PCS!I209-PCS!F209)/C203</f>
        <v>18.919691885646451</v>
      </c>
      <c r="E203" s="512">
        <f>'Péréquation directe'!E209/C203</f>
        <v>-2.1465306708242871</v>
      </c>
      <c r="F203" s="208">
        <f>'Péréquation directe'!F209/Effort!C203</f>
        <v>0</v>
      </c>
      <c r="G203" s="208">
        <f>'Péréquation directe'!G209/Effort!C203</f>
        <v>0</v>
      </c>
      <c r="H203" s="208">
        <f>'Péréquation directe'!J209/Effort!C203</f>
        <v>19.27808627509641</v>
      </c>
      <c r="I203" s="378">
        <f t="shared" si="9"/>
        <v>36.051247489918573</v>
      </c>
      <c r="J203" s="225">
        <f t="shared" si="10"/>
        <v>0</v>
      </c>
      <c r="K203" s="42">
        <f t="shared" si="11"/>
        <v>0</v>
      </c>
      <c r="L203" s="239"/>
    </row>
    <row r="204" spans="1:12" x14ac:dyDescent="0.25">
      <c r="A204" s="38">
        <f>Données!A204</f>
        <v>5741</v>
      </c>
      <c r="B204" s="170" t="str">
        <f>Données!B204</f>
        <v>L'Abergement</v>
      </c>
      <c r="C204" s="351">
        <f>VPI!R204</f>
        <v>8987.1447119341574</v>
      </c>
      <c r="D204" s="208">
        <f>(PCS!I210-PCS!F210)/C204</f>
        <v>12.696760564677152</v>
      </c>
      <c r="E204" s="512">
        <f>'Péréquation directe'!E210/C204</f>
        <v>-3.6465567037395199</v>
      </c>
      <c r="F204" s="208">
        <f>'Péréquation directe'!F210/Effort!C204</f>
        <v>-9.2970468549495102</v>
      </c>
      <c r="G204" s="208">
        <f>'Péréquation directe'!G210/Effort!C204</f>
        <v>-12.100341841612615</v>
      </c>
      <c r="H204" s="208">
        <f>'Péréquation directe'!J210/Effort!C204</f>
        <v>19.27808627509641</v>
      </c>
      <c r="I204" s="378">
        <f t="shared" si="9"/>
        <v>6.9309014394719171</v>
      </c>
      <c r="J204" s="225">
        <f t="shared" si="10"/>
        <v>0</v>
      </c>
      <c r="K204" s="42">
        <f t="shared" si="11"/>
        <v>0</v>
      </c>
      <c r="L204" s="239"/>
    </row>
    <row r="205" spans="1:12" x14ac:dyDescent="0.25">
      <c r="A205" s="38">
        <f>Données!A205</f>
        <v>5742</v>
      </c>
      <c r="B205" s="170" t="str">
        <f>Données!B205</f>
        <v>Agiez</v>
      </c>
      <c r="C205" s="351">
        <f>VPI!R205</f>
        <v>10159.753552631579</v>
      </c>
      <c r="D205" s="208">
        <f>(PCS!I211-PCS!F211)/C205</f>
        <v>12.696760564677156</v>
      </c>
      <c r="E205" s="512">
        <f>'Péréquation directe'!E211/C205</f>
        <v>-4.7623255894256697</v>
      </c>
      <c r="F205" s="208">
        <f>'Péréquation directe'!F211/Effort!C205</f>
        <v>-17.749356850769946</v>
      </c>
      <c r="G205" s="208">
        <f>'Péréquation directe'!G211/Effort!C205</f>
        <v>-5.1064883858623435</v>
      </c>
      <c r="H205" s="208">
        <f>'Péréquation directe'!J211/Effort!C205</f>
        <v>19.27808627509641</v>
      </c>
      <c r="I205" s="378">
        <f t="shared" si="9"/>
        <v>4.3566760137156066</v>
      </c>
      <c r="J205" s="225">
        <f t="shared" si="10"/>
        <v>0</v>
      </c>
      <c r="K205" s="42">
        <f t="shared" si="11"/>
        <v>0</v>
      </c>
      <c r="L205" s="239"/>
    </row>
    <row r="206" spans="1:12" x14ac:dyDescent="0.25">
      <c r="A206" s="38">
        <f>Données!A206</f>
        <v>5743</v>
      </c>
      <c r="B206" s="170" t="str">
        <f>Données!B206</f>
        <v>Arnex-sur-Orbe</v>
      </c>
      <c r="C206" s="351">
        <f>VPI!R206</f>
        <v>18533.004577464792</v>
      </c>
      <c r="D206" s="208">
        <f>(PCS!I212-PCS!F212)/C206</f>
        <v>12.696760564677152</v>
      </c>
      <c r="E206" s="512">
        <f>'Péréquation directe'!E212/C206</f>
        <v>-4.6296355229069528</v>
      </c>
      <c r="F206" s="208">
        <f>'Péréquation directe'!F212/Effort!C206</f>
        <v>-14.498026185187328</v>
      </c>
      <c r="G206" s="208">
        <f>'Péréquation directe'!G212/Effort!C206</f>
        <v>-5.4205308219350483</v>
      </c>
      <c r="H206" s="208">
        <f>'Péréquation directe'!J212/Effort!C206</f>
        <v>19.27808627509641</v>
      </c>
      <c r="I206" s="378">
        <f t="shared" si="9"/>
        <v>7.426654309744233</v>
      </c>
      <c r="J206" s="225">
        <f t="shared" si="10"/>
        <v>0</v>
      </c>
      <c r="K206" s="42">
        <f t="shared" si="11"/>
        <v>0</v>
      </c>
      <c r="L206" s="239"/>
    </row>
    <row r="207" spans="1:12" x14ac:dyDescent="0.25">
      <c r="A207" s="38">
        <f>Données!A207</f>
        <v>5744</v>
      </c>
      <c r="B207" s="170" t="str">
        <f>Données!B207</f>
        <v>Ballaigues</v>
      </c>
      <c r="C207" s="351">
        <f>VPI!R207</f>
        <v>49180.794769230772</v>
      </c>
      <c r="D207" s="208">
        <f>(PCS!I213-PCS!F213)/C207</f>
        <v>12.696760564677154</v>
      </c>
      <c r="E207" s="512">
        <f>'Péréquation directe'!E213/C207</f>
        <v>-3.8942729889287375</v>
      </c>
      <c r="F207" s="208">
        <f>'Péréquation directe'!F213/Effort!C207</f>
        <v>-2.4175899068092321</v>
      </c>
      <c r="G207" s="208">
        <f>'Péréquation directe'!G213/Effort!C207</f>
        <v>-8.0525617197927719</v>
      </c>
      <c r="H207" s="208">
        <f>'Péréquation directe'!J213/Effort!C207</f>
        <v>19.27808627509641</v>
      </c>
      <c r="I207" s="378">
        <f t="shared" si="9"/>
        <v>17.610422224242825</v>
      </c>
      <c r="J207" s="225">
        <f t="shared" si="10"/>
        <v>0</v>
      </c>
      <c r="K207" s="42">
        <f t="shared" si="11"/>
        <v>0</v>
      </c>
      <c r="L207" s="239"/>
    </row>
    <row r="208" spans="1:12" x14ac:dyDescent="0.25">
      <c r="A208" s="38">
        <f>Données!A208</f>
        <v>5745</v>
      </c>
      <c r="B208" s="170" t="str">
        <f>Données!B208</f>
        <v>Baulmes</v>
      </c>
      <c r="C208" s="351">
        <f>VPI!R208</f>
        <v>28469.206405228757</v>
      </c>
      <c r="D208" s="208">
        <f>(PCS!I214-PCS!F214)/C208</f>
        <v>12.696760564677154</v>
      </c>
      <c r="E208" s="512">
        <f>'Péréquation directe'!E214/C208</f>
        <v>-6.130970449075007</v>
      </c>
      <c r="F208" s="208">
        <f>'Péréquation directe'!F214/Effort!C208</f>
        <v>-20.943435561390761</v>
      </c>
      <c r="G208" s="208">
        <f>'Péréquation directe'!G214/Effort!C208</f>
        <v>-15.348561197843996</v>
      </c>
      <c r="H208" s="208">
        <f>'Péréquation directe'!J214/Effort!C208</f>
        <v>19.27808627509641</v>
      </c>
      <c r="I208" s="378">
        <f t="shared" si="9"/>
        <v>-10.448120368536198</v>
      </c>
      <c r="J208" s="225">
        <f t="shared" si="10"/>
        <v>0</v>
      </c>
      <c r="K208" s="42">
        <f t="shared" si="11"/>
        <v>0</v>
      </c>
      <c r="L208" s="239"/>
    </row>
    <row r="209" spans="1:12" x14ac:dyDescent="0.25">
      <c r="A209" s="38">
        <f>Données!A209</f>
        <v>5746</v>
      </c>
      <c r="B209" s="170" t="str">
        <f>Données!B209</f>
        <v>Bavois</v>
      </c>
      <c r="C209" s="351">
        <f>VPI!R209</f>
        <v>27466.739977168949</v>
      </c>
      <c r="D209" s="208">
        <f>(PCS!I215-PCS!F215)/C209</f>
        <v>12.696760564677154</v>
      </c>
      <c r="E209" s="512">
        <f>'Péréquation directe'!E215/C209</f>
        <v>-4.5941241584178254</v>
      </c>
      <c r="F209" s="208">
        <f>'Péréquation directe'!F215/Effort!C209</f>
        <v>-15.045465871274169</v>
      </c>
      <c r="G209" s="208">
        <f>'Péréquation directe'!G215/Effort!C209</f>
        <v>-6.9240654446866756</v>
      </c>
      <c r="H209" s="208">
        <f>'Péréquation directe'!J215/Effort!C209</f>
        <v>19.27808627509641</v>
      </c>
      <c r="I209" s="378">
        <f t="shared" si="9"/>
        <v>5.4111913653948935</v>
      </c>
      <c r="J209" s="225">
        <f t="shared" si="10"/>
        <v>0</v>
      </c>
      <c r="K209" s="42">
        <f t="shared" si="11"/>
        <v>0</v>
      </c>
      <c r="L209" s="239"/>
    </row>
    <row r="210" spans="1:12" x14ac:dyDescent="0.25">
      <c r="A210" s="38">
        <f>Données!A210</f>
        <v>5747</v>
      </c>
      <c r="B210" s="170" t="str">
        <f>Données!B210</f>
        <v>Bofflens</v>
      </c>
      <c r="C210" s="351">
        <f>VPI!R210</f>
        <v>5807.8631884057959</v>
      </c>
      <c r="D210" s="208">
        <f>(PCS!I216-PCS!F216)/C210</f>
        <v>12.696760564677152</v>
      </c>
      <c r="E210" s="512">
        <f>'Péréquation directe'!E216/C210</f>
        <v>-4.5763774009204967</v>
      </c>
      <c r="F210" s="208">
        <f>'Péréquation directe'!F216/Effort!C210</f>
        <v>-13.31642422028747</v>
      </c>
      <c r="G210" s="208">
        <f>'Péréquation directe'!G216/Effort!C210</f>
        <v>-4.0372973861323862</v>
      </c>
      <c r="H210" s="208">
        <f>'Péréquation directe'!J216/Effort!C210</f>
        <v>19.27808627509641</v>
      </c>
      <c r="I210" s="378">
        <f t="shared" si="9"/>
        <v>10.04474783243321</v>
      </c>
      <c r="J210" s="225">
        <f t="shared" si="10"/>
        <v>0</v>
      </c>
      <c r="K210" s="42">
        <f t="shared" si="11"/>
        <v>0</v>
      </c>
      <c r="L210" s="239"/>
    </row>
    <row r="211" spans="1:12" x14ac:dyDescent="0.25">
      <c r="A211" s="38">
        <f>Données!A211</f>
        <v>5748</v>
      </c>
      <c r="B211" s="170" t="str">
        <f>Données!B211</f>
        <v>Bretonnières</v>
      </c>
      <c r="C211" s="351">
        <f>VPI!R211</f>
        <v>6643.1211820330973</v>
      </c>
      <c r="D211" s="208">
        <f>(PCS!I217-PCS!F217)/C211</f>
        <v>12.696760564677154</v>
      </c>
      <c r="E211" s="512">
        <f>'Péréquation directe'!E217/C211</f>
        <v>-5.1663098707327286</v>
      </c>
      <c r="F211" s="208">
        <f>'Péréquation directe'!F217/Effort!C211</f>
        <v>-18.253292806329686</v>
      </c>
      <c r="G211" s="208">
        <f>'Péréquation directe'!G217/Effort!C211</f>
        <v>-8.6783036660122441</v>
      </c>
      <c r="H211" s="208">
        <f>'Péréquation directe'!J217/Effort!C211</f>
        <v>19.27808627509641</v>
      </c>
      <c r="I211" s="378">
        <f t="shared" si="9"/>
        <v>-0.12305950330109638</v>
      </c>
      <c r="J211" s="225">
        <f t="shared" si="10"/>
        <v>0</v>
      </c>
      <c r="K211" s="42">
        <f t="shared" si="11"/>
        <v>0</v>
      </c>
      <c r="L211" s="239"/>
    </row>
    <row r="212" spans="1:12" x14ac:dyDescent="0.25">
      <c r="A212" s="38">
        <f>Données!A212</f>
        <v>5749</v>
      </c>
      <c r="B212" s="170" t="str">
        <f>Données!B212</f>
        <v>Chavornay</v>
      </c>
      <c r="C212" s="351">
        <f>VPI!R212</f>
        <v>153319.43815602834</v>
      </c>
      <c r="D212" s="208">
        <f>(PCS!I218-PCS!F218)/C212</f>
        <v>12.696760564677154</v>
      </c>
      <c r="E212" s="512">
        <f>'Péréquation directe'!E218/C212</f>
        <v>-13.764869987646774</v>
      </c>
      <c r="F212" s="208">
        <f>'Péréquation directe'!F218/Effort!C212</f>
        <v>-13.454059954651438</v>
      </c>
      <c r="G212" s="208">
        <f>'Péréquation directe'!G218/Effort!C212</f>
        <v>-4.1351510941594247</v>
      </c>
      <c r="H212" s="208">
        <f>'Péréquation directe'!J218/Effort!C212</f>
        <v>19.27808627509641</v>
      </c>
      <c r="I212" s="378">
        <f t="shared" si="9"/>
        <v>0.62076580331592623</v>
      </c>
      <c r="J212" s="225">
        <f t="shared" si="10"/>
        <v>0</v>
      </c>
      <c r="K212" s="42">
        <f t="shared" si="11"/>
        <v>0</v>
      </c>
      <c r="L212" s="239"/>
    </row>
    <row r="213" spans="1:12" x14ac:dyDescent="0.25">
      <c r="A213" s="38">
        <f>Données!A213</f>
        <v>5750</v>
      </c>
      <c r="B213" s="170" t="str">
        <f>Données!B213</f>
        <v>Les Clées</v>
      </c>
      <c r="C213" s="351">
        <f>VPI!R213</f>
        <v>4819.7572916666668</v>
      </c>
      <c r="D213" s="208">
        <f>(PCS!I219-PCS!F219)/C213</f>
        <v>12.696760564677156</v>
      </c>
      <c r="E213" s="512">
        <f>'Péréquation directe'!E219/C213</f>
        <v>-4.8721113834503882</v>
      </c>
      <c r="F213" s="208">
        <f>'Péréquation directe'!F219/Effort!C213</f>
        <v>-20.709661966905177</v>
      </c>
      <c r="G213" s="208">
        <f>'Péréquation directe'!G219/Effort!C213</f>
        <v>-9.4906518135962479</v>
      </c>
      <c r="H213" s="208">
        <f>'Péréquation directe'!J219/Effort!C213</f>
        <v>19.27808627509641</v>
      </c>
      <c r="I213" s="378">
        <f t="shared" si="9"/>
        <v>-3.0975783241782473</v>
      </c>
      <c r="J213" s="225">
        <f t="shared" si="10"/>
        <v>0</v>
      </c>
      <c r="K213" s="42">
        <f t="shared" si="11"/>
        <v>0</v>
      </c>
      <c r="L213" s="239"/>
    </row>
    <row r="214" spans="1:12" x14ac:dyDescent="0.25">
      <c r="A214" s="38">
        <f>Données!A214</f>
        <v>5752</v>
      </c>
      <c r="B214" s="170" t="str">
        <f>Données!B214</f>
        <v>Croy</v>
      </c>
      <c r="C214" s="351">
        <f>VPI!R214</f>
        <v>9670.8161776061788</v>
      </c>
      <c r="D214" s="208">
        <f>(PCS!I220-PCS!F220)/C214</f>
        <v>12.696760564677152</v>
      </c>
      <c r="E214" s="512">
        <f>'Péréquation directe'!E220/C214</f>
        <v>-5.2032233448417733</v>
      </c>
      <c r="F214" s="208">
        <f>'Péréquation directe'!F220/Effort!C214</f>
        <v>-20.410661683815853</v>
      </c>
      <c r="G214" s="208">
        <f>'Péréquation directe'!G220/Effort!C214</f>
        <v>0</v>
      </c>
      <c r="H214" s="208">
        <f>'Péréquation directe'!J220/Effort!C214</f>
        <v>19.27808627509641</v>
      </c>
      <c r="I214" s="378">
        <f t="shared" si="9"/>
        <v>6.3609618111159349</v>
      </c>
      <c r="J214" s="225">
        <f t="shared" si="10"/>
        <v>0</v>
      </c>
      <c r="K214" s="42">
        <f t="shared" si="11"/>
        <v>0</v>
      </c>
      <c r="L214" s="239"/>
    </row>
    <row r="215" spans="1:12" x14ac:dyDescent="0.25">
      <c r="A215" s="38">
        <f>Données!A215</f>
        <v>5754</v>
      </c>
      <c r="B215" s="170" t="str">
        <f>Données!B215</f>
        <v>Juriens</v>
      </c>
      <c r="C215" s="351">
        <f>VPI!R215</f>
        <v>9073.5155696202528</v>
      </c>
      <c r="D215" s="208">
        <f>(PCS!I221-PCS!F221)/C215</f>
        <v>12.696760564677154</v>
      </c>
      <c r="E215" s="512">
        <f>'Péréquation directe'!E221/C215</f>
        <v>-4.9485121913298373</v>
      </c>
      <c r="F215" s="208">
        <f>'Péréquation directe'!F221/Effort!C215</f>
        <v>-20.902809720234664</v>
      </c>
      <c r="G215" s="208">
        <f>'Péréquation directe'!G221/Effort!C215</f>
        <v>-4.3153637203382287</v>
      </c>
      <c r="H215" s="208">
        <f>'Péréquation directe'!J221/Effort!C215</f>
        <v>19.27808627509641</v>
      </c>
      <c r="I215" s="378">
        <f t="shared" si="9"/>
        <v>1.8081612078708318</v>
      </c>
      <c r="J215" s="225">
        <f t="shared" si="10"/>
        <v>0</v>
      </c>
      <c r="K215" s="42">
        <f t="shared" si="11"/>
        <v>0</v>
      </c>
      <c r="L215" s="239"/>
    </row>
    <row r="216" spans="1:12" x14ac:dyDescent="0.25">
      <c r="A216" s="38">
        <f>Données!A216</f>
        <v>5755</v>
      </c>
      <c r="B216" s="170" t="str">
        <f>Données!B216</f>
        <v>Lignerolle</v>
      </c>
      <c r="C216" s="351">
        <f>VPI!R216</f>
        <v>10745.60797088262</v>
      </c>
      <c r="D216" s="208">
        <f>(PCS!I222-PCS!F222)/C216</f>
        <v>12.696760564677154</v>
      </c>
      <c r="E216" s="512">
        <f>'Péréquation directe'!E222/C216</f>
        <v>-4.9109250397466866</v>
      </c>
      <c r="F216" s="208">
        <f>'Péréquation directe'!F222/Effort!C216</f>
        <v>-20.295300950715781</v>
      </c>
      <c r="G216" s="208">
        <f>'Péréquation directe'!G222/Effort!C216</f>
        <v>-27.062721530930389</v>
      </c>
      <c r="H216" s="208">
        <f>'Péréquation directe'!J222/Effort!C216</f>
        <v>19.27808627509641</v>
      </c>
      <c r="I216" s="378">
        <f t="shared" si="9"/>
        <v>-20.294100681619295</v>
      </c>
      <c r="J216" s="225">
        <f t="shared" si="10"/>
        <v>0</v>
      </c>
      <c r="K216" s="42">
        <f t="shared" si="11"/>
        <v>0</v>
      </c>
      <c r="L216" s="239"/>
    </row>
    <row r="217" spans="1:12" x14ac:dyDescent="0.25">
      <c r="A217" s="38">
        <f>Données!A217</f>
        <v>5756</v>
      </c>
      <c r="B217" s="170" t="str">
        <f>Données!B217</f>
        <v>Montcherand</v>
      </c>
      <c r="C217" s="351">
        <f>VPI!R217</f>
        <v>17738.051111111108</v>
      </c>
      <c r="D217" s="208">
        <f>(PCS!I223-PCS!F223)/C217</f>
        <v>12.696760564677152</v>
      </c>
      <c r="E217" s="512">
        <f>'Péréquation directe'!E223/C217</f>
        <v>-3.6514789769533409</v>
      </c>
      <c r="F217" s="208">
        <f>'Péréquation directe'!F223/Effort!C217</f>
        <v>-7.3836851371849761</v>
      </c>
      <c r="G217" s="208">
        <f>'Péréquation directe'!G223/Effort!C217</f>
        <v>-1.9783144784915003</v>
      </c>
      <c r="H217" s="208">
        <f>'Péréquation directe'!J223/Effort!C217</f>
        <v>19.27808627509641</v>
      </c>
      <c r="I217" s="378">
        <f t="shared" si="9"/>
        <v>18.961368247143746</v>
      </c>
      <c r="J217" s="225">
        <f t="shared" si="10"/>
        <v>0</v>
      </c>
      <c r="K217" s="42">
        <f t="shared" si="11"/>
        <v>0</v>
      </c>
      <c r="L217" s="239"/>
    </row>
    <row r="218" spans="1:12" x14ac:dyDescent="0.25">
      <c r="A218" s="38">
        <f>Données!A218</f>
        <v>5757</v>
      </c>
      <c r="B218" s="170" t="str">
        <f>Données!B218</f>
        <v>Orbe</v>
      </c>
      <c r="C218" s="351">
        <f>VPI!R218</f>
        <v>216123.53284768213</v>
      </c>
      <c r="D218" s="208">
        <f>(PCS!I224-PCS!F224)/C218</f>
        <v>12.696760564677156</v>
      </c>
      <c r="E218" s="512">
        <f>'Péréquation directe'!E224/C218</f>
        <v>-16.080592059572449</v>
      </c>
      <c r="F218" s="208">
        <f>'Péréquation directe'!F224/Effort!C218</f>
        <v>-15.460062270861464</v>
      </c>
      <c r="G218" s="208">
        <f>'Péréquation directe'!G224/Effort!C218</f>
        <v>-9.2127822763159184</v>
      </c>
      <c r="H218" s="208">
        <f>'Péréquation directe'!J224/Effort!C218</f>
        <v>19.27808627509641</v>
      </c>
      <c r="I218" s="378">
        <f t="shared" si="9"/>
        <v>-8.778589766976264</v>
      </c>
      <c r="J218" s="225">
        <f t="shared" si="10"/>
        <v>0</v>
      </c>
      <c r="K218" s="42">
        <f t="shared" si="11"/>
        <v>0</v>
      </c>
      <c r="L218" s="239"/>
    </row>
    <row r="219" spans="1:12" x14ac:dyDescent="0.25">
      <c r="A219" s="38">
        <f>Données!A219</f>
        <v>5758</v>
      </c>
      <c r="B219" s="170" t="str">
        <f>Données!B219</f>
        <v>La Praz</v>
      </c>
      <c r="C219" s="351">
        <f>VPI!R219</f>
        <v>4771.6656626506028</v>
      </c>
      <c r="D219" s="208">
        <f>(PCS!I225-PCS!F225)/C219</f>
        <v>12.696760564677154</v>
      </c>
      <c r="E219" s="512">
        <f>'Péréquation directe'!E225/C219</f>
        <v>-4.9212153630128794</v>
      </c>
      <c r="F219" s="208">
        <f>'Péréquation directe'!F225/Effort!C219</f>
        <v>-22.794053078338152</v>
      </c>
      <c r="G219" s="208">
        <f>'Péréquation directe'!G225/Effort!C219</f>
        <v>-8.3808273360632182</v>
      </c>
      <c r="H219" s="208">
        <f>'Péréquation directe'!J225/Effort!C219</f>
        <v>19.27808627509641</v>
      </c>
      <c r="I219" s="378">
        <f t="shared" si="9"/>
        <v>-4.1212489376406829</v>
      </c>
      <c r="J219" s="225">
        <f t="shared" si="10"/>
        <v>0</v>
      </c>
      <c r="K219" s="42">
        <f t="shared" si="11"/>
        <v>0</v>
      </c>
      <c r="L219" s="239"/>
    </row>
    <row r="220" spans="1:12" x14ac:dyDescent="0.25">
      <c r="A220" s="38">
        <f>Données!A220</f>
        <v>5759</v>
      </c>
      <c r="B220" s="170" t="str">
        <f>Données!B220</f>
        <v>Premier</v>
      </c>
      <c r="C220" s="351">
        <f>VPI!R220</f>
        <v>5899.9776100628924</v>
      </c>
      <c r="D220" s="208">
        <f>(PCS!I226-PCS!F226)/C220</f>
        <v>12.696760564677154</v>
      </c>
      <c r="E220" s="512">
        <f>'Péréquation directe'!E226/C220</f>
        <v>-5.0735110517375093</v>
      </c>
      <c r="F220" s="208">
        <f>'Péréquation directe'!F226/Effort!C220</f>
        <v>-22.340728590883277</v>
      </c>
      <c r="G220" s="208">
        <f>'Péréquation directe'!G226/Effort!C220</f>
        <v>-12.346979250875318</v>
      </c>
      <c r="H220" s="208">
        <f>'Péréquation directe'!J226/Effort!C220</f>
        <v>19.27808627509641</v>
      </c>
      <c r="I220" s="378">
        <f t="shared" si="9"/>
        <v>-7.7863720537225412</v>
      </c>
      <c r="J220" s="225">
        <f t="shared" si="10"/>
        <v>0</v>
      </c>
      <c r="K220" s="42">
        <f t="shared" si="11"/>
        <v>0</v>
      </c>
      <c r="L220" s="239"/>
    </row>
    <row r="221" spans="1:12" x14ac:dyDescent="0.25">
      <c r="A221" s="38">
        <f>Données!A221</f>
        <v>5760</v>
      </c>
      <c r="B221" s="170" t="str">
        <f>Données!B221</f>
        <v>Rances</v>
      </c>
      <c r="C221" s="351">
        <f>VPI!R221</f>
        <v>14480.898997821349</v>
      </c>
      <c r="D221" s="208">
        <f>(PCS!I227-PCS!F227)/C221</f>
        <v>12.696760564677154</v>
      </c>
      <c r="E221" s="512">
        <f>'Péréquation directe'!E227/C221</f>
        <v>-4.5618964805276931</v>
      </c>
      <c r="F221" s="208">
        <f>'Péréquation directe'!F227/Effort!C221</f>
        <v>-16.242856178153779</v>
      </c>
      <c r="G221" s="208">
        <f>'Péréquation directe'!G227/Effort!C221</f>
        <v>-8.8064582028983214</v>
      </c>
      <c r="H221" s="208">
        <f>'Péréquation directe'!J227/Effort!C221</f>
        <v>19.27808627509641</v>
      </c>
      <c r="I221" s="378">
        <f t="shared" si="9"/>
        <v>2.3636359781937699</v>
      </c>
      <c r="J221" s="225">
        <f t="shared" si="10"/>
        <v>0</v>
      </c>
      <c r="K221" s="42">
        <f t="shared" si="11"/>
        <v>0</v>
      </c>
      <c r="L221" s="239"/>
    </row>
    <row r="222" spans="1:12" x14ac:dyDescent="0.25">
      <c r="A222" s="38">
        <f>Données!A222</f>
        <v>5761</v>
      </c>
      <c r="B222" s="170" t="str">
        <f>Données!B222</f>
        <v>Romainmôtier-Envy</v>
      </c>
      <c r="C222" s="351">
        <f>VPI!R222</f>
        <v>12913.442693602694</v>
      </c>
      <c r="D222" s="208">
        <f>(PCS!I228-PCS!F228)/C222</f>
        <v>12.696760564677154</v>
      </c>
      <c r="E222" s="512">
        <f>'Péréquation directe'!E228/C222</f>
        <v>-5.5052944059725188</v>
      </c>
      <c r="F222" s="208">
        <f>'Péréquation directe'!F228/Effort!C222</f>
        <v>-27.396131910230686</v>
      </c>
      <c r="G222" s="208">
        <f>'Péréquation directe'!G228/Effort!C222</f>
        <v>-13.256709762067482</v>
      </c>
      <c r="H222" s="208">
        <f>'Péréquation directe'!J228/Effort!C222</f>
        <v>19.27808627509641</v>
      </c>
      <c r="I222" s="378">
        <f t="shared" si="9"/>
        <v>-14.183289238497121</v>
      </c>
      <c r="J222" s="225">
        <f t="shared" si="10"/>
        <v>0</v>
      </c>
      <c r="K222" s="42">
        <f t="shared" si="11"/>
        <v>0</v>
      </c>
      <c r="L222" s="239"/>
    </row>
    <row r="223" spans="1:12" x14ac:dyDescent="0.25">
      <c r="A223" s="38">
        <f>Données!A223</f>
        <v>5762</v>
      </c>
      <c r="B223" s="170" t="str">
        <f>Données!B223</f>
        <v>Sergey</v>
      </c>
      <c r="C223" s="351">
        <f>VPI!R223</f>
        <v>3849.5166666666673</v>
      </c>
      <c r="D223" s="208">
        <f>(PCS!I229-PCS!F229)/C223</f>
        <v>12.696760564677154</v>
      </c>
      <c r="E223" s="512">
        <f>'Péréquation directe'!E229/C223</f>
        <v>-4.7258931449989863</v>
      </c>
      <c r="F223" s="208">
        <f>'Péréquation directe'!F229/Effort!C223</f>
        <v>-18.366863129948729</v>
      </c>
      <c r="G223" s="208">
        <f>'Péréquation directe'!G229/Effort!C223</f>
        <v>-6.8676186620831157</v>
      </c>
      <c r="H223" s="208">
        <f>'Péréquation directe'!J229/Effort!C223</f>
        <v>19.27808627509641</v>
      </c>
      <c r="I223" s="378">
        <f t="shared" si="9"/>
        <v>2.0144719027427307</v>
      </c>
      <c r="J223" s="225">
        <f t="shared" si="10"/>
        <v>0</v>
      </c>
      <c r="K223" s="42">
        <f t="shared" si="11"/>
        <v>0</v>
      </c>
      <c r="L223" s="239"/>
    </row>
    <row r="224" spans="1:12" x14ac:dyDescent="0.25">
      <c r="A224" s="38">
        <f>Données!A224</f>
        <v>5763</v>
      </c>
      <c r="B224" s="170" t="str">
        <f>Données!B224</f>
        <v>Valeyres-sous-Rances</v>
      </c>
      <c r="C224" s="351">
        <f>VPI!R224</f>
        <v>22662.54088235294</v>
      </c>
      <c r="D224" s="208">
        <f>(PCS!I230-PCS!F230)/C224</f>
        <v>12.696760564677154</v>
      </c>
      <c r="E224" s="512">
        <f>'Péréquation directe'!E230/C224</f>
        <v>-3.4956726768173874</v>
      </c>
      <c r="F224" s="208">
        <f>'Péréquation directe'!F230/Effort!C224</f>
        <v>-5.5168343868533398</v>
      </c>
      <c r="G224" s="208">
        <f>'Péréquation directe'!G230/Effort!C224</f>
        <v>-3.1534901322458277</v>
      </c>
      <c r="H224" s="208">
        <f>'Péréquation directe'!J230/Effort!C224</f>
        <v>19.27808627509641</v>
      </c>
      <c r="I224" s="378">
        <f t="shared" si="9"/>
        <v>19.808849643857009</v>
      </c>
      <c r="J224" s="225">
        <f t="shared" si="10"/>
        <v>0</v>
      </c>
      <c r="K224" s="42">
        <f t="shared" si="11"/>
        <v>0</v>
      </c>
      <c r="L224" s="239"/>
    </row>
    <row r="225" spans="1:12" x14ac:dyDescent="0.25">
      <c r="A225" s="38">
        <f>Données!A225</f>
        <v>5764</v>
      </c>
      <c r="B225" s="170" t="str">
        <f>Données!B225</f>
        <v>Vallorbe</v>
      </c>
      <c r="C225" s="351">
        <f>VPI!R225</f>
        <v>83671.674265734255</v>
      </c>
      <c r="D225" s="208">
        <f>(PCS!I231-PCS!F231)/C225</f>
        <v>12.696760564677152</v>
      </c>
      <c r="E225" s="512">
        <f>'Péréquation directe'!E231/C225</f>
        <v>-15.876730174592293</v>
      </c>
      <c r="F225" s="208">
        <f>'Péréquation directe'!F231/Effort!C225</f>
        <v>-25.486500594302896</v>
      </c>
      <c r="G225" s="208">
        <f>'Péréquation directe'!G231/Effort!C225</f>
        <v>-25.818226032450436</v>
      </c>
      <c r="H225" s="208">
        <f>'Péréquation directe'!J231/Effort!C225</f>
        <v>19.27808627509641</v>
      </c>
      <c r="I225" s="378">
        <f t="shared" si="9"/>
        <v>-35.206609961572056</v>
      </c>
      <c r="J225" s="225">
        <f t="shared" si="10"/>
        <v>0</v>
      </c>
      <c r="K225" s="42">
        <f t="shared" si="11"/>
        <v>0</v>
      </c>
      <c r="L225" s="239"/>
    </row>
    <row r="226" spans="1:12" x14ac:dyDescent="0.25">
      <c r="A226" s="38">
        <f>Données!A226</f>
        <v>5765</v>
      </c>
      <c r="B226" s="170" t="str">
        <f>Données!B226</f>
        <v>Vaulion</v>
      </c>
      <c r="C226" s="351">
        <f>VPI!R226</f>
        <v>10278.622098765432</v>
      </c>
      <c r="D226" s="208">
        <f>(PCS!I232-PCS!F232)/C226</f>
        <v>12.696760564677152</v>
      </c>
      <c r="E226" s="512">
        <f>'Péréquation directe'!E232/C226</f>
        <v>-6.1759133340721313</v>
      </c>
      <c r="F226" s="208">
        <f>'Péréquation directe'!F232/Effort!C226</f>
        <v>-33.926149031406446</v>
      </c>
      <c r="G226" s="208">
        <f>'Péréquation directe'!G232/Effort!C226</f>
        <v>-12.894726173786156</v>
      </c>
      <c r="H226" s="208">
        <f>'Péréquation directe'!J232/Effort!C226</f>
        <v>19.27808627509641</v>
      </c>
      <c r="I226" s="378">
        <f t="shared" si="9"/>
        <v>-21.021941699491169</v>
      </c>
      <c r="J226" s="225">
        <f t="shared" si="10"/>
        <v>0</v>
      </c>
      <c r="K226" s="42">
        <f t="shared" si="11"/>
        <v>0</v>
      </c>
      <c r="L226" s="239"/>
    </row>
    <row r="227" spans="1:12" x14ac:dyDescent="0.25">
      <c r="A227" s="38">
        <f>Données!A227</f>
        <v>5766</v>
      </c>
      <c r="B227" s="170" t="str">
        <f>Données!B227</f>
        <v>Vuiteboeuf</v>
      </c>
      <c r="C227" s="351">
        <f>VPI!R227</f>
        <v>15553.757238095239</v>
      </c>
      <c r="D227" s="208">
        <f>(PCS!I233-PCS!F233)/C227</f>
        <v>12.696760564677154</v>
      </c>
      <c r="E227" s="512">
        <f>'Péréquation directe'!E233/C227</f>
        <v>-4.9025626702557705</v>
      </c>
      <c r="F227" s="208">
        <f>'Péréquation directe'!F233/Effort!C227</f>
        <v>-18.456063691705637</v>
      </c>
      <c r="G227" s="208">
        <f>'Péréquation directe'!G233/Effort!C227</f>
        <v>-3.9094823014161801</v>
      </c>
      <c r="H227" s="208">
        <f>'Péréquation directe'!J233/Effort!C227</f>
        <v>19.27808627509641</v>
      </c>
      <c r="I227" s="378">
        <f t="shared" si="9"/>
        <v>4.7067381763959766</v>
      </c>
      <c r="J227" s="225">
        <f t="shared" si="10"/>
        <v>0</v>
      </c>
      <c r="K227" s="42">
        <f t="shared" si="11"/>
        <v>0</v>
      </c>
      <c r="L227" s="239"/>
    </row>
    <row r="228" spans="1:12" x14ac:dyDescent="0.25">
      <c r="A228" s="38">
        <f>Données!A228</f>
        <v>5785</v>
      </c>
      <c r="B228" s="170" t="str">
        <f>Données!B228</f>
        <v>Corcelles-le-Jorat</v>
      </c>
      <c r="C228" s="351">
        <f>VPI!R228</f>
        <v>14579.038701298701</v>
      </c>
      <c r="D228" s="208">
        <f>(PCS!I234-PCS!F234)/C228</f>
        <v>12.696760564677154</v>
      </c>
      <c r="E228" s="512">
        <f>'Péréquation directe'!E234/C228</f>
        <v>-4.3276383397916325</v>
      </c>
      <c r="F228" s="208">
        <f>'Péréquation directe'!F234/Effort!C228</f>
        <v>-14.394558762914096</v>
      </c>
      <c r="G228" s="208">
        <f>'Péréquation directe'!G234/Effort!C228</f>
        <v>-4.2398706823329473</v>
      </c>
      <c r="H228" s="208">
        <f>'Péréquation directe'!J234/Effort!C228</f>
        <v>19.27808627509641</v>
      </c>
      <c r="I228" s="378">
        <f t="shared" si="9"/>
        <v>9.0127790547348887</v>
      </c>
      <c r="J228" s="225">
        <f t="shared" si="10"/>
        <v>0</v>
      </c>
      <c r="K228" s="42">
        <f t="shared" si="11"/>
        <v>0</v>
      </c>
      <c r="L228" s="239"/>
    </row>
    <row r="229" spans="1:12" x14ac:dyDescent="0.25">
      <c r="A229" s="38">
        <f>Données!A229</f>
        <v>5790</v>
      </c>
      <c r="B229" s="170" t="str">
        <f>Données!B229</f>
        <v>Maracon</v>
      </c>
      <c r="C229" s="351">
        <f>VPI!R229</f>
        <v>15171.684832214765</v>
      </c>
      <c r="D229" s="208">
        <f>(PCS!I235-PCS!F235)/C229</f>
        <v>12.696760564677154</v>
      </c>
      <c r="E229" s="512">
        <f>'Péréquation directe'!E235/C229</f>
        <v>-4.6518371574396875</v>
      </c>
      <c r="F229" s="208">
        <f>'Péréquation directe'!F235/Effort!C229</f>
        <v>-16.145520213877248</v>
      </c>
      <c r="G229" s="208">
        <f>'Péréquation directe'!G235/Effort!C229</f>
        <v>-7.1429206581330975</v>
      </c>
      <c r="H229" s="208">
        <f>'Péréquation directe'!J235/Effort!C229</f>
        <v>19.27808627509641</v>
      </c>
      <c r="I229" s="378">
        <f t="shared" si="9"/>
        <v>4.0345688103235311</v>
      </c>
      <c r="J229" s="225">
        <f t="shared" si="10"/>
        <v>0</v>
      </c>
      <c r="K229" s="42">
        <f t="shared" si="11"/>
        <v>0</v>
      </c>
      <c r="L229" s="239"/>
    </row>
    <row r="230" spans="1:12" x14ac:dyDescent="0.25">
      <c r="A230" s="38">
        <f>Données!A230</f>
        <v>5792</v>
      </c>
      <c r="B230" s="170" t="str">
        <f>Données!B230</f>
        <v>Montpreveyres</v>
      </c>
      <c r="C230" s="351">
        <f>VPI!R230</f>
        <v>20162.237880794706</v>
      </c>
      <c r="D230" s="208">
        <f>(PCS!I236-PCS!F236)/C230</f>
        <v>12.696760564677156</v>
      </c>
      <c r="E230" s="512">
        <f>'Péréquation directe'!E236/C230</f>
        <v>-4.2363344986014946</v>
      </c>
      <c r="F230" s="208">
        <f>'Péréquation directe'!F236/Effort!C230</f>
        <v>-13.066778103362852</v>
      </c>
      <c r="G230" s="208">
        <f>'Péréquation directe'!G236/Effort!C230</f>
        <v>-7.2353611527512536</v>
      </c>
      <c r="H230" s="208">
        <f>'Péréquation directe'!J236/Effort!C230</f>
        <v>19.27808627509641</v>
      </c>
      <c r="I230" s="378">
        <f t="shared" si="9"/>
        <v>7.4363730850579657</v>
      </c>
      <c r="J230" s="225">
        <f t="shared" si="10"/>
        <v>0</v>
      </c>
      <c r="K230" s="42">
        <f t="shared" si="11"/>
        <v>0</v>
      </c>
      <c r="L230" s="239"/>
    </row>
    <row r="231" spans="1:12" x14ac:dyDescent="0.25">
      <c r="A231" s="38">
        <f>Données!A231</f>
        <v>5798</v>
      </c>
      <c r="B231" s="170" t="str">
        <f>Données!B231</f>
        <v>Ropraz</v>
      </c>
      <c r="C231" s="351">
        <f>VPI!R231</f>
        <v>17442.468645161291</v>
      </c>
      <c r="D231" s="208">
        <f>(PCS!I237-PCS!F237)/C231</f>
        <v>12.696760564677154</v>
      </c>
      <c r="E231" s="512">
        <f>'Péréquation directe'!E237/C231</f>
        <v>-3.9500654845249881</v>
      </c>
      <c r="F231" s="208">
        <f>'Péréquation directe'!F237/Effort!C231</f>
        <v>-11.216429418125619</v>
      </c>
      <c r="G231" s="208">
        <f>'Péréquation directe'!G237/Effort!C231</f>
        <v>-2.9670363285066808</v>
      </c>
      <c r="H231" s="208">
        <f>'Péréquation directe'!J237/Effort!C231</f>
        <v>19.27808627509641</v>
      </c>
      <c r="I231" s="378">
        <f t="shared" si="9"/>
        <v>13.841315608616277</v>
      </c>
      <c r="J231" s="225">
        <f t="shared" si="10"/>
        <v>0</v>
      </c>
      <c r="K231" s="42">
        <f t="shared" si="11"/>
        <v>0</v>
      </c>
      <c r="L231" s="239"/>
    </row>
    <row r="232" spans="1:12" x14ac:dyDescent="0.25">
      <c r="A232" s="38">
        <f>Données!A232</f>
        <v>5799</v>
      </c>
      <c r="B232" s="170" t="str">
        <f>Données!B232</f>
        <v>Servion</v>
      </c>
      <c r="C232" s="351">
        <f>VPI!R232</f>
        <v>71741.835797101463</v>
      </c>
      <c r="D232" s="208">
        <f>(PCS!I238-PCS!F238)/C232</f>
        <v>12.696760564677154</v>
      </c>
      <c r="E232" s="512">
        <f>'Péréquation directe'!E238/C232</f>
        <v>-7.3729279217469603</v>
      </c>
      <c r="F232" s="208">
        <f>'Péréquation directe'!F238/Effort!C232</f>
        <v>-7.7552743041265009</v>
      </c>
      <c r="G232" s="208">
        <f>'Péréquation directe'!G238/Effort!C232</f>
        <v>-4.7063576149947473</v>
      </c>
      <c r="H232" s="208">
        <f>'Péréquation directe'!J238/Effort!C232</f>
        <v>19.27808627509641</v>
      </c>
      <c r="I232" s="378">
        <f t="shared" si="9"/>
        <v>12.140286998905356</v>
      </c>
      <c r="J232" s="225">
        <f t="shared" si="10"/>
        <v>0</v>
      </c>
      <c r="K232" s="42">
        <f t="shared" si="11"/>
        <v>0</v>
      </c>
      <c r="L232" s="239"/>
    </row>
    <row r="233" spans="1:12" x14ac:dyDescent="0.25">
      <c r="A233" s="38">
        <f>Données!A233</f>
        <v>5803</v>
      </c>
      <c r="B233" s="170" t="str">
        <f>Données!B233</f>
        <v>Vulliens</v>
      </c>
      <c r="C233" s="351">
        <f>VPI!R233</f>
        <v>17996.04157894737</v>
      </c>
      <c r="D233" s="208">
        <f>(PCS!I239-PCS!F239)/C233</f>
        <v>12.696760564677156</v>
      </c>
      <c r="E233" s="512">
        <f>'Péréquation directe'!E239/C233</f>
        <v>-4.5240079633799635</v>
      </c>
      <c r="F233" s="208">
        <f>'Péréquation directe'!F239/Effort!C233</f>
        <v>-15.706434670218753</v>
      </c>
      <c r="G233" s="208">
        <f>'Péréquation directe'!G239/Effort!C233</f>
        <v>-3.2625786214564898</v>
      </c>
      <c r="H233" s="208">
        <f>'Péréquation directe'!J239/Effort!C233</f>
        <v>19.27808627509641</v>
      </c>
      <c r="I233" s="378">
        <f t="shared" si="9"/>
        <v>8.4818255847183597</v>
      </c>
      <c r="J233" s="225">
        <f t="shared" si="10"/>
        <v>0</v>
      </c>
      <c r="K233" s="42">
        <f t="shared" si="11"/>
        <v>0</v>
      </c>
      <c r="L233" s="239"/>
    </row>
    <row r="234" spans="1:12" x14ac:dyDescent="0.25">
      <c r="A234" s="38">
        <f>Données!A234</f>
        <v>5804</v>
      </c>
      <c r="B234" s="170" t="str">
        <f>Données!B234</f>
        <v>Jorat-Menthue</v>
      </c>
      <c r="C234" s="351">
        <f>VPI!R234</f>
        <v>46853.078156028365</v>
      </c>
      <c r="D234" s="208">
        <f>(PCS!I240-PCS!F240)/C234</f>
        <v>12.696760564677154</v>
      </c>
      <c r="E234" s="512">
        <f>'Péréquation directe'!E240/C234</f>
        <v>-7.4033238523042142</v>
      </c>
      <c r="F234" s="208">
        <f>'Péréquation directe'!F240/Effort!C234</f>
        <v>-12.706478732138772</v>
      </c>
      <c r="G234" s="208">
        <f>'Péréquation directe'!G240/Effort!C234</f>
        <v>-11.341788914640095</v>
      </c>
      <c r="H234" s="208">
        <f>'Péréquation directe'!J240/Effort!C234</f>
        <v>19.27808627509641</v>
      </c>
      <c r="I234" s="378">
        <f t="shared" si="9"/>
        <v>0.52325534069048274</v>
      </c>
      <c r="J234" s="225">
        <f t="shared" si="10"/>
        <v>0</v>
      </c>
      <c r="K234" s="42">
        <f t="shared" si="11"/>
        <v>0</v>
      </c>
      <c r="L234" s="239"/>
    </row>
    <row r="235" spans="1:12" x14ac:dyDescent="0.25">
      <c r="A235" s="38">
        <f>Données!A235</f>
        <v>5805</v>
      </c>
      <c r="B235" s="170" t="str">
        <f>Données!B235</f>
        <v>Oron</v>
      </c>
      <c r="C235" s="351">
        <f>VPI!R235</f>
        <v>175444.22906111775</v>
      </c>
      <c r="D235" s="208">
        <f>(PCS!I241-PCS!F241)/C235</f>
        <v>12.696760564677156</v>
      </c>
      <c r="E235" s="512">
        <f>'Péréquation directe'!E241/C235</f>
        <v>-14.620030614437916</v>
      </c>
      <c r="F235" s="208">
        <f>'Péréquation directe'!F241/Effort!C235</f>
        <v>-12.747924919043552</v>
      </c>
      <c r="G235" s="208">
        <f>'Péréquation directe'!G241/Effort!C235</f>
        <v>-5.5506791579565071</v>
      </c>
      <c r="H235" s="208">
        <f>'Péréquation directe'!J241/Effort!C235</f>
        <v>19.27808627509641</v>
      </c>
      <c r="I235" s="378">
        <f t="shared" si="9"/>
        <v>-0.94378785166440693</v>
      </c>
      <c r="J235" s="225">
        <f t="shared" si="10"/>
        <v>0</v>
      </c>
      <c r="K235" s="42">
        <f t="shared" si="11"/>
        <v>0</v>
      </c>
      <c r="L235" s="239"/>
    </row>
    <row r="236" spans="1:12" x14ac:dyDescent="0.25">
      <c r="A236" s="38">
        <f>Données!A236</f>
        <v>5806</v>
      </c>
      <c r="B236" s="170" t="str">
        <f>Données!B236</f>
        <v>Jorat-Mézières</v>
      </c>
      <c r="C236" s="351">
        <f>VPI!R236</f>
        <v>102069.34178082191</v>
      </c>
      <c r="D236" s="208">
        <f>(PCS!I242-PCS!F242)/C236</f>
        <v>12.696760564677154</v>
      </c>
      <c r="E236" s="512">
        <f>'Péréquation directe'!E242/C236</f>
        <v>-8.8233010566580994</v>
      </c>
      <c r="F236" s="208">
        <f>'Péréquation directe'!F242/Effort!C236</f>
        <v>-9.6533079792015446</v>
      </c>
      <c r="G236" s="208">
        <f>'Péréquation directe'!G242/Effort!C236</f>
        <v>-4.0161687355182982</v>
      </c>
      <c r="H236" s="208">
        <f>'Péréquation directe'!J242/Effort!C236</f>
        <v>19.27808627509641</v>
      </c>
      <c r="I236" s="378">
        <f t="shared" si="9"/>
        <v>9.4820690683956208</v>
      </c>
      <c r="J236" s="225">
        <f t="shared" si="10"/>
        <v>0</v>
      </c>
      <c r="K236" s="42">
        <f t="shared" si="11"/>
        <v>0</v>
      </c>
      <c r="L236" s="239"/>
    </row>
    <row r="237" spans="1:12" x14ac:dyDescent="0.25">
      <c r="A237" s="38">
        <f>Données!A237</f>
        <v>5812</v>
      </c>
      <c r="B237" s="170" t="str">
        <f>Données!B237</f>
        <v>Champtauroz</v>
      </c>
      <c r="C237" s="351">
        <f>VPI!R237</f>
        <v>3351.3333766233759</v>
      </c>
      <c r="D237" s="208">
        <f>(PCS!I243-PCS!F243)/C237</f>
        <v>12.696760564677154</v>
      </c>
      <c r="E237" s="512">
        <f>'Péréquation directe'!E243/C237</f>
        <v>-6.5063895567641232</v>
      </c>
      <c r="F237" s="208">
        <f>'Péréquation directe'!F243/Effort!C237</f>
        <v>-33.566123839953647</v>
      </c>
      <c r="G237" s="208">
        <f>'Péréquation directe'!G243/Effort!C237</f>
        <v>-6.0634820403137102</v>
      </c>
      <c r="H237" s="208">
        <f>'Péréquation directe'!J243/Effort!C237</f>
        <v>19.27808627509641</v>
      </c>
      <c r="I237" s="378">
        <f t="shared" si="9"/>
        <v>-14.161148597257917</v>
      </c>
      <c r="J237" s="225">
        <f t="shared" si="10"/>
        <v>0</v>
      </c>
      <c r="K237" s="42">
        <f t="shared" si="11"/>
        <v>0</v>
      </c>
      <c r="L237" s="239"/>
    </row>
    <row r="238" spans="1:12" x14ac:dyDescent="0.25">
      <c r="A238" s="38">
        <f>Données!A238</f>
        <v>5813</v>
      </c>
      <c r="B238" s="170" t="str">
        <f>Données!B238</f>
        <v>Chevroux</v>
      </c>
      <c r="C238" s="351">
        <f>VPI!R238</f>
        <v>15275.291313868614</v>
      </c>
      <c r="D238" s="208">
        <f>(PCS!I244-PCS!F244)/C238</f>
        <v>12.696760564677154</v>
      </c>
      <c r="E238" s="512">
        <f>'Péréquation directe'!E244/C238</f>
        <v>-4.2739752691033006</v>
      </c>
      <c r="F238" s="208">
        <f>'Péréquation directe'!F244/Effort!C238</f>
        <v>-11.018247705560011</v>
      </c>
      <c r="G238" s="208">
        <f>'Péréquation directe'!G244/Effort!C238</f>
        <v>-22.548899071015839</v>
      </c>
      <c r="H238" s="208">
        <f>'Péréquation directe'!J244/Effort!C238</f>
        <v>19.27808627509641</v>
      </c>
      <c r="I238" s="378">
        <f t="shared" si="9"/>
        <v>-5.8662752059055876</v>
      </c>
      <c r="J238" s="225">
        <f t="shared" si="10"/>
        <v>0</v>
      </c>
      <c r="K238" s="42">
        <f t="shared" si="11"/>
        <v>0</v>
      </c>
      <c r="L238" s="239"/>
    </row>
    <row r="239" spans="1:12" x14ac:dyDescent="0.25">
      <c r="A239" s="38">
        <f>Données!A239</f>
        <v>5816</v>
      </c>
      <c r="B239" s="170" t="str">
        <f>Données!B239</f>
        <v>Corcelles-près-Payerne</v>
      </c>
      <c r="C239" s="351">
        <f>VPI!R239</f>
        <v>65640.914577685078</v>
      </c>
      <c r="D239" s="208">
        <f>(PCS!I245-PCS!F245)/C239</f>
        <v>12.696760564677154</v>
      </c>
      <c r="E239" s="512">
        <f>'Péréquation directe'!E245/C239</f>
        <v>-11.442969169505945</v>
      </c>
      <c r="F239" s="208">
        <f>'Péréquation directe'!F245/Effort!C239</f>
        <v>-18.514160301435446</v>
      </c>
      <c r="G239" s="208">
        <f>'Péréquation directe'!G245/Effort!C239</f>
        <v>-5.7449917472979353</v>
      </c>
      <c r="H239" s="208">
        <f>'Péréquation directe'!J245/Effort!C239</f>
        <v>19.27808627509641</v>
      </c>
      <c r="I239" s="378">
        <f t="shared" si="9"/>
        <v>-3.7272743784657614</v>
      </c>
      <c r="J239" s="225">
        <f t="shared" si="10"/>
        <v>0</v>
      </c>
      <c r="K239" s="42">
        <f t="shared" si="11"/>
        <v>0</v>
      </c>
      <c r="L239" s="239"/>
    </row>
    <row r="240" spans="1:12" x14ac:dyDescent="0.25">
      <c r="A240" s="38">
        <f>Données!A240</f>
        <v>5817</v>
      </c>
      <c r="B240" s="170" t="str">
        <f>Données!B240</f>
        <v>Grandcour</v>
      </c>
      <c r="C240" s="351">
        <f>VPI!R240</f>
        <v>24621.518775510202</v>
      </c>
      <c r="D240" s="208">
        <f>(PCS!I246-PCS!F246)/C240</f>
        <v>12.696760564677154</v>
      </c>
      <c r="E240" s="512">
        <f>'Péréquation directe'!E246/C240</f>
        <v>-5.1721761011989651</v>
      </c>
      <c r="F240" s="208">
        <f>'Péréquation directe'!F246/Effort!C240</f>
        <v>-19.886850080434112</v>
      </c>
      <c r="G240" s="208">
        <f>'Péréquation directe'!G246/Effort!C240</f>
        <v>-6.4214051824684777</v>
      </c>
      <c r="H240" s="208">
        <f>'Péréquation directe'!J246/Effort!C240</f>
        <v>19.27808627509641</v>
      </c>
      <c r="I240" s="378">
        <f t="shared" si="9"/>
        <v>0.49441547567201027</v>
      </c>
      <c r="J240" s="225">
        <f t="shared" si="10"/>
        <v>0</v>
      </c>
      <c r="K240" s="42">
        <f t="shared" si="11"/>
        <v>0</v>
      </c>
      <c r="L240" s="239"/>
    </row>
    <row r="241" spans="1:13" x14ac:dyDescent="0.25">
      <c r="A241" s="38">
        <f>Données!A241</f>
        <v>5819</v>
      </c>
      <c r="B241" s="170" t="str">
        <f>Données!B241</f>
        <v>Henniez</v>
      </c>
      <c r="C241" s="351">
        <f>VPI!R241</f>
        <v>10100.670434782607</v>
      </c>
      <c r="D241" s="208">
        <f>(PCS!I247-PCS!F247)/C241</f>
        <v>12.696760564677154</v>
      </c>
      <c r="E241" s="512">
        <f>'Péréquation directe'!E247/C241</f>
        <v>-5.1989446939024724</v>
      </c>
      <c r="F241" s="208">
        <f>'Péréquation directe'!F247/Effort!C241</f>
        <v>-17.715414045913533</v>
      </c>
      <c r="G241" s="208">
        <f>'Péréquation directe'!G247/Effort!C241</f>
        <v>-13.123879077850278</v>
      </c>
      <c r="H241" s="208">
        <f>'Péréquation directe'!J247/Effort!C241</f>
        <v>19.27808627509641</v>
      </c>
      <c r="I241" s="378">
        <f t="shared" si="9"/>
        <v>-4.0633909778927197</v>
      </c>
      <c r="J241" s="225">
        <f t="shared" si="10"/>
        <v>0</v>
      </c>
      <c r="K241" s="42">
        <f t="shared" si="11"/>
        <v>0</v>
      </c>
      <c r="L241" s="239"/>
    </row>
    <row r="242" spans="1:13" x14ac:dyDescent="0.25">
      <c r="A242" s="38">
        <f>Données!A242</f>
        <v>5821</v>
      </c>
      <c r="B242" s="170" t="str">
        <f>Données!B242</f>
        <v>Missy</v>
      </c>
      <c r="C242" s="351">
        <f>VPI!R242</f>
        <v>8044.3988888888889</v>
      </c>
      <c r="D242" s="208">
        <f>(PCS!I248-PCS!F248)/C242</f>
        <v>12.696760564677154</v>
      </c>
      <c r="E242" s="512">
        <f>'Péréquation directe'!E248/C242</f>
        <v>-5.8702754145319753</v>
      </c>
      <c r="F242" s="208">
        <f>'Péréquation directe'!F248/Effort!C242</f>
        <v>-24.454369324300153</v>
      </c>
      <c r="G242" s="208">
        <f>'Péréquation directe'!G248/Effort!C242</f>
        <v>-3.3613893393595187</v>
      </c>
      <c r="H242" s="208">
        <f>'Péréquation directe'!J248/Effort!C242</f>
        <v>19.27808627509641</v>
      </c>
      <c r="I242" s="378">
        <f t="shared" si="9"/>
        <v>-1.7111872384180842</v>
      </c>
      <c r="J242" s="225">
        <f t="shared" si="10"/>
        <v>0</v>
      </c>
      <c r="K242" s="42">
        <f t="shared" si="11"/>
        <v>0</v>
      </c>
      <c r="L242" s="239"/>
    </row>
    <row r="243" spans="1:13" x14ac:dyDescent="0.25">
      <c r="A243" s="38">
        <f>Données!A243</f>
        <v>5822</v>
      </c>
      <c r="B243" s="170" t="str">
        <f>Données!B243</f>
        <v>Payerne</v>
      </c>
      <c r="C243" s="351">
        <f>VPI!R243</f>
        <v>239936.5750684932</v>
      </c>
      <c r="D243" s="208">
        <f>(PCS!I249-PCS!F249)/C243</f>
        <v>12.696760564677154</v>
      </c>
      <c r="E243" s="512">
        <f>'Péréquation directe'!E249/C243</f>
        <v>-22.775769971246383</v>
      </c>
      <c r="F243" s="208">
        <f>'Péréquation directe'!F249/Effort!C243</f>
        <v>-22.337761000872234</v>
      </c>
      <c r="G243" s="208">
        <f>'Péréquation directe'!G249/Effort!C243</f>
        <v>-6.7550864186769495</v>
      </c>
      <c r="H243" s="208">
        <f>'Péréquation directe'!J249/Effort!C243</f>
        <v>19.27808627509641</v>
      </c>
      <c r="I243" s="378">
        <f t="shared" si="9"/>
        <v>-19.893770551022005</v>
      </c>
      <c r="J243" s="225">
        <f t="shared" si="10"/>
        <v>0</v>
      </c>
      <c r="K243" s="42">
        <f t="shared" si="11"/>
        <v>0</v>
      </c>
      <c r="L243" s="239"/>
    </row>
    <row r="244" spans="1:13" x14ac:dyDescent="0.25">
      <c r="A244" s="38">
        <f>Données!A244</f>
        <v>5827</v>
      </c>
      <c r="B244" s="170" t="str">
        <f>Données!B244</f>
        <v>Trey</v>
      </c>
      <c r="C244" s="351">
        <f>VPI!R244</f>
        <v>7747.1149999999998</v>
      </c>
      <c r="D244" s="208">
        <f>(PCS!I250-PCS!F250)/C244</f>
        <v>12.696760564677152</v>
      </c>
      <c r="E244" s="512">
        <f>'Péréquation directe'!E250/C244</f>
        <v>-5.3460869630847228</v>
      </c>
      <c r="F244" s="208">
        <f>'Péréquation directe'!F250/Effort!C244</f>
        <v>-23.966825561099707</v>
      </c>
      <c r="G244" s="208">
        <f>'Péréquation directe'!G250/Effort!C244</f>
        <v>-4.3984838226875418</v>
      </c>
      <c r="H244" s="208">
        <f>'Péréquation directe'!J250/Effort!C244</f>
        <v>19.27808627509641</v>
      </c>
      <c r="I244" s="378">
        <f t="shared" si="9"/>
        <v>-1.7365495070984096</v>
      </c>
      <c r="J244" s="225">
        <f t="shared" si="10"/>
        <v>0</v>
      </c>
      <c r="K244" s="42">
        <f t="shared" si="11"/>
        <v>0</v>
      </c>
      <c r="L244" s="239"/>
    </row>
    <row r="245" spans="1:13" x14ac:dyDescent="0.25">
      <c r="A245" s="38">
        <f>Données!A245</f>
        <v>5828</v>
      </c>
      <c r="B245" s="170" t="str">
        <f>Données!B245</f>
        <v>Treytorrens (Payerne)</v>
      </c>
      <c r="C245" s="351">
        <f>VPI!R245</f>
        <v>2899.2098989898991</v>
      </c>
      <c r="D245" s="208">
        <f>(PCS!I251-PCS!F251)/C245</f>
        <v>12.696760564677154</v>
      </c>
      <c r="E245" s="512">
        <f>'Péréquation directe'!E251/C245</f>
        <v>-4.895353020337879</v>
      </c>
      <c r="F245" s="208">
        <f>'Péréquation directe'!F251/Effort!C245</f>
        <v>-22.259010380719843</v>
      </c>
      <c r="G245" s="208">
        <f>'Péréquation directe'!G251/Effort!C245</f>
        <v>-7.784358977914497</v>
      </c>
      <c r="H245" s="208">
        <f>'Péréquation directe'!J251/Effort!C245</f>
        <v>19.27808627509641</v>
      </c>
      <c r="I245" s="378">
        <f t="shared" si="9"/>
        <v>-2.9638755391986571</v>
      </c>
      <c r="J245" s="225">
        <f t="shared" si="10"/>
        <v>0</v>
      </c>
      <c r="K245" s="42">
        <f t="shared" si="11"/>
        <v>0</v>
      </c>
      <c r="L245" s="239"/>
    </row>
    <row r="246" spans="1:13" x14ac:dyDescent="0.25">
      <c r="A246" s="38">
        <f>Données!A246</f>
        <v>5830</v>
      </c>
      <c r="B246" s="170" t="str">
        <f>Données!B246</f>
        <v>Villarzel</v>
      </c>
      <c r="C246" s="351">
        <f>VPI!R246</f>
        <v>12409.471600000001</v>
      </c>
      <c r="D246" s="208">
        <f>(PCS!I252-PCS!F252)/C246</f>
        <v>12.696760564677152</v>
      </c>
      <c r="E246" s="512">
        <f>'Péréquation directe'!E252/C246</f>
        <v>-5.1986155828429981</v>
      </c>
      <c r="F246" s="208">
        <f>'Péréquation directe'!F252/Effort!C246</f>
        <v>-20.927562127273319</v>
      </c>
      <c r="G246" s="208">
        <f>'Péréquation directe'!G252/Effort!C246</f>
        <v>-10.552710938957302</v>
      </c>
      <c r="H246" s="208">
        <f>'Péréquation directe'!J252/Effort!C246</f>
        <v>19.27808627509641</v>
      </c>
      <c r="I246" s="378">
        <f t="shared" si="9"/>
        <v>-4.7040418093000547</v>
      </c>
      <c r="J246" s="225">
        <f t="shared" si="10"/>
        <v>0</v>
      </c>
      <c r="K246" s="42">
        <f t="shared" si="11"/>
        <v>0</v>
      </c>
      <c r="L246" s="239"/>
      <c r="M246" s="220"/>
    </row>
    <row r="247" spans="1:13" x14ac:dyDescent="0.25">
      <c r="A247" s="38">
        <f>Données!A247</f>
        <v>5831</v>
      </c>
      <c r="B247" s="170" t="str">
        <f>Données!B247</f>
        <v>Valbroye</v>
      </c>
      <c r="C247" s="351">
        <f>VPI!R247</f>
        <v>81061.421607565018</v>
      </c>
      <c r="D247" s="208">
        <f>(PCS!I253-PCS!F253)/C247</f>
        <v>12.696760564677154</v>
      </c>
      <c r="E247" s="512">
        <f>'Péréquation directe'!E253/C247</f>
        <v>-12.727103003063599</v>
      </c>
      <c r="F247" s="208">
        <f>'Péréquation directe'!F253/Effort!C247</f>
        <v>-19.464790891984354</v>
      </c>
      <c r="G247" s="208">
        <f>'Péréquation directe'!G253/Effort!C247</f>
        <v>-11.990293299567584</v>
      </c>
      <c r="H247" s="208">
        <f>'Péréquation directe'!J253/Effort!C247</f>
        <v>19.27808627509641</v>
      </c>
      <c r="I247" s="378">
        <f t="shared" si="9"/>
        <v>-12.207340354841971</v>
      </c>
      <c r="J247" s="225">
        <f t="shared" si="10"/>
        <v>0</v>
      </c>
      <c r="K247" s="42">
        <f t="shared" si="11"/>
        <v>0</v>
      </c>
      <c r="L247" s="239"/>
    </row>
    <row r="248" spans="1:13" x14ac:dyDescent="0.25">
      <c r="A248" s="38">
        <f>Données!A248</f>
        <v>5841</v>
      </c>
      <c r="B248" s="170" t="str">
        <f>Données!B248</f>
        <v>Château-d'Oex</v>
      </c>
      <c r="C248" s="351">
        <f>VPI!R248</f>
        <v>110850.82306748466</v>
      </c>
      <c r="D248" s="208">
        <f>(PCS!I254-PCS!F254)/C248</f>
        <v>12.696760564677156</v>
      </c>
      <c r="E248" s="512">
        <f>'Péréquation directe'!E254/C248</f>
        <v>-10.23805098477894</v>
      </c>
      <c r="F248" s="208">
        <f>'Péréquation directe'!F254/Effort!C248</f>
        <v>-14.186159106529672</v>
      </c>
      <c r="G248" s="208">
        <f>'Péréquation directe'!G254/Effort!C248</f>
        <v>-21.686912149777708</v>
      </c>
      <c r="H248" s="208">
        <f>'Péréquation directe'!J254/Effort!C248</f>
        <v>19.27808627509641</v>
      </c>
      <c r="I248" s="378">
        <f t="shared" si="9"/>
        <v>-14.136275401312755</v>
      </c>
      <c r="J248" s="225">
        <f t="shared" si="10"/>
        <v>0</v>
      </c>
      <c r="K248" s="42">
        <f t="shared" si="11"/>
        <v>0</v>
      </c>
      <c r="L248" s="239"/>
    </row>
    <row r="249" spans="1:13" x14ac:dyDescent="0.25">
      <c r="A249" s="38">
        <f>Données!A249</f>
        <v>5842</v>
      </c>
      <c r="B249" s="170" t="str">
        <f>Données!B249</f>
        <v>Rossinière</v>
      </c>
      <c r="C249" s="351">
        <f>VPI!R249</f>
        <v>14941.466090534977</v>
      </c>
      <c r="D249" s="208">
        <f>(PCS!I255-PCS!F255)/C249</f>
        <v>12.696760564677154</v>
      </c>
      <c r="E249" s="512">
        <f>'Péréquation directe'!E255/C249</f>
        <v>-4.6112538717874925</v>
      </c>
      <c r="F249" s="208">
        <f>'Péréquation directe'!F255/Effort!C249</f>
        <v>-18.690591773155759</v>
      </c>
      <c r="G249" s="208">
        <f>'Péréquation directe'!G255/Effort!C249</f>
        <v>-22.516756511732847</v>
      </c>
      <c r="H249" s="208">
        <f>'Péréquation directe'!J255/Effort!C249</f>
        <v>19.27808627509641</v>
      </c>
      <c r="I249" s="378">
        <f t="shared" si="9"/>
        <v>-13.843755316902534</v>
      </c>
      <c r="J249" s="225">
        <f t="shared" si="10"/>
        <v>0</v>
      </c>
      <c r="K249" s="42">
        <f t="shared" si="11"/>
        <v>0</v>
      </c>
      <c r="L249" s="239"/>
    </row>
    <row r="250" spans="1:13" x14ac:dyDescent="0.25">
      <c r="A250" s="38">
        <f>Données!A250</f>
        <v>5843</v>
      </c>
      <c r="B250" s="170" t="str">
        <f>Données!B250</f>
        <v>Rougemont</v>
      </c>
      <c r="C250" s="351">
        <f>VPI!R250</f>
        <v>97082.778783783782</v>
      </c>
      <c r="D250" s="208">
        <f>(PCS!I256-PCS!F256)/C250</f>
        <v>28.595680675444463</v>
      </c>
      <c r="E250" s="512">
        <f>'Péréquation directe'!E256/C250</f>
        <v>-1.1456080498577672</v>
      </c>
      <c r="F250" s="208">
        <f>'Péréquation directe'!F256/Effort!C250</f>
        <v>0</v>
      </c>
      <c r="G250" s="208">
        <f>'Péréquation directe'!G256/Effort!C250</f>
        <v>0</v>
      </c>
      <c r="H250" s="208">
        <f>'Péréquation directe'!J256/Effort!C250</f>
        <v>19.27808627509641</v>
      </c>
      <c r="I250" s="378">
        <f t="shared" si="9"/>
        <v>46.728158900683106</v>
      </c>
      <c r="J250" s="225">
        <f t="shared" si="10"/>
        <v>0</v>
      </c>
      <c r="K250" s="42">
        <f t="shared" si="11"/>
        <v>0</v>
      </c>
      <c r="L250" s="239"/>
    </row>
    <row r="251" spans="1:13" x14ac:dyDescent="0.25">
      <c r="A251" s="38">
        <f>Données!A251</f>
        <v>5851</v>
      </c>
      <c r="B251" s="170" t="str">
        <f>Données!B251</f>
        <v>Allaman</v>
      </c>
      <c r="C251" s="351">
        <f>VPI!R251</f>
        <v>24871.551151515156</v>
      </c>
      <c r="D251" s="208">
        <f>(PCS!I257-PCS!F257)/C251</f>
        <v>14.785671572265583</v>
      </c>
      <c r="E251" s="512">
        <f>'Péréquation directe'!E257/C251</f>
        <v>-2.2306764043698473</v>
      </c>
      <c r="F251" s="208">
        <f>'Péréquation directe'!F257/Effort!C251</f>
        <v>0</v>
      </c>
      <c r="G251" s="208">
        <f>'Péréquation directe'!G257/Effort!C251</f>
        <v>-0.70359275078197181</v>
      </c>
      <c r="H251" s="208">
        <f>'Péréquation directe'!J257/Effort!C251</f>
        <v>19.27808627509641</v>
      </c>
      <c r="I251" s="378">
        <f t="shared" si="9"/>
        <v>31.129488692210174</v>
      </c>
      <c r="J251" s="225">
        <f t="shared" si="10"/>
        <v>0</v>
      </c>
      <c r="K251" s="42">
        <f t="shared" si="11"/>
        <v>0</v>
      </c>
      <c r="L251" s="239"/>
    </row>
    <row r="252" spans="1:13" x14ac:dyDescent="0.25">
      <c r="A252" s="38">
        <f>Données!A252</f>
        <v>5852</v>
      </c>
      <c r="B252" s="170" t="str">
        <f>Données!B252</f>
        <v>Bursinel</v>
      </c>
      <c r="C252" s="351">
        <f>VPI!R252</f>
        <v>34636.180913978496</v>
      </c>
      <c r="D252" s="208">
        <f>(PCS!I258-PCS!F258)/C252</f>
        <v>17.156676561935257</v>
      </c>
      <c r="E252" s="512">
        <f>'Péréquation directe'!E258/C252</f>
        <v>-1.9184399911951306</v>
      </c>
      <c r="F252" s="208">
        <f>'Péréquation directe'!F258/Effort!C252</f>
        <v>0</v>
      </c>
      <c r="G252" s="208">
        <f>'Péréquation directe'!G258/Effort!C252</f>
        <v>0</v>
      </c>
      <c r="H252" s="208">
        <f>'Péréquation directe'!J258/Effort!C252</f>
        <v>19.27808627509641</v>
      </c>
      <c r="I252" s="378">
        <f t="shared" si="9"/>
        <v>34.516322845836534</v>
      </c>
      <c r="J252" s="225">
        <f t="shared" si="10"/>
        <v>0</v>
      </c>
      <c r="K252" s="42">
        <f t="shared" si="11"/>
        <v>0</v>
      </c>
      <c r="L252" s="239"/>
    </row>
    <row r="253" spans="1:13" x14ac:dyDescent="0.25">
      <c r="A253" s="38">
        <f>Données!A253</f>
        <v>5853</v>
      </c>
      <c r="B253" s="170" t="str">
        <f>Données!B253</f>
        <v>Bursins</v>
      </c>
      <c r="C253" s="351">
        <f>VPI!R253</f>
        <v>44484.29464788732</v>
      </c>
      <c r="D253" s="208">
        <f>(PCS!I259-PCS!F259)/C253</f>
        <v>15.072705445841285</v>
      </c>
      <c r="E253" s="512">
        <f>'Péréquation directe'!E259/C253</f>
        <v>-2.2420421583247498</v>
      </c>
      <c r="F253" s="208">
        <f>'Péréquation directe'!F259/Effort!C253</f>
        <v>0</v>
      </c>
      <c r="G253" s="208">
        <f>'Péréquation directe'!G259/Effort!C253</f>
        <v>-0.16058541718214644</v>
      </c>
      <c r="H253" s="208">
        <f>'Péréquation directe'!J259/Effort!C253</f>
        <v>19.27808627509641</v>
      </c>
      <c r="I253" s="378">
        <f t="shared" si="9"/>
        <v>31.948164145430798</v>
      </c>
      <c r="J253" s="225">
        <f t="shared" si="10"/>
        <v>0</v>
      </c>
      <c r="K253" s="42">
        <f t="shared" si="11"/>
        <v>0</v>
      </c>
      <c r="L253" s="239"/>
    </row>
    <row r="254" spans="1:13" x14ac:dyDescent="0.25">
      <c r="A254" s="38">
        <f>Données!A254</f>
        <v>5854</v>
      </c>
      <c r="B254" s="170" t="str">
        <f>Données!B254</f>
        <v>Burtigny</v>
      </c>
      <c r="C254" s="351">
        <f>VPI!R254</f>
        <v>15255.605208333331</v>
      </c>
      <c r="D254" s="208">
        <f>(PCS!I260-PCS!F260)/C254</f>
        <v>12.696760564677154</v>
      </c>
      <c r="E254" s="512">
        <f>'Péréquation directe'!E260/C254</f>
        <v>-3.5183162865458955</v>
      </c>
      <c r="F254" s="208">
        <f>'Péréquation directe'!F260/Effort!C254</f>
        <v>-7.8508340061467283</v>
      </c>
      <c r="G254" s="208">
        <f>'Péréquation directe'!G260/Effort!C254</f>
        <v>-5.271401150301247</v>
      </c>
      <c r="H254" s="208">
        <f>'Péréquation directe'!J260/Effort!C254</f>
        <v>19.27808627509641</v>
      </c>
      <c r="I254" s="378">
        <f t="shared" si="9"/>
        <v>15.334295396779694</v>
      </c>
      <c r="J254" s="225">
        <f t="shared" si="10"/>
        <v>0</v>
      </c>
      <c r="K254" s="42">
        <f t="shared" si="11"/>
        <v>0</v>
      </c>
      <c r="L254" s="239"/>
    </row>
    <row r="255" spans="1:13" x14ac:dyDescent="0.25">
      <c r="A255" s="38">
        <f>Données!A255</f>
        <v>5855</v>
      </c>
      <c r="B255" s="170" t="str">
        <f>Données!B255</f>
        <v>Dully</v>
      </c>
      <c r="C255" s="351">
        <f>VPI!R255</f>
        <v>93677.895510204093</v>
      </c>
      <c r="D255" s="208">
        <f>(PCS!I261-PCS!F261)/C255</f>
        <v>26.677873106239346</v>
      </c>
      <c r="E255" s="512">
        <f>'Péréquation directe'!E261/C255</f>
        <v>-0.87321888906195677</v>
      </c>
      <c r="F255" s="208">
        <f>'Péréquation directe'!F261/Effort!C255</f>
        <v>0</v>
      </c>
      <c r="G255" s="208">
        <f>'Péréquation directe'!G261/Effort!C255</f>
        <v>0</v>
      </c>
      <c r="H255" s="208">
        <f>'Péréquation directe'!J261/Effort!C255</f>
        <v>19.27808627509641</v>
      </c>
      <c r="I255" s="378">
        <f t="shared" si="9"/>
        <v>45.0827404922738</v>
      </c>
      <c r="J255" s="225">
        <f t="shared" si="10"/>
        <v>0</v>
      </c>
      <c r="K255" s="42">
        <f t="shared" si="11"/>
        <v>0</v>
      </c>
      <c r="L255" s="239"/>
    </row>
    <row r="256" spans="1:13" x14ac:dyDescent="0.25">
      <c r="A256" s="38">
        <f>Données!A256</f>
        <v>5856</v>
      </c>
      <c r="B256" s="170" t="str">
        <f>Données!B256</f>
        <v>Essertines-sur-Rolle</v>
      </c>
      <c r="C256" s="351">
        <f>VPI!R256</f>
        <v>42059.84630422209</v>
      </c>
      <c r="D256" s="208">
        <f>(PCS!I262-PCS!F262)/C256</f>
        <v>14.583439672548902</v>
      </c>
      <c r="E256" s="512">
        <f>'Péréquation directe'!E262/C256</f>
        <v>-2.3099271543644795</v>
      </c>
      <c r="F256" s="208">
        <f>'Péréquation directe'!F262/Effort!C256</f>
        <v>0</v>
      </c>
      <c r="G256" s="208">
        <f>'Péréquation directe'!G262/Effort!C256</f>
        <v>0</v>
      </c>
      <c r="H256" s="208">
        <f>'Péréquation directe'!J262/Effort!C256</f>
        <v>19.27808627509641</v>
      </c>
      <c r="I256" s="378">
        <f t="shared" si="9"/>
        <v>31.551598793280832</v>
      </c>
      <c r="J256" s="225">
        <f t="shared" si="10"/>
        <v>0</v>
      </c>
      <c r="K256" s="42">
        <f t="shared" si="11"/>
        <v>0</v>
      </c>
      <c r="L256" s="239"/>
    </row>
    <row r="257" spans="1:12" x14ac:dyDescent="0.25">
      <c r="A257" s="38">
        <f>Données!A257</f>
        <v>5857</v>
      </c>
      <c r="B257" s="170" t="str">
        <f>Données!B257</f>
        <v>Gilly</v>
      </c>
      <c r="C257" s="351">
        <f>VPI!R257</f>
        <v>88865.056589147294</v>
      </c>
      <c r="D257" s="208">
        <f>(PCS!I263-PCS!F263)/C257</f>
        <v>16.037522999426393</v>
      </c>
      <c r="E257" s="512">
        <f>'Péréquation directe'!E263/C257</f>
        <v>-3.2325344422489528</v>
      </c>
      <c r="F257" s="208">
        <f>'Péréquation directe'!F263/Effort!C257</f>
        <v>0</v>
      </c>
      <c r="G257" s="208">
        <f>'Péréquation directe'!G263/Effort!C257</f>
        <v>0</v>
      </c>
      <c r="H257" s="208">
        <f>'Péréquation directe'!J263/Effort!C257</f>
        <v>19.27808627509641</v>
      </c>
      <c r="I257" s="378">
        <f t="shared" si="9"/>
        <v>32.083074832273851</v>
      </c>
      <c r="J257" s="225">
        <f t="shared" si="10"/>
        <v>0</v>
      </c>
      <c r="K257" s="42">
        <f t="shared" si="11"/>
        <v>0</v>
      </c>
      <c r="L257" s="239"/>
    </row>
    <row r="258" spans="1:12" x14ac:dyDescent="0.25">
      <c r="A258" s="38">
        <f>Données!A258</f>
        <v>5858</v>
      </c>
      <c r="B258" s="170" t="str">
        <f>Données!B258</f>
        <v>Luins</v>
      </c>
      <c r="C258" s="351">
        <f>VPI!R258</f>
        <v>38252.553447293445</v>
      </c>
      <c r="D258" s="208">
        <f>(PCS!I264-PCS!F264)/C258</f>
        <v>15.468645106439602</v>
      </c>
      <c r="E258" s="512">
        <f>'Péréquation directe'!E264/C258</f>
        <v>-2.1249617069251343</v>
      </c>
      <c r="F258" s="208">
        <f>'Péréquation directe'!F264/Effort!C258</f>
        <v>0</v>
      </c>
      <c r="G258" s="208">
        <f>'Péréquation directe'!G264/Effort!C258</f>
        <v>0</v>
      </c>
      <c r="H258" s="208">
        <f>'Péréquation directe'!J264/Effort!C258</f>
        <v>19.27808627509641</v>
      </c>
      <c r="I258" s="378">
        <f t="shared" si="9"/>
        <v>32.621769674610874</v>
      </c>
      <c r="J258" s="225">
        <f t="shared" si="10"/>
        <v>0</v>
      </c>
      <c r="K258" s="42">
        <f t="shared" si="11"/>
        <v>0</v>
      </c>
      <c r="L258" s="239"/>
    </row>
    <row r="259" spans="1:12" x14ac:dyDescent="0.25">
      <c r="A259" s="38">
        <f>Données!A259</f>
        <v>5859</v>
      </c>
      <c r="B259" s="170" t="str">
        <f>Données!B259</f>
        <v>Mont-sur-Rolle</v>
      </c>
      <c r="C259" s="351">
        <f>VPI!R259</f>
        <v>160904.56204724411</v>
      </c>
      <c r="D259" s="208">
        <f>(PCS!I265-PCS!F265)/C259</f>
        <v>15.166915405483289</v>
      </c>
      <c r="E259" s="512">
        <f>'Péréquation directe'!E265/C259</f>
        <v>-4.7063209484641737</v>
      </c>
      <c r="F259" s="208">
        <f>'Péréquation directe'!F265/Effort!C259</f>
        <v>0</v>
      </c>
      <c r="G259" s="208">
        <f>'Péréquation directe'!G265/Effort!C259</f>
        <v>0</v>
      </c>
      <c r="H259" s="208">
        <f>'Péréquation directe'!J265/Effort!C259</f>
        <v>19.27808627509641</v>
      </c>
      <c r="I259" s="378">
        <f t="shared" si="9"/>
        <v>29.738680732115526</v>
      </c>
      <c r="J259" s="225">
        <f t="shared" si="10"/>
        <v>0</v>
      </c>
      <c r="K259" s="42">
        <f t="shared" si="11"/>
        <v>0</v>
      </c>
      <c r="L259" s="239"/>
    </row>
    <row r="260" spans="1:12" x14ac:dyDescent="0.25">
      <c r="A260" s="38">
        <f>Données!A260</f>
        <v>5860</v>
      </c>
      <c r="B260" s="170" t="str">
        <f>Données!B260</f>
        <v>Perroy</v>
      </c>
      <c r="C260" s="351">
        <f>VPI!R260</f>
        <v>124238.0950558843</v>
      </c>
      <c r="D260" s="208">
        <f>(PCS!I266-PCS!F266)/C260</f>
        <v>20.036303248459362</v>
      </c>
      <c r="E260" s="512">
        <f>'Péréquation directe'!E266/C260</f>
        <v>-2.5331658057331423</v>
      </c>
      <c r="F260" s="208">
        <f>'Péréquation directe'!F266/Effort!C260</f>
        <v>0</v>
      </c>
      <c r="G260" s="208">
        <f>'Péréquation directe'!G266/Effort!C260</f>
        <v>0</v>
      </c>
      <c r="H260" s="208">
        <f>'Péréquation directe'!J266/Effort!C260</f>
        <v>19.27808627509641</v>
      </c>
      <c r="I260" s="378">
        <f t="shared" si="9"/>
        <v>36.781223717822627</v>
      </c>
      <c r="J260" s="225">
        <f t="shared" si="10"/>
        <v>0</v>
      </c>
      <c r="K260" s="42">
        <f t="shared" si="11"/>
        <v>0</v>
      </c>
      <c r="L260" s="239"/>
    </row>
    <row r="261" spans="1:12" x14ac:dyDescent="0.25">
      <c r="A261" s="38">
        <f>Données!A261</f>
        <v>5861</v>
      </c>
      <c r="B261" s="170" t="str">
        <f>Données!B261</f>
        <v>Rolle</v>
      </c>
      <c r="C261" s="351">
        <f>VPI!R261</f>
        <v>872601.81815126061</v>
      </c>
      <c r="D261" s="208">
        <f>(PCS!I267-PCS!F267)/C261</f>
        <v>28.67059250839781</v>
      </c>
      <c r="E261" s="512">
        <f>'Péréquation directe'!E267/C261</f>
        <v>-3.0750444019255561</v>
      </c>
      <c r="F261" s="208">
        <f>'Péréquation directe'!F267/Effort!C261</f>
        <v>0</v>
      </c>
      <c r="G261" s="208">
        <f>'Péréquation directe'!G267/Effort!C261</f>
        <v>0</v>
      </c>
      <c r="H261" s="208">
        <f>'Péréquation directe'!J267/Effort!C261</f>
        <v>19.27808627509641</v>
      </c>
      <c r="I261" s="378">
        <f t="shared" si="9"/>
        <v>44.873634381568664</v>
      </c>
      <c r="J261" s="225">
        <f t="shared" si="10"/>
        <v>0</v>
      </c>
      <c r="K261" s="42">
        <f t="shared" si="11"/>
        <v>0</v>
      </c>
      <c r="L261" s="239"/>
    </row>
    <row r="262" spans="1:12" x14ac:dyDescent="0.25">
      <c r="A262" s="38">
        <f>Données!A262</f>
        <v>5862</v>
      </c>
      <c r="B262" s="170" t="str">
        <f>Données!B262</f>
        <v>Tartegnin</v>
      </c>
      <c r="C262" s="351">
        <f>VPI!R262</f>
        <v>7890.9322784810111</v>
      </c>
      <c r="D262" s="208">
        <f>(PCS!I268-PCS!F268)/C262</f>
        <v>12.696760564677152</v>
      </c>
      <c r="E262" s="512">
        <f>'Péréquation directe'!E268/C262</f>
        <v>-3.9405760708754389</v>
      </c>
      <c r="F262" s="208">
        <f>'Péréquation directe'!F268/Effort!C262</f>
        <v>-11.566920998887289</v>
      </c>
      <c r="G262" s="208">
        <f>'Péréquation directe'!G268/Effort!C262</f>
        <v>0</v>
      </c>
      <c r="H262" s="208">
        <f>'Péréquation directe'!J268/Effort!C262</f>
        <v>19.27808627509641</v>
      </c>
      <c r="I262" s="378">
        <f t="shared" si="9"/>
        <v>16.467349770010834</v>
      </c>
      <c r="J262" s="225">
        <f t="shared" si="10"/>
        <v>0</v>
      </c>
      <c r="K262" s="42">
        <f t="shared" si="11"/>
        <v>0</v>
      </c>
      <c r="L262" s="239"/>
    </row>
    <row r="263" spans="1:12" x14ac:dyDescent="0.25">
      <c r="A263" s="38">
        <f>Données!A263</f>
        <v>5863</v>
      </c>
      <c r="B263" s="170" t="str">
        <f>Données!B263</f>
        <v>Vinzel</v>
      </c>
      <c r="C263" s="351">
        <f>VPI!R263</f>
        <v>21422.979701492532</v>
      </c>
      <c r="D263" s="208">
        <f>(PCS!I269-PCS!F269)/C263</f>
        <v>15.095493154663265</v>
      </c>
      <c r="E263" s="512">
        <f>'Péréquation directe'!E269/C263</f>
        <v>-2.222375697505024</v>
      </c>
      <c r="F263" s="208">
        <f>'Péréquation directe'!F269/Effort!C263</f>
        <v>0</v>
      </c>
      <c r="G263" s="208">
        <f>'Péréquation directe'!G269/Effort!C263</f>
        <v>0</v>
      </c>
      <c r="H263" s="208">
        <f>'Péréquation directe'!J269/Effort!C263</f>
        <v>19.27808627509641</v>
      </c>
      <c r="I263" s="378">
        <f t="shared" ref="I263:I305" si="12">SUM(D263:H263)</f>
        <v>32.15120373225465</v>
      </c>
      <c r="J263" s="225">
        <f t="shared" ref="J263:J305" si="13">IF(I263&gt;J$5,I263-J$5,0)</f>
        <v>0</v>
      </c>
      <c r="K263" s="42">
        <f t="shared" ref="K263:K305" si="14">-J263*C263</f>
        <v>0</v>
      </c>
      <c r="L263" s="239"/>
    </row>
    <row r="264" spans="1:12" x14ac:dyDescent="0.25">
      <c r="A264" s="38">
        <f>Données!A264</f>
        <v>5871</v>
      </c>
      <c r="B264" s="170" t="str">
        <f>Données!B264</f>
        <v>L'Abbaye</v>
      </c>
      <c r="C264" s="351">
        <f>VPI!R264</f>
        <v>52131.58544752092</v>
      </c>
      <c r="D264" s="208">
        <f>(PCS!I270-PCS!F270)/C264</f>
        <v>12.696760564677154</v>
      </c>
      <c r="E264" s="512">
        <f>'Péréquation directe'!E270/C264</f>
        <v>-6.0854578789625675</v>
      </c>
      <c r="F264" s="208">
        <f>'Péréquation directe'!F270/Effort!C264</f>
        <v>-9.5987297869764276</v>
      </c>
      <c r="G264" s="208">
        <f>'Péréquation directe'!G270/Effort!C264</f>
        <v>-7.9926782149052977</v>
      </c>
      <c r="H264" s="208">
        <f>'Péréquation directe'!J270/Effort!C264</f>
        <v>19.27808627509641</v>
      </c>
      <c r="I264" s="378">
        <f t="shared" si="12"/>
        <v>8.297980958929271</v>
      </c>
      <c r="J264" s="225">
        <f t="shared" si="13"/>
        <v>0</v>
      </c>
      <c r="K264" s="42">
        <f t="shared" si="14"/>
        <v>0</v>
      </c>
      <c r="L264" s="239"/>
    </row>
    <row r="265" spans="1:12" x14ac:dyDescent="0.25">
      <c r="A265" s="38">
        <f>Données!A265</f>
        <v>5872</v>
      </c>
      <c r="B265" s="170" t="str">
        <f>Données!B265</f>
        <v>Le Chenit</v>
      </c>
      <c r="C265" s="351">
        <f>VPI!R265</f>
        <v>198940.06926406932</v>
      </c>
      <c r="D265" s="208">
        <f>(PCS!I271-PCS!F271)/C265</f>
        <v>12.696760564677154</v>
      </c>
      <c r="E265" s="512">
        <f>'Péréquation directe'!E271/C265</f>
        <v>-8.3508309586985074</v>
      </c>
      <c r="F265" s="208">
        <f>'Péréquation directe'!F271/Effort!C265</f>
        <v>-1.8081902750669123</v>
      </c>
      <c r="G265" s="208">
        <f>'Péréquation directe'!G271/Effort!C265</f>
        <v>-8.6314375420681806</v>
      </c>
      <c r="H265" s="208">
        <f>'Péréquation directe'!J271/Effort!C265</f>
        <v>19.27808627509641</v>
      </c>
      <c r="I265" s="378">
        <f t="shared" si="12"/>
        <v>13.184388063939963</v>
      </c>
      <c r="J265" s="225">
        <f t="shared" si="13"/>
        <v>0</v>
      </c>
      <c r="K265" s="42">
        <f t="shared" si="14"/>
        <v>0</v>
      </c>
      <c r="L265" s="239"/>
    </row>
    <row r="266" spans="1:12" x14ac:dyDescent="0.25">
      <c r="A266" s="38">
        <f>Données!A266</f>
        <v>5873</v>
      </c>
      <c r="B266" s="170" t="str">
        <f>Données!B266</f>
        <v>Le Lieu</v>
      </c>
      <c r="C266" s="351">
        <f>VPI!R266</f>
        <v>31463.219535714288</v>
      </c>
      <c r="D266" s="208">
        <f>(PCS!I272-PCS!F272)/C266</f>
        <v>12.696760564677156</v>
      </c>
      <c r="E266" s="512">
        <f>'Péréquation directe'!E272/C266</f>
        <v>-3.6127984773061805</v>
      </c>
      <c r="F266" s="208">
        <f>'Péréquation directe'!F272/Effort!C266</f>
        <v>-6.6978861813425041</v>
      </c>
      <c r="G266" s="208">
        <f>'Péréquation directe'!G272/Effort!C266</f>
        <v>-22.357677583994224</v>
      </c>
      <c r="H266" s="208">
        <f>'Péréquation directe'!J272/Effort!C266</f>
        <v>19.27808627509641</v>
      </c>
      <c r="I266" s="378">
        <f t="shared" si="12"/>
        <v>-0.6935154028693411</v>
      </c>
      <c r="J266" s="225">
        <f t="shared" si="13"/>
        <v>0</v>
      </c>
      <c r="K266" s="42">
        <f t="shared" si="14"/>
        <v>0</v>
      </c>
      <c r="L266" s="239"/>
    </row>
    <row r="267" spans="1:12" x14ac:dyDescent="0.25">
      <c r="A267" s="38">
        <f>Données!A267</f>
        <v>5882</v>
      </c>
      <c r="B267" s="170" t="str">
        <f>Données!B267</f>
        <v>Chardonne</v>
      </c>
      <c r="C267" s="351">
        <f>VPI!R267</f>
        <v>186940.3105882353</v>
      </c>
      <c r="D267" s="208">
        <f>(PCS!I273-PCS!F273)/C267</f>
        <v>15.923307057843463</v>
      </c>
      <c r="E267" s="512">
        <f>'Péréquation directe'!E273/C267</f>
        <v>-4.7705863252809877</v>
      </c>
      <c r="F267" s="208">
        <f>'Péréquation directe'!F273/Effort!C267</f>
        <v>0</v>
      </c>
      <c r="G267" s="208">
        <f>'Péréquation directe'!G273/Effort!C267</f>
        <v>-1.6925583651539127</v>
      </c>
      <c r="H267" s="208">
        <f>'Péréquation directe'!J273/Effort!C267</f>
        <v>19.27808627509641</v>
      </c>
      <c r="I267" s="378">
        <f t="shared" si="12"/>
        <v>28.738248642504971</v>
      </c>
      <c r="J267" s="225">
        <f t="shared" si="13"/>
        <v>0</v>
      </c>
      <c r="K267" s="42">
        <f t="shared" si="14"/>
        <v>0</v>
      </c>
      <c r="L267" s="239"/>
    </row>
    <row r="268" spans="1:12" x14ac:dyDescent="0.25">
      <c r="A268" s="38">
        <f>Données!A268</f>
        <v>5883</v>
      </c>
      <c r="B268" s="170" t="str">
        <f>Données!B268</f>
        <v>Corseaux</v>
      </c>
      <c r="C268" s="351">
        <f>VPI!R268</f>
        <v>193091.18148148147</v>
      </c>
      <c r="D268" s="208">
        <f>(PCS!I274-PCS!F274)/C268</f>
        <v>21.34709286191416</v>
      </c>
      <c r="E268" s="512">
        <f>'Péréquation directe'!E274/C268</f>
        <v>-3.1565919048489972</v>
      </c>
      <c r="F268" s="208">
        <f>'Péréquation directe'!F274/Effort!C268</f>
        <v>0</v>
      </c>
      <c r="G268" s="208">
        <f>'Péréquation directe'!G274/Effort!C268</f>
        <v>0</v>
      </c>
      <c r="H268" s="208">
        <f>'Péréquation directe'!J274/Effort!C268</f>
        <v>19.27808627509641</v>
      </c>
      <c r="I268" s="378">
        <f t="shared" si="12"/>
        <v>37.468587232161568</v>
      </c>
      <c r="J268" s="225">
        <f t="shared" si="13"/>
        <v>0</v>
      </c>
      <c r="K268" s="42">
        <f t="shared" si="14"/>
        <v>0</v>
      </c>
      <c r="L268" s="239"/>
    </row>
    <row r="269" spans="1:12" x14ac:dyDescent="0.25">
      <c r="A269" s="38">
        <f>Données!A269</f>
        <v>5884</v>
      </c>
      <c r="B269" s="170" t="str">
        <f>Données!B269</f>
        <v>Corsier-sur-Vevey</v>
      </c>
      <c r="C269" s="351">
        <f>VPI!R269</f>
        <v>148804.11322997417</v>
      </c>
      <c r="D269" s="208">
        <f>(PCS!I275-PCS!F275)/C269</f>
        <v>12.696760564677156</v>
      </c>
      <c r="E269" s="512">
        <f>'Péréquation directe'!E275/C269</f>
        <v>-7.075322041035621</v>
      </c>
      <c r="F269" s="208">
        <f>'Péréquation directe'!F275/Effort!C269</f>
        <v>-1.528821702240452</v>
      </c>
      <c r="G269" s="208">
        <f>'Péréquation directe'!G275/Effort!C269</f>
        <v>-9.1731340014141338</v>
      </c>
      <c r="H269" s="208">
        <f>'Péréquation directe'!J275/Effort!C269</f>
        <v>19.27808627509641</v>
      </c>
      <c r="I269" s="378">
        <f t="shared" si="12"/>
        <v>14.19756909508336</v>
      </c>
      <c r="J269" s="225">
        <f t="shared" si="13"/>
        <v>0</v>
      </c>
      <c r="K269" s="42">
        <f t="shared" si="14"/>
        <v>0</v>
      </c>
      <c r="L269" s="239"/>
    </row>
    <row r="270" spans="1:12" x14ac:dyDescent="0.25">
      <c r="A270" s="38">
        <f>Données!A270</f>
        <v>5885</v>
      </c>
      <c r="B270" s="170" t="str">
        <f>Données!B270</f>
        <v>Jongny</v>
      </c>
      <c r="C270" s="351">
        <f>VPI!R270</f>
        <v>97074.6993764988</v>
      </c>
      <c r="D270" s="208">
        <f>(PCS!I276-PCS!F276)/C270</f>
        <v>14.208251462172433</v>
      </c>
      <c r="E270" s="512">
        <f>'Péréquation directe'!E276/C270</f>
        <v>-4.3249638690724428</v>
      </c>
      <c r="F270" s="208">
        <f>'Péréquation directe'!F276/Effort!C270</f>
        <v>0</v>
      </c>
      <c r="G270" s="208">
        <f>'Péréquation directe'!G276/Effort!C270</f>
        <v>-0.77941064177350705</v>
      </c>
      <c r="H270" s="208">
        <f>'Péréquation directe'!J276/Effort!C270</f>
        <v>19.27808627509641</v>
      </c>
      <c r="I270" s="378">
        <f t="shared" si="12"/>
        <v>28.38196322642289</v>
      </c>
      <c r="J270" s="225">
        <f t="shared" si="13"/>
        <v>0</v>
      </c>
      <c r="K270" s="42">
        <f t="shared" si="14"/>
        <v>0</v>
      </c>
      <c r="L270" s="239"/>
    </row>
    <row r="271" spans="1:12" x14ac:dyDescent="0.25">
      <c r="A271" s="38">
        <f>Données!A271</f>
        <v>5886</v>
      </c>
      <c r="B271" s="170" t="str">
        <f>Données!B271</f>
        <v>Montreux</v>
      </c>
      <c r="C271" s="351">
        <f>VPI!R271</f>
        <v>1173967.402</v>
      </c>
      <c r="D271" s="208">
        <f>(PCS!I277-PCS!F277)/C271</f>
        <v>12.696760564677156</v>
      </c>
      <c r="E271" s="512">
        <f>'Péréquation directe'!E277/C271</f>
        <v>-18.760763468363272</v>
      </c>
      <c r="F271" s="208">
        <f>'Péréquation directe'!F277/Effort!C271</f>
        <v>-1.0475499834939557</v>
      </c>
      <c r="G271" s="208">
        <f>'Péréquation directe'!G277/Effort!C271</f>
        <v>-5.5034446339763017</v>
      </c>
      <c r="H271" s="208">
        <f>'Péréquation directe'!J277/Effort!C271</f>
        <v>19.27808627509641</v>
      </c>
      <c r="I271" s="378">
        <f t="shared" si="12"/>
        <v>6.6630887539400359</v>
      </c>
      <c r="J271" s="225">
        <f t="shared" si="13"/>
        <v>0</v>
      </c>
      <c r="K271" s="42">
        <f t="shared" si="14"/>
        <v>0</v>
      </c>
      <c r="L271" s="239"/>
    </row>
    <row r="272" spans="1:12" x14ac:dyDescent="0.25">
      <c r="A272" s="38">
        <f>Données!A272</f>
        <v>5889</v>
      </c>
      <c r="B272" s="170" t="str">
        <f>Données!B272</f>
        <v>La Tour-de-Peilz</v>
      </c>
      <c r="C272" s="351">
        <f>VPI!R272</f>
        <v>740088.65473958338</v>
      </c>
      <c r="D272" s="208">
        <f>(PCS!I278-PCS!F278)/C272</f>
        <v>15.685321170501274</v>
      </c>
      <c r="E272" s="512">
        <f>'Péréquation directe'!E278/C272</f>
        <v>-9.7586356539143342</v>
      </c>
      <c r="F272" s="208">
        <f>'Péréquation directe'!F278/Effort!C272</f>
        <v>0</v>
      </c>
      <c r="G272" s="208">
        <f>'Péréquation directe'!G278/Effort!C272</f>
        <v>-0.22264808480340914</v>
      </c>
      <c r="H272" s="208">
        <f>'Péréquation directe'!J278/Effort!C272</f>
        <v>19.27808627509641</v>
      </c>
      <c r="I272" s="378">
        <f t="shared" si="12"/>
        <v>24.982123706879939</v>
      </c>
      <c r="J272" s="225">
        <f t="shared" si="13"/>
        <v>0</v>
      </c>
      <c r="K272" s="42">
        <f t="shared" si="14"/>
        <v>0</v>
      </c>
      <c r="L272" s="239"/>
    </row>
    <row r="273" spans="1:12" x14ac:dyDescent="0.25">
      <c r="A273" s="38">
        <f>Données!A273</f>
        <v>5890</v>
      </c>
      <c r="B273" s="170" t="str">
        <f>Données!B273</f>
        <v>Vevey</v>
      </c>
      <c r="C273" s="351">
        <f>VPI!R273</f>
        <v>968892.58791946329</v>
      </c>
      <c r="D273" s="208">
        <f>(PCS!I279-PCS!F279)/C273</f>
        <v>13.059831875257798</v>
      </c>
      <c r="E273" s="512">
        <f>'Péréquation directe'!E279/C273</f>
        <v>-15.694537678337745</v>
      </c>
      <c r="F273" s="208">
        <f>'Péréquation directe'!F279/Effort!C273</f>
        <v>0</v>
      </c>
      <c r="G273" s="208">
        <f>'Péréquation directe'!G279/Effort!C273</f>
        <v>-3.779553087867789</v>
      </c>
      <c r="H273" s="208">
        <f>'Péréquation directe'!J279/Effort!C273</f>
        <v>19.27808627509641</v>
      </c>
      <c r="I273" s="378">
        <f t="shared" si="12"/>
        <v>12.863827384148673</v>
      </c>
      <c r="J273" s="225">
        <f t="shared" si="13"/>
        <v>0</v>
      </c>
      <c r="K273" s="42">
        <f t="shared" si="14"/>
        <v>0</v>
      </c>
      <c r="L273" s="239"/>
    </row>
    <row r="274" spans="1:12" x14ac:dyDescent="0.25">
      <c r="A274" s="38">
        <f>Données!A274</f>
        <v>5891</v>
      </c>
      <c r="B274" s="170" t="str">
        <f>Données!B274</f>
        <v>Veytaux</v>
      </c>
      <c r="C274" s="351">
        <f>VPI!R274</f>
        <v>39118.814388489205</v>
      </c>
      <c r="D274" s="208">
        <f>(PCS!I280-PCS!F280)/C274</f>
        <v>12.696760564677154</v>
      </c>
      <c r="E274" s="512">
        <f>'Péréquation directe'!E280/C274</f>
        <v>-3.1399465407018115</v>
      </c>
      <c r="F274" s="208">
        <f>'Péréquation directe'!F280/Effort!C274</f>
        <v>-3.2128282668704427</v>
      </c>
      <c r="G274" s="208">
        <f>'Péréquation directe'!G280/Effort!C274</f>
        <v>-14.856387187662483</v>
      </c>
      <c r="H274" s="208">
        <f>'Péréquation directe'!J280/Effort!C274</f>
        <v>19.27808627509641</v>
      </c>
      <c r="I274" s="378">
        <f t="shared" si="12"/>
        <v>10.765684844538827</v>
      </c>
      <c r="J274" s="225">
        <f t="shared" si="13"/>
        <v>0</v>
      </c>
      <c r="K274" s="42">
        <f t="shared" si="14"/>
        <v>0</v>
      </c>
      <c r="L274" s="239"/>
    </row>
    <row r="275" spans="1:12" x14ac:dyDescent="0.25">
      <c r="A275" s="38">
        <f>Données!A275</f>
        <v>5892</v>
      </c>
      <c r="B275" s="170" t="str">
        <f>Données!B275</f>
        <v>Blonay-St-Légier</v>
      </c>
      <c r="C275" s="351">
        <f>VPI!R275</f>
        <v>705287.87938951538</v>
      </c>
      <c r="D275" s="208">
        <f>(PCS!I281-PCS!F281)/C275</f>
        <v>15.48174431106842</v>
      </c>
      <c r="E275" s="512">
        <f>'Péréquation directe'!E281/C275</f>
        <v>-9.8219557438365737</v>
      </c>
      <c r="F275" s="208">
        <f>'Péréquation directe'!F281/Effort!C275</f>
        <v>0</v>
      </c>
      <c r="G275" s="208">
        <f>'Péréquation directe'!G281/Effort!C275</f>
        <v>-3.8316152780902937</v>
      </c>
      <c r="H275" s="208">
        <f>'Péréquation directe'!J281/Effort!C275</f>
        <v>19.27808627509641</v>
      </c>
      <c r="I275" s="378">
        <f t="shared" si="12"/>
        <v>21.106259564237963</v>
      </c>
      <c r="J275" s="225">
        <f t="shared" si="13"/>
        <v>0</v>
      </c>
      <c r="K275" s="42">
        <f t="shared" si="14"/>
        <v>0</v>
      </c>
      <c r="L275" s="239"/>
    </row>
    <row r="276" spans="1:12" x14ac:dyDescent="0.25">
      <c r="A276" s="38">
        <f>Données!A276</f>
        <v>5902</v>
      </c>
      <c r="B276" s="170" t="str">
        <f>Données!B276</f>
        <v>Belmont-sur-Yverdon</v>
      </c>
      <c r="C276" s="351">
        <f>VPI!R276</f>
        <v>12109.044285714286</v>
      </c>
      <c r="D276" s="208">
        <f>(PCS!I282-PCS!F282)/C276</f>
        <v>12.696760564677154</v>
      </c>
      <c r="E276" s="512">
        <f>'Péréquation directe'!E282/C276</f>
        <v>-4.4219030715656382</v>
      </c>
      <c r="F276" s="208">
        <f>'Péréquation directe'!F282/Effort!C276</f>
        <v>-12.581839550859108</v>
      </c>
      <c r="G276" s="208">
        <f>'Péréquation directe'!G282/Effort!C276</f>
        <v>-9.5371854579534467</v>
      </c>
      <c r="H276" s="208">
        <f>'Péréquation directe'!J282/Effort!C276</f>
        <v>19.27808627509641</v>
      </c>
      <c r="I276" s="378">
        <f t="shared" si="12"/>
        <v>5.4339187593953699</v>
      </c>
      <c r="J276" s="225">
        <f t="shared" si="13"/>
        <v>0</v>
      </c>
      <c r="K276" s="42">
        <f t="shared" si="14"/>
        <v>0</v>
      </c>
      <c r="L276" s="239"/>
    </row>
    <row r="277" spans="1:12" x14ac:dyDescent="0.25">
      <c r="A277" s="38">
        <f>Données!A277</f>
        <v>5903</v>
      </c>
      <c r="B277" s="170" t="str">
        <f>Données!B277</f>
        <v>Bioley-Magnoux</v>
      </c>
      <c r="C277" s="351">
        <f>VPI!R277</f>
        <v>6062.5298015873022</v>
      </c>
      <c r="D277" s="208">
        <f>(PCS!I283-PCS!F283)/C277</f>
        <v>12.696760564677154</v>
      </c>
      <c r="E277" s="512">
        <f>'Péréquation directe'!E283/C277</f>
        <v>-4.980041482268927</v>
      </c>
      <c r="F277" s="208">
        <f>'Péréquation directe'!F283/Effort!C277</f>
        <v>-17.605204591143959</v>
      </c>
      <c r="G277" s="208">
        <f>'Péréquation directe'!G283/Effort!C277</f>
        <v>-25.224646945116305</v>
      </c>
      <c r="H277" s="208">
        <f>'Péréquation directe'!J283/Effort!C277</f>
        <v>19.27808627509641</v>
      </c>
      <c r="I277" s="378">
        <f t="shared" si="12"/>
        <v>-15.835046178755629</v>
      </c>
      <c r="J277" s="225">
        <f t="shared" si="13"/>
        <v>0</v>
      </c>
      <c r="K277" s="42">
        <f t="shared" si="14"/>
        <v>0</v>
      </c>
      <c r="L277" s="239"/>
    </row>
    <row r="278" spans="1:12" x14ac:dyDescent="0.25">
      <c r="A278" s="38">
        <f>Données!A278</f>
        <v>5904</v>
      </c>
      <c r="B278" s="170" t="str">
        <f>Données!B278</f>
        <v>Chamblon</v>
      </c>
      <c r="C278" s="351">
        <f>VPI!R278</f>
        <v>22177.284545454542</v>
      </c>
      <c r="D278" s="208">
        <f>(PCS!I284-PCS!F284)/C278</f>
        <v>12.696760564677152</v>
      </c>
      <c r="E278" s="512">
        <f>'Péréquation directe'!E284/C278</f>
        <v>-3.2638146082887003</v>
      </c>
      <c r="F278" s="208">
        <f>'Péréquation directe'!F284/Effort!C278</f>
        <v>-3.698166701251751</v>
      </c>
      <c r="G278" s="208">
        <f>'Péréquation directe'!G284/Effort!C278</f>
        <v>0</v>
      </c>
      <c r="H278" s="208">
        <f>'Péréquation directe'!J284/Effort!C278</f>
        <v>19.27808627509641</v>
      </c>
      <c r="I278" s="378">
        <f t="shared" si="12"/>
        <v>25.01286553023311</v>
      </c>
      <c r="J278" s="225">
        <f t="shared" si="13"/>
        <v>0</v>
      </c>
      <c r="K278" s="42">
        <f t="shared" si="14"/>
        <v>0</v>
      </c>
      <c r="L278" s="239"/>
    </row>
    <row r="279" spans="1:12" x14ac:dyDescent="0.25">
      <c r="A279" s="38">
        <f>Données!A279</f>
        <v>5905</v>
      </c>
      <c r="B279" s="170" t="str">
        <f>Données!B279</f>
        <v>Champvent</v>
      </c>
      <c r="C279" s="351">
        <f>VPI!R279</f>
        <v>23290.369714285716</v>
      </c>
      <c r="D279" s="208">
        <f>(PCS!I285-PCS!F285)/C279</f>
        <v>12.696760564677158</v>
      </c>
      <c r="E279" s="512">
        <f>'Péréquation directe'!E285/C279</f>
        <v>-3.9443423300632925</v>
      </c>
      <c r="F279" s="208">
        <f>'Péréquation directe'!F285/Effort!C279</f>
        <v>-9.1089323963973214</v>
      </c>
      <c r="G279" s="208">
        <f>'Péréquation directe'!G285/Effort!C279</f>
        <v>-0.99419866290781012</v>
      </c>
      <c r="H279" s="208">
        <f>'Péréquation directe'!J285/Effort!C279</f>
        <v>19.27808627509641</v>
      </c>
      <c r="I279" s="378">
        <f t="shared" si="12"/>
        <v>17.927373450405142</v>
      </c>
      <c r="J279" s="225">
        <f t="shared" si="13"/>
        <v>0</v>
      </c>
      <c r="K279" s="42">
        <f t="shared" si="14"/>
        <v>0</v>
      </c>
      <c r="L279" s="239"/>
    </row>
    <row r="280" spans="1:12" x14ac:dyDescent="0.25">
      <c r="A280" s="38">
        <f>Données!A280</f>
        <v>5907</v>
      </c>
      <c r="B280" s="170" t="str">
        <f>Données!B280</f>
        <v>Chavannes-le-Chêne</v>
      </c>
      <c r="C280" s="351">
        <f>VPI!R280</f>
        <v>7818.3101333333334</v>
      </c>
      <c r="D280" s="208">
        <f>(PCS!I286-PCS!F286)/C280</f>
        <v>12.696760564677154</v>
      </c>
      <c r="E280" s="512">
        <f>'Péréquation directe'!E286/C280</f>
        <v>-5.3634156700582185</v>
      </c>
      <c r="F280" s="208">
        <f>'Péréquation directe'!F286/Effort!C280</f>
        <v>-22.303340376419349</v>
      </c>
      <c r="G280" s="208">
        <f>'Péréquation directe'!G286/Effort!C280</f>
        <v>-8.7159060510365016</v>
      </c>
      <c r="H280" s="208">
        <f>'Péréquation directe'!J286/Effort!C280</f>
        <v>19.27808627509641</v>
      </c>
      <c r="I280" s="378">
        <f t="shared" si="12"/>
        <v>-4.4078152577405056</v>
      </c>
      <c r="J280" s="225">
        <f t="shared" si="13"/>
        <v>0</v>
      </c>
      <c r="K280" s="42">
        <f t="shared" si="14"/>
        <v>0</v>
      </c>
      <c r="L280" s="239"/>
    </row>
    <row r="281" spans="1:12" x14ac:dyDescent="0.25">
      <c r="A281" s="38">
        <f>Données!A281</f>
        <v>5908</v>
      </c>
      <c r="B281" s="170" t="str">
        <f>Données!B281</f>
        <v>Chêne-Pâquier</v>
      </c>
      <c r="C281" s="351">
        <f>VPI!R281</f>
        <v>4413.4270886075947</v>
      </c>
      <c r="D281" s="208">
        <f>(PCS!I287-PCS!F287)/C281</f>
        <v>12.696760564677154</v>
      </c>
      <c r="E281" s="512">
        <f>'Péréquation directe'!E287/C281</f>
        <v>-4.4728719357224014</v>
      </c>
      <c r="F281" s="208">
        <f>'Péréquation directe'!F287/Effort!C281</f>
        <v>-16.497248288680492</v>
      </c>
      <c r="G281" s="208">
        <f>'Péréquation directe'!G287/Effort!C281</f>
        <v>-6.3515532462874953</v>
      </c>
      <c r="H281" s="208">
        <f>'Péréquation directe'!J287/Effort!C281</f>
        <v>19.27808627509641</v>
      </c>
      <c r="I281" s="378">
        <f t="shared" si="12"/>
        <v>4.6531733690831771</v>
      </c>
      <c r="J281" s="225">
        <f t="shared" si="13"/>
        <v>0</v>
      </c>
      <c r="K281" s="42">
        <f t="shared" si="14"/>
        <v>0</v>
      </c>
      <c r="L281" s="239"/>
    </row>
    <row r="282" spans="1:12" x14ac:dyDescent="0.25">
      <c r="A282" s="38">
        <f>Données!A282</f>
        <v>5909</v>
      </c>
      <c r="B282" s="170" t="str">
        <f>Données!B282</f>
        <v>Cheseaux-Noréaz</v>
      </c>
      <c r="C282" s="351">
        <f>VPI!R282</f>
        <v>36912.898208955223</v>
      </c>
      <c r="D282" s="208">
        <f>(PCS!I288-PCS!F288)/C282</f>
        <v>13.429254390018354</v>
      </c>
      <c r="E282" s="512">
        <f>'Péréquation directe'!E288/C282</f>
        <v>-2.5446275427379206</v>
      </c>
      <c r="F282" s="208">
        <f>'Péréquation directe'!F288/Effort!C282</f>
        <v>0</v>
      </c>
      <c r="G282" s="208">
        <f>'Péréquation directe'!G288/Effort!C282</f>
        <v>-1.1576809955253358</v>
      </c>
      <c r="H282" s="208">
        <f>'Péréquation directe'!J288/Effort!C282</f>
        <v>19.27808627509641</v>
      </c>
      <c r="I282" s="378">
        <f t="shared" si="12"/>
        <v>29.005032126851507</v>
      </c>
      <c r="J282" s="225">
        <f t="shared" si="13"/>
        <v>0</v>
      </c>
      <c r="K282" s="42">
        <f t="shared" si="14"/>
        <v>0</v>
      </c>
      <c r="L282" s="239"/>
    </row>
    <row r="283" spans="1:12" x14ac:dyDescent="0.25">
      <c r="A283" s="38">
        <f>Données!A283</f>
        <v>5910</v>
      </c>
      <c r="B283" s="170" t="str">
        <f>Données!B283</f>
        <v>Cronay</v>
      </c>
      <c r="C283" s="351">
        <f>VPI!R283</f>
        <v>10599.974415584415</v>
      </c>
      <c r="D283" s="208">
        <f>(PCS!I289-PCS!F289)/C283</f>
        <v>12.696760564677154</v>
      </c>
      <c r="E283" s="512">
        <f>'Péréquation directe'!E289/C283</f>
        <v>-4.905363762562156</v>
      </c>
      <c r="F283" s="208">
        <f>'Péréquation directe'!F289/Effort!C283</f>
        <v>-19.478159154286882</v>
      </c>
      <c r="G283" s="208">
        <f>'Péréquation directe'!G289/Effort!C283</f>
        <v>-4.8364666446205469</v>
      </c>
      <c r="H283" s="208">
        <f>'Péréquation directe'!J289/Effort!C283</f>
        <v>19.27808627509641</v>
      </c>
      <c r="I283" s="378">
        <f t="shared" si="12"/>
        <v>2.7548572783039802</v>
      </c>
      <c r="J283" s="225">
        <f t="shared" si="13"/>
        <v>0</v>
      </c>
      <c r="K283" s="42">
        <f t="shared" si="14"/>
        <v>0</v>
      </c>
      <c r="L283" s="239"/>
    </row>
    <row r="284" spans="1:12" x14ac:dyDescent="0.25">
      <c r="A284" s="38">
        <f>Données!A284</f>
        <v>5911</v>
      </c>
      <c r="B284" s="170" t="str">
        <f>Données!B284</f>
        <v>Cuarny</v>
      </c>
      <c r="C284" s="351">
        <f>VPI!R284</f>
        <v>7503.6479220779238</v>
      </c>
      <c r="D284" s="208">
        <f>(PCS!I290-PCS!F290)/C284</f>
        <v>12.696760564677154</v>
      </c>
      <c r="E284" s="512">
        <f>'Péréquation directe'!E290/C284</f>
        <v>-4.2127396995732163</v>
      </c>
      <c r="F284" s="208">
        <f>'Péréquation directe'!F290/Effort!C284</f>
        <v>-13.383526965868624</v>
      </c>
      <c r="G284" s="208">
        <f>'Péréquation directe'!G290/Effort!C284</f>
        <v>-3.278422279594603</v>
      </c>
      <c r="H284" s="208">
        <f>'Péréquation directe'!J290/Effort!C284</f>
        <v>19.27808627509641</v>
      </c>
      <c r="I284" s="378">
        <f t="shared" si="12"/>
        <v>11.100157894737121</v>
      </c>
      <c r="J284" s="225">
        <f t="shared" si="13"/>
        <v>0</v>
      </c>
      <c r="K284" s="42">
        <f t="shared" si="14"/>
        <v>0</v>
      </c>
      <c r="L284" s="239"/>
    </row>
    <row r="285" spans="1:12" x14ac:dyDescent="0.25">
      <c r="A285" s="38">
        <f>Données!A285</f>
        <v>5912</v>
      </c>
      <c r="B285" s="170" t="str">
        <f>Données!B285</f>
        <v>Démoret</v>
      </c>
      <c r="C285" s="351">
        <f>VPI!R285</f>
        <v>4722.3875308641973</v>
      </c>
      <c r="D285" s="208">
        <f>(PCS!I291-PCS!F291)/C285</f>
        <v>12.696760564677154</v>
      </c>
      <c r="E285" s="512">
        <f>'Péréquation directe'!E291/C285</f>
        <v>-4.4807757983129841</v>
      </c>
      <c r="F285" s="208">
        <f>'Péréquation directe'!F291/Effort!C285</f>
        <v>-17.420087738709508</v>
      </c>
      <c r="G285" s="208">
        <f>'Péréquation directe'!G291/Effort!C285</f>
        <v>-3.8911375298522231</v>
      </c>
      <c r="H285" s="208">
        <f>'Péréquation directe'!J291/Effort!C285</f>
        <v>19.27808627509641</v>
      </c>
      <c r="I285" s="378">
        <f t="shared" si="12"/>
        <v>6.1828457728988475</v>
      </c>
      <c r="J285" s="225">
        <f t="shared" si="13"/>
        <v>0</v>
      </c>
      <c r="K285" s="42">
        <f t="shared" si="14"/>
        <v>0</v>
      </c>
      <c r="L285" s="239"/>
    </row>
    <row r="286" spans="1:12" s="219" customFormat="1" x14ac:dyDescent="0.25">
      <c r="A286" s="38">
        <f>Données!A286</f>
        <v>5913</v>
      </c>
      <c r="B286" s="170" t="str">
        <f>Données!B286</f>
        <v>Donneloye</v>
      </c>
      <c r="C286" s="351">
        <f>VPI!R286</f>
        <v>23893.15821917808</v>
      </c>
      <c r="D286" s="208">
        <f>(PCS!I292-PCS!F292)/C286</f>
        <v>12.696760564677154</v>
      </c>
      <c r="E286" s="512">
        <f>'Péréquation directe'!E292/C286</f>
        <v>-4.8114406653113191</v>
      </c>
      <c r="F286" s="208">
        <f>'Péréquation directe'!F292/Effort!C286</f>
        <v>-16.764192916610153</v>
      </c>
      <c r="G286" s="208">
        <f>'Péréquation directe'!G292/Effort!C286</f>
        <v>-1.1234254498429102</v>
      </c>
      <c r="H286" s="208">
        <f>'Péréquation directe'!J292/Effort!C286</f>
        <v>19.27808627509641</v>
      </c>
      <c r="I286" s="378">
        <f t="shared" si="12"/>
        <v>9.2757878080091825</v>
      </c>
      <c r="J286" s="225">
        <f t="shared" si="13"/>
        <v>0</v>
      </c>
      <c r="K286" s="42">
        <f t="shared" si="14"/>
        <v>0</v>
      </c>
      <c r="L286" s="239"/>
    </row>
    <row r="287" spans="1:12" s="219" customFormat="1" x14ac:dyDescent="0.25">
      <c r="A287" s="38">
        <f>Données!A287</f>
        <v>5914</v>
      </c>
      <c r="B287" s="170" t="str">
        <f>Données!B287</f>
        <v>Ependes</v>
      </c>
      <c r="C287" s="351">
        <f>VPI!R287</f>
        <v>9828.5374149659856</v>
      </c>
      <c r="D287" s="208">
        <f>(PCS!I293-PCS!F293)/C287</f>
        <v>12.696760564677154</v>
      </c>
      <c r="E287" s="512">
        <f>'Péréquation directe'!E293/C287</f>
        <v>-5.0015782735198693</v>
      </c>
      <c r="F287" s="208">
        <f>'Péréquation directe'!F293/Effort!C287</f>
        <v>-18.519068817894745</v>
      </c>
      <c r="G287" s="208">
        <f>'Péréquation directe'!G293/Effort!C287</f>
        <v>-6.0587470886873227</v>
      </c>
      <c r="H287" s="208">
        <f>'Péréquation directe'!J293/Effort!C287</f>
        <v>19.27808627509641</v>
      </c>
      <c r="I287" s="378">
        <f t="shared" si="12"/>
        <v>2.3954526596716263</v>
      </c>
      <c r="J287" s="225">
        <f t="shared" si="13"/>
        <v>0</v>
      </c>
      <c r="K287" s="42">
        <f t="shared" si="14"/>
        <v>0</v>
      </c>
      <c r="L287" s="239"/>
    </row>
    <row r="288" spans="1:12" s="219" customFormat="1" x14ac:dyDescent="0.25">
      <c r="A288" s="38">
        <f>Données!A288</f>
        <v>5919</v>
      </c>
      <c r="B288" s="170" t="str">
        <f>Données!B288</f>
        <v>Mathod</v>
      </c>
      <c r="C288" s="351">
        <f>VPI!R288</f>
        <v>18684.230416666669</v>
      </c>
      <c r="D288" s="208">
        <f>(PCS!I294-PCS!F294)/C288</f>
        <v>12.696760564677152</v>
      </c>
      <c r="E288" s="512">
        <f>'Péréquation directe'!E294/C288</f>
        <v>-4.5231092212366866</v>
      </c>
      <c r="F288" s="208">
        <f>'Péréquation directe'!F294/Effort!C288</f>
        <v>-14.089719262756592</v>
      </c>
      <c r="G288" s="208">
        <f>'Péréquation directe'!G294/Effort!C288</f>
        <v>-7.5584699791287884</v>
      </c>
      <c r="H288" s="208">
        <f>'Péréquation directe'!J294/Effort!C288</f>
        <v>19.27808627509641</v>
      </c>
      <c r="I288" s="378">
        <f t="shared" si="12"/>
        <v>5.803548376651495</v>
      </c>
      <c r="J288" s="225">
        <f t="shared" si="13"/>
        <v>0</v>
      </c>
      <c r="K288" s="42">
        <f t="shared" si="14"/>
        <v>0</v>
      </c>
      <c r="L288" s="239"/>
    </row>
    <row r="289" spans="1:12" s="219" customFormat="1" x14ac:dyDescent="0.25">
      <c r="A289" s="38">
        <f>Données!A289</f>
        <v>5921</v>
      </c>
      <c r="B289" s="170" t="str">
        <f>Données!B289</f>
        <v>Molondin</v>
      </c>
      <c r="C289" s="351">
        <f>VPI!R289</f>
        <v>5874.5211111111121</v>
      </c>
      <c r="D289" s="208">
        <f>(PCS!I295-PCS!F295)/C289</f>
        <v>12.696760564677154</v>
      </c>
      <c r="E289" s="512">
        <f>'Péréquation directe'!E295/C289</f>
        <v>-5.2492399023671146</v>
      </c>
      <c r="F289" s="208">
        <f>'Péréquation directe'!F295/Effort!C289</f>
        <v>-24.902852608920703</v>
      </c>
      <c r="G289" s="208">
        <f>'Péréquation directe'!G295/Effort!C289</f>
        <v>-6.2512725387166288</v>
      </c>
      <c r="H289" s="208">
        <f>'Péréquation directe'!J295/Effort!C289</f>
        <v>19.27808627509641</v>
      </c>
      <c r="I289" s="378">
        <f t="shared" si="12"/>
        <v>-4.4285182102308802</v>
      </c>
      <c r="J289" s="225">
        <f t="shared" si="13"/>
        <v>0</v>
      </c>
      <c r="K289" s="42">
        <f t="shared" si="14"/>
        <v>0</v>
      </c>
      <c r="L289" s="239"/>
    </row>
    <row r="290" spans="1:12" s="219" customFormat="1" x14ac:dyDescent="0.25">
      <c r="A290" s="38">
        <f>Données!A290</f>
        <v>5922</v>
      </c>
      <c r="B290" s="170" t="str">
        <f>Données!B290</f>
        <v>Montagny-près-Yverdon</v>
      </c>
      <c r="C290" s="351">
        <f>VPI!R290</f>
        <v>39591.156899224814</v>
      </c>
      <c r="D290" s="208">
        <f>(PCS!I296-PCS!F296)/C290</f>
        <v>13.492833102268264</v>
      </c>
      <c r="E290" s="512">
        <f>'Péréquation directe'!E296/C290</f>
        <v>-2.5256577504962903</v>
      </c>
      <c r="F290" s="208">
        <f>'Péréquation directe'!F296/Effort!C290</f>
        <v>0</v>
      </c>
      <c r="G290" s="208">
        <f>'Péréquation directe'!G296/Effort!C290</f>
        <v>-3.7512116400811468</v>
      </c>
      <c r="H290" s="208">
        <f>'Péréquation directe'!J296/Effort!C290</f>
        <v>19.27808627509641</v>
      </c>
      <c r="I290" s="378">
        <f t="shared" si="12"/>
        <v>26.494049986787239</v>
      </c>
      <c r="J290" s="225">
        <f t="shared" si="13"/>
        <v>0</v>
      </c>
      <c r="K290" s="42">
        <f t="shared" si="14"/>
        <v>0</v>
      </c>
      <c r="L290" s="239"/>
    </row>
    <row r="291" spans="1:12" s="219" customFormat="1" x14ac:dyDescent="0.25">
      <c r="A291" s="38">
        <f>Données!A291</f>
        <v>5923</v>
      </c>
      <c r="B291" s="170" t="str">
        <f>Données!B291</f>
        <v>Oppens</v>
      </c>
      <c r="C291" s="351">
        <f>VPI!R291</f>
        <v>5096.0285185185185</v>
      </c>
      <c r="D291" s="208">
        <f>(PCS!I297-PCS!F297)/C291</f>
        <v>12.696760564677154</v>
      </c>
      <c r="E291" s="512">
        <f>'Péréquation directe'!E297/C291</f>
        <v>-5.0890321795631506</v>
      </c>
      <c r="F291" s="208">
        <f>'Péréquation directe'!F297/Effort!C291</f>
        <v>-23.342862085212925</v>
      </c>
      <c r="G291" s="208">
        <f>'Péréquation directe'!G297/Effort!C291</f>
        <v>-7.2667975395800219</v>
      </c>
      <c r="H291" s="208">
        <f>'Péréquation directe'!J297/Effort!C291</f>
        <v>19.27808627509641</v>
      </c>
      <c r="I291" s="378">
        <f t="shared" si="12"/>
        <v>-3.7238449645825327</v>
      </c>
      <c r="J291" s="225">
        <f t="shared" si="13"/>
        <v>0</v>
      </c>
      <c r="K291" s="42">
        <f t="shared" si="14"/>
        <v>0</v>
      </c>
      <c r="L291" s="239"/>
    </row>
    <row r="292" spans="1:12" s="219" customFormat="1" x14ac:dyDescent="0.25">
      <c r="A292" s="38">
        <f>Données!A292</f>
        <v>5924</v>
      </c>
      <c r="B292" s="170" t="str">
        <f>Données!B292</f>
        <v>Orges</v>
      </c>
      <c r="C292" s="351">
        <f>VPI!R292</f>
        <v>13109.277432432435</v>
      </c>
      <c r="D292" s="208">
        <f>(PCS!I298-PCS!F298)/C292</f>
        <v>12.696760564677152</v>
      </c>
      <c r="E292" s="512">
        <f>'Péréquation directe'!E298/C292</f>
        <v>-3.6120878065981885</v>
      </c>
      <c r="F292" s="208">
        <f>'Péréquation directe'!F298/Effort!C292</f>
        <v>-7.4794538936866939</v>
      </c>
      <c r="G292" s="208">
        <f>'Péréquation directe'!G298/Effort!C292</f>
        <v>-2.2482806971868774</v>
      </c>
      <c r="H292" s="208">
        <f>'Péréquation directe'!J298/Effort!C292</f>
        <v>19.27808627509641</v>
      </c>
      <c r="I292" s="378">
        <f t="shared" si="12"/>
        <v>18.635024442301802</v>
      </c>
      <c r="J292" s="225">
        <f t="shared" si="13"/>
        <v>0</v>
      </c>
      <c r="K292" s="42">
        <f t="shared" si="14"/>
        <v>0</v>
      </c>
      <c r="L292" s="239"/>
    </row>
    <row r="293" spans="1:12" s="219" customFormat="1" x14ac:dyDescent="0.25">
      <c r="A293" s="38">
        <f>Données!A293</f>
        <v>5925</v>
      </c>
      <c r="B293" s="170" t="str">
        <f>Données!B293</f>
        <v>Orzens</v>
      </c>
      <c r="C293" s="351">
        <f>VPI!R293</f>
        <v>5230.3916455696199</v>
      </c>
      <c r="D293" s="208">
        <f>(PCS!I299-PCS!F299)/C293</f>
        <v>12.696760564677156</v>
      </c>
      <c r="E293" s="512">
        <f>'Péréquation directe'!E299/C293</f>
        <v>-4.9829685862353976</v>
      </c>
      <c r="F293" s="208">
        <f>'Péréquation directe'!F299/Effort!C293</f>
        <v>-21.221957989702467</v>
      </c>
      <c r="G293" s="208">
        <f>'Péréquation directe'!G299/Effort!C293</f>
        <v>-1.8879955718396961</v>
      </c>
      <c r="H293" s="208">
        <f>'Péréquation directe'!J299/Effort!C293</f>
        <v>19.27808627509641</v>
      </c>
      <c r="I293" s="378">
        <f t="shared" si="12"/>
        <v>3.8819246919960051</v>
      </c>
      <c r="J293" s="225">
        <f t="shared" si="13"/>
        <v>0</v>
      </c>
      <c r="K293" s="42">
        <f t="shared" si="14"/>
        <v>0</v>
      </c>
      <c r="L293" s="239"/>
    </row>
    <row r="294" spans="1:12" x14ac:dyDescent="0.25">
      <c r="A294" s="38">
        <f>Données!A294</f>
        <v>5926</v>
      </c>
      <c r="B294" s="170" t="str">
        <f>Données!B294</f>
        <v>Pomy</v>
      </c>
      <c r="C294" s="351">
        <f>VPI!R294</f>
        <v>27874.142394366198</v>
      </c>
      <c r="D294" s="208">
        <f>(PCS!I300-PCS!F300)/C294</f>
        <v>12.696760564677154</v>
      </c>
      <c r="E294" s="512">
        <f>'Péréquation directe'!E300/C294</f>
        <v>-3.8789438566639305</v>
      </c>
      <c r="F294" s="208">
        <f>'Péréquation directe'!F300/Effort!C294</f>
        <v>-8.8817718466505244</v>
      </c>
      <c r="G294" s="208">
        <f>'Péréquation directe'!G300/Effort!C294</f>
        <v>-1.6150107221640231</v>
      </c>
      <c r="H294" s="208">
        <f>'Péréquation directe'!J300/Effort!C294</f>
        <v>19.27808627509641</v>
      </c>
      <c r="I294" s="378">
        <f t="shared" si="12"/>
        <v>17.599120414295086</v>
      </c>
      <c r="J294" s="225">
        <f t="shared" si="13"/>
        <v>0</v>
      </c>
      <c r="K294" s="42">
        <f t="shared" si="14"/>
        <v>0</v>
      </c>
      <c r="L294" s="239"/>
    </row>
    <row r="295" spans="1:12" x14ac:dyDescent="0.25">
      <c r="A295" s="38">
        <f>Données!A295</f>
        <v>5928</v>
      </c>
      <c r="B295" s="170" t="str">
        <f>Données!B295</f>
        <v>Rovray</v>
      </c>
      <c r="C295" s="351">
        <f>VPI!R295</f>
        <v>5459.4458741258732</v>
      </c>
      <c r="D295" s="208">
        <f>(PCS!I301-PCS!F301)/C295</f>
        <v>12.696760564677154</v>
      </c>
      <c r="E295" s="512">
        <f>'Péréquation directe'!E301/C295</f>
        <v>-4.868438016580571</v>
      </c>
      <c r="F295" s="208">
        <f>'Péréquation directe'!F301/Effort!C295</f>
        <v>-16.514780960604181</v>
      </c>
      <c r="G295" s="208">
        <f>'Péréquation directe'!G301/Effort!C295</f>
        <v>-4.4942730297841669</v>
      </c>
      <c r="H295" s="208">
        <f>'Péréquation directe'!J301/Effort!C295</f>
        <v>19.27808627509641</v>
      </c>
      <c r="I295" s="378">
        <f t="shared" si="12"/>
        <v>6.0973548328046441</v>
      </c>
      <c r="J295" s="225">
        <f t="shared" si="13"/>
        <v>0</v>
      </c>
      <c r="K295" s="42">
        <f t="shared" si="14"/>
        <v>0</v>
      </c>
      <c r="L295" s="239"/>
    </row>
    <row r="296" spans="1:12" x14ac:dyDescent="0.25">
      <c r="A296" s="38">
        <f>Données!A296</f>
        <v>5929</v>
      </c>
      <c r="B296" s="170" t="str">
        <f>Données!B296</f>
        <v>Suchy</v>
      </c>
      <c r="C296" s="351">
        <f>VPI!R296</f>
        <v>20264.63825</v>
      </c>
      <c r="D296" s="208">
        <f>(PCS!I302-PCS!F302)/C296</f>
        <v>12.696760564677154</v>
      </c>
      <c r="E296" s="512">
        <f>'Péréquation directe'!E302/C296</f>
        <v>-4.1767258803253107</v>
      </c>
      <c r="F296" s="208">
        <f>'Péréquation directe'!F302/Effort!C296</f>
        <v>-10.798867150550958</v>
      </c>
      <c r="G296" s="208">
        <f>'Péréquation directe'!G302/Effort!C296</f>
        <v>-1.7397148361382666</v>
      </c>
      <c r="H296" s="208">
        <f>'Péréquation directe'!J302/Effort!C296</f>
        <v>19.27808627509641</v>
      </c>
      <c r="I296" s="378">
        <f t="shared" si="12"/>
        <v>15.259538972759028</v>
      </c>
      <c r="J296" s="225">
        <f t="shared" si="13"/>
        <v>0</v>
      </c>
      <c r="K296" s="42">
        <f t="shared" si="14"/>
        <v>0</v>
      </c>
      <c r="L296" s="239"/>
    </row>
    <row r="297" spans="1:12" x14ac:dyDescent="0.25">
      <c r="A297" s="38">
        <f>Données!A297</f>
        <v>5930</v>
      </c>
      <c r="B297" s="170" t="str">
        <f>Données!B297</f>
        <v>Suscévaz</v>
      </c>
      <c r="C297" s="351">
        <f>VPI!R297</f>
        <v>6661.7480555555558</v>
      </c>
      <c r="D297" s="208">
        <f>(PCS!I303-PCS!F303)/C297</f>
        <v>12.696760564677158</v>
      </c>
      <c r="E297" s="512">
        <f>'Péréquation directe'!E303/C297</f>
        <v>-4.1641009109834748</v>
      </c>
      <c r="F297" s="208">
        <f>'Péréquation directe'!F303/Effort!C297</f>
        <v>-11.327628346669455</v>
      </c>
      <c r="G297" s="208">
        <f>'Péréquation directe'!G303/Effort!C297</f>
        <v>-4.1972392819152029</v>
      </c>
      <c r="H297" s="208">
        <f>'Péréquation directe'!J303/Effort!C297</f>
        <v>19.27808627509641</v>
      </c>
      <c r="I297" s="378">
        <f t="shared" si="12"/>
        <v>12.285878300205436</v>
      </c>
      <c r="J297" s="225">
        <f t="shared" si="13"/>
        <v>0</v>
      </c>
      <c r="K297" s="42">
        <f t="shared" si="14"/>
        <v>0</v>
      </c>
      <c r="L297" s="239"/>
    </row>
    <row r="298" spans="1:12" x14ac:dyDescent="0.25">
      <c r="A298" s="38">
        <f>Données!A298</f>
        <v>5931</v>
      </c>
      <c r="B298" s="170" t="str">
        <f>Données!B298</f>
        <v>Treycovagnes</v>
      </c>
      <c r="C298" s="351">
        <f>VPI!R298</f>
        <v>15269.573333333334</v>
      </c>
      <c r="D298" s="208">
        <f>(PCS!I304-PCS!F304)/C298</f>
        <v>12.696760564677156</v>
      </c>
      <c r="E298" s="512">
        <f>'Péréquation directe'!E304/C298</f>
        <v>-4.1403796691491586</v>
      </c>
      <c r="F298" s="208">
        <f>'Péréquation directe'!F304/Effort!C298</f>
        <v>-12.093234566367205</v>
      </c>
      <c r="G298" s="208">
        <f>'Péréquation directe'!G304/Effort!C298</f>
        <v>-4.0577957646491756</v>
      </c>
      <c r="H298" s="208">
        <f>'Péréquation directe'!J304/Effort!C298</f>
        <v>19.278086275096413</v>
      </c>
      <c r="I298" s="378">
        <f t="shared" si="12"/>
        <v>11.683436839608031</v>
      </c>
      <c r="J298" s="225">
        <f t="shared" si="13"/>
        <v>0</v>
      </c>
      <c r="K298" s="42">
        <f t="shared" si="14"/>
        <v>0</v>
      </c>
      <c r="L298" s="239"/>
    </row>
    <row r="299" spans="1:12" x14ac:dyDescent="0.25">
      <c r="A299" s="38">
        <f>Données!A299</f>
        <v>5932</v>
      </c>
      <c r="B299" s="170" t="str">
        <f>Données!B299</f>
        <v>Ursins</v>
      </c>
      <c r="C299" s="351">
        <f>VPI!R299</f>
        <v>7703.2953333333353</v>
      </c>
      <c r="D299" s="208">
        <f>(PCS!I305-PCS!F305)/C299</f>
        <v>12.696760564677154</v>
      </c>
      <c r="E299" s="512">
        <f>'Péréquation directe'!E305/C299</f>
        <v>-3.818820875643576</v>
      </c>
      <c r="F299" s="208">
        <f>'Péréquation directe'!F305/Effort!C299</f>
        <v>-9.4088088394021767</v>
      </c>
      <c r="G299" s="208">
        <f>'Péréquation directe'!G305/Effort!C299</f>
        <v>-1.0426094486143285</v>
      </c>
      <c r="H299" s="208">
        <f>'Péréquation directe'!J305/Effort!C299</f>
        <v>19.27808627509641</v>
      </c>
      <c r="I299" s="378">
        <f t="shared" si="12"/>
        <v>17.704607676113483</v>
      </c>
      <c r="J299" s="225">
        <f t="shared" si="13"/>
        <v>0</v>
      </c>
      <c r="K299" s="42">
        <f t="shared" si="14"/>
        <v>0</v>
      </c>
      <c r="L299" s="239"/>
    </row>
    <row r="300" spans="1:12" x14ac:dyDescent="0.25">
      <c r="A300" s="38">
        <f>Données!A300</f>
        <v>5933</v>
      </c>
      <c r="B300" s="170" t="str">
        <f>Données!B300</f>
        <v>Valeyres-sous-Montagny</v>
      </c>
      <c r="C300" s="351">
        <f>VPI!R300</f>
        <v>19606.455886524818</v>
      </c>
      <c r="D300" s="208">
        <f>(PCS!I306-PCS!F306)/C300</f>
        <v>12.696760564677152</v>
      </c>
      <c r="E300" s="512">
        <f>'Péréquation directe'!E306/C300</f>
        <v>-4.5867457889546612</v>
      </c>
      <c r="F300" s="208">
        <f>'Péréquation directe'!F306/Effort!C300</f>
        <v>-13.97817416624923</v>
      </c>
      <c r="G300" s="208">
        <f>'Péréquation directe'!G306/Effort!C300</f>
        <v>-22.705616728616405</v>
      </c>
      <c r="H300" s="208">
        <f>'Péréquation directe'!J306/Effort!C300</f>
        <v>19.27808627509641</v>
      </c>
      <c r="I300" s="378">
        <f t="shared" si="12"/>
        <v>-9.2956898440467377</v>
      </c>
      <c r="J300" s="225">
        <f t="shared" si="13"/>
        <v>0</v>
      </c>
      <c r="K300" s="42">
        <f t="shared" si="14"/>
        <v>0</v>
      </c>
      <c r="L300" s="239"/>
    </row>
    <row r="301" spans="1:12" x14ac:dyDescent="0.25">
      <c r="A301" s="38">
        <f>Données!A301</f>
        <v>5934</v>
      </c>
      <c r="B301" s="170" t="str">
        <f>Données!B301</f>
        <v>Valeyres-sous-Ursins</v>
      </c>
      <c r="C301" s="351">
        <f>VPI!R301</f>
        <v>7018.2764935064943</v>
      </c>
      <c r="D301" s="208">
        <f>(PCS!I307-PCS!F307)/C301</f>
        <v>12.696760564677154</v>
      </c>
      <c r="E301" s="512">
        <f>'Péréquation directe'!E307/C301</f>
        <v>-4.5408532724782535</v>
      </c>
      <c r="F301" s="208">
        <f>'Péréquation directe'!F307/Effort!C301</f>
        <v>-16.270708699426002</v>
      </c>
      <c r="G301" s="208">
        <f>'Péréquation directe'!G307/Effort!C301</f>
        <v>-1.0365497336277603</v>
      </c>
      <c r="H301" s="208">
        <f>'Péréquation directe'!J307/Effort!C301</f>
        <v>19.27808627509641</v>
      </c>
      <c r="I301" s="378">
        <f t="shared" si="12"/>
        <v>10.126735134241548</v>
      </c>
      <c r="J301" s="225">
        <f t="shared" si="13"/>
        <v>0</v>
      </c>
      <c r="K301" s="42">
        <f t="shared" si="14"/>
        <v>0</v>
      </c>
      <c r="L301" s="239"/>
    </row>
    <row r="302" spans="1:12" x14ac:dyDescent="0.25">
      <c r="A302" s="38">
        <f>Données!A302</f>
        <v>5935</v>
      </c>
      <c r="B302" s="170" t="str">
        <f>Données!B302</f>
        <v>Villars-Epeney</v>
      </c>
      <c r="C302" s="351">
        <f>VPI!R302</f>
        <v>3448.2056666666667</v>
      </c>
      <c r="D302" s="208">
        <f>(PCS!I308-PCS!F308)/C302</f>
        <v>12.696760564677152</v>
      </c>
      <c r="E302" s="512">
        <f>'Péréquation directe'!E308/C302</f>
        <v>-3.5546875527364956</v>
      </c>
      <c r="F302" s="208">
        <f>'Péréquation directe'!F308/Effort!C302</f>
        <v>-4.6104194505448417</v>
      </c>
      <c r="G302" s="208">
        <f>'Péréquation directe'!G308/Effort!C302</f>
        <v>-2.8707962073414608</v>
      </c>
      <c r="H302" s="208">
        <f>'Péréquation directe'!J308/Effort!C302</f>
        <v>19.27808627509641</v>
      </c>
      <c r="I302" s="378">
        <f t="shared" si="12"/>
        <v>20.938943629150764</v>
      </c>
      <c r="J302" s="225">
        <f t="shared" si="13"/>
        <v>0</v>
      </c>
      <c r="K302" s="42">
        <f t="shared" si="14"/>
        <v>0</v>
      </c>
      <c r="L302" s="239"/>
    </row>
    <row r="303" spans="1:12" x14ac:dyDescent="0.25">
      <c r="A303" s="38">
        <f>Données!A303</f>
        <v>5937</v>
      </c>
      <c r="B303" s="170" t="str">
        <f>Données!B303</f>
        <v>Vugelles-La Mothe</v>
      </c>
      <c r="C303" s="351">
        <f>VPI!R303</f>
        <v>3479.4948775510202</v>
      </c>
      <c r="D303" s="208">
        <f>(PCS!I309-PCS!F309)/C303</f>
        <v>12.696760564677154</v>
      </c>
      <c r="E303" s="512">
        <f>'Péréquation directe'!E309/C303</f>
        <v>-5.1913800472106804</v>
      </c>
      <c r="F303" s="208">
        <f>'Péréquation directe'!F309/Effort!C303</f>
        <v>-18.177613787879732</v>
      </c>
      <c r="G303" s="208">
        <f>'Péréquation directe'!G309/Effort!C303</f>
        <v>-6.1212648174730084</v>
      </c>
      <c r="H303" s="208">
        <f>'Péréquation directe'!J309/Effort!C303</f>
        <v>19.27808627509641</v>
      </c>
      <c r="I303" s="378">
        <f t="shared" si="12"/>
        <v>2.484588187210143</v>
      </c>
      <c r="J303" s="225">
        <f t="shared" si="13"/>
        <v>0</v>
      </c>
      <c r="K303" s="42">
        <f t="shared" si="14"/>
        <v>0</v>
      </c>
      <c r="L303" s="239"/>
    </row>
    <row r="304" spans="1:12" x14ac:dyDescent="0.25">
      <c r="A304" s="38">
        <f>Données!A304</f>
        <v>5938</v>
      </c>
      <c r="B304" s="170" t="str">
        <f>Données!B304</f>
        <v>Yverdon-les-Bains</v>
      </c>
      <c r="C304" s="351">
        <f>VPI!R304</f>
        <v>762594.09693333332</v>
      </c>
      <c r="D304" s="208">
        <f>(PCS!I310-PCS!F310)/C304</f>
        <v>12.696760564677151</v>
      </c>
      <c r="E304" s="512">
        <f>'Péréquation directe'!E310/C304</f>
        <v>-34.136675946061153</v>
      </c>
      <c r="F304" s="208">
        <f>'Péréquation directe'!F310/Effort!C304</f>
        <v>-19.492115408593207</v>
      </c>
      <c r="G304" s="208">
        <f>'Péréquation directe'!G310/Effort!C304</f>
        <v>-12.797020010572068</v>
      </c>
      <c r="H304" s="208">
        <f>'Péréquation directe'!J310/Effort!C304</f>
        <v>19.27808627509641</v>
      </c>
      <c r="I304" s="378">
        <f t="shared" si="12"/>
        <v>-34.450964525452875</v>
      </c>
      <c r="J304" s="225">
        <f t="shared" si="13"/>
        <v>0</v>
      </c>
      <c r="K304" s="42">
        <f t="shared" si="14"/>
        <v>0</v>
      </c>
      <c r="L304" s="239"/>
    </row>
    <row r="305" spans="1:14" x14ac:dyDescent="0.25">
      <c r="A305" s="38">
        <f>Données!A305</f>
        <v>5939</v>
      </c>
      <c r="B305" s="170" t="str">
        <f>Données!B305</f>
        <v>Yvonand</v>
      </c>
      <c r="C305" s="351">
        <f>VPI!R305</f>
        <v>105325.16447552449</v>
      </c>
      <c r="D305" s="210">
        <f>(PCS!I311-PCS!F311)/C305</f>
        <v>12.696760564677156</v>
      </c>
      <c r="E305" s="512">
        <f>'Péréquation directe'!E311/C305</f>
        <v>-10.593867195795015</v>
      </c>
      <c r="F305" s="208">
        <f>'Péréquation directe'!F311/Effort!C305</f>
        <v>-12.218836556170304</v>
      </c>
      <c r="G305" s="208">
        <f>'Péréquation directe'!G311/Effort!C305</f>
        <v>-4.3120501358984287</v>
      </c>
      <c r="H305" s="208">
        <f>'Péréquation directe'!J311/Effort!C305</f>
        <v>19.27808627509641</v>
      </c>
      <c r="I305" s="378">
        <f t="shared" si="12"/>
        <v>4.8500929519098186</v>
      </c>
      <c r="J305" s="225">
        <f t="shared" si="13"/>
        <v>0</v>
      </c>
      <c r="K305" s="42">
        <f t="shared" si="14"/>
        <v>0</v>
      </c>
      <c r="L305" s="239"/>
    </row>
    <row r="306" spans="1:14" x14ac:dyDescent="0.25">
      <c r="A306" s="25"/>
      <c r="B306" s="174">
        <f>COUNTA(B6:B305)</f>
        <v>300</v>
      </c>
      <c r="C306" s="61">
        <f>SUM(C6:C305)</f>
        <v>39490853.970660269</v>
      </c>
      <c r="D306" s="62">
        <f>(PCS!I312-PCS!F312)/C306</f>
        <v>15.781965571522925</v>
      </c>
      <c r="E306" s="62">
        <f>'Péréquation directe'!E312/C306</f>
        <v>-11.528875827775645</v>
      </c>
      <c r="F306" s="62">
        <f>'Péréquation directe'!F312/Effort!C306</f>
        <v>-3.4507660138431371</v>
      </c>
      <c r="G306" s="62">
        <f>'Péréquation directe'!G312/Effort!C306</f>
        <v>-4.4434324756389563</v>
      </c>
      <c r="H306" s="62">
        <f>'Péréquation directe'!J312/Effort!C306</f>
        <v>19.27808627509641</v>
      </c>
      <c r="I306" s="349">
        <f t="shared" ref="I306" si="15">SUM(D306:H306)</f>
        <v>15.636977529361596</v>
      </c>
      <c r="J306" s="425">
        <f t="shared" ref="J306" si="16">IF(I306&gt;J$5,J$5-I306,0)</f>
        <v>0</v>
      </c>
      <c r="K306" s="30">
        <f>SUM(K6:K305)</f>
        <v>-1630827.5930447159</v>
      </c>
      <c r="L306" s="13"/>
      <c r="M306" s="10"/>
      <c r="N306" s="10"/>
    </row>
    <row r="307" spans="1:14" x14ac:dyDescent="0.25">
      <c r="I307" s="5"/>
    </row>
    <row r="310" spans="1:14" x14ac:dyDescent="0.25">
      <c r="H310" s="23"/>
      <c r="I310" s="23"/>
    </row>
    <row r="312" spans="1:14" x14ac:dyDescent="0.25">
      <c r="I312" s="23"/>
    </row>
  </sheetData>
  <mergeCells count="10">
    <mergeCell ref="C4:C5"/>
    <mergeCell ref="B4:B5"/>
    <mergeCell ref="A4:A5"/>
    <mergeCell ref="K4:K5"/>
    <mergeCell ref="I4:I5"/>
    <mergeCell ref="E4:E5"/>
    <mergeCell ref="D4:D5"/>
    <mergeCell ref="F4:F5"/>
    <mergeCell ref="H4:H5"/>
    <mergeCell ref="G4:G5"/>
  </mergeCells>
  <phoneticPr fontId="0" type="noConversion"/>
  <conditionalFormatting sqref="D6:I306">
    <cfRule type="cellIs" dxfId="10" priority="5" operator="lessThan">
      <formula>0</formula>
    </cfRule>
    <cfRule type="cellIs" dxfId="9" priority="6" operator="greaterThan">
      <formula>0</formula>
    </cfRule>
  </conditionalFormatting>
  <conditionalFormatting sqref="J5">
    <cfRule type="cellIs" dxfId="8" priority="1" operator="lessThan">
      <formula>0</formula>
    </cfRule>
    <cfRule type="cellIs" dxfId="7" priority="2" operator="greaterThan">
      <formula>0</formula>
    </cfRule>
  </conditionalFormatting>
  <hyperlinks>
    <hyperlink ref="C1" location="DT!A1" display="← Précédent" xr:uid="{0324FF71-E272-4507-A06C-68FB6D7F6A39}"/>
    <hyperlink ref="E1" location="Aide!A1" display="Suivant →" xr:uid="{714C2376-5506-440A-A3BB-74D004A26952}"/>
    <hyperlink ref="D1" location="'Table des matières'!A1" display="Table des             matières" xr:uid="{F4DD9665-E693-4988-9116-9650F129F802}"/>
  </hyperlinks>
  <printOptions horizontalCentered="1"/>
  <pageMargins left="0" right="0" top="0" bottom="0" header="0.51181102362204722" footer="0.51181102362204722"/>
  <pageSetup paperSize="9" scale="64" orientation="portrait" horizontalDpi="4294967292" verticalDpi="4294967292" r:id="rId1"/>
  <headerFooter alignWithMargins="0"/>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Feuil14">
    <tabColor theme="6" tint="0.39997558519241921"/>
  </sheetPr>
  <dimension ref="A1:Y308"/>
  <sheetViews>
    <sheetView workbookViewId="0">
      <pane ySplit="5" topLeftCell="A6" activePane="bottomLeft" state="frozen"/>
      <selection pane="bottomLeft" activeCell="A6" sqref="A6"/>
    </sheetView>
  </sheetViews>
  <sheetFormatPr baseColWidth="10" defaultColWidth="10.75" defaultRowHeight="15" x14ac:dyDescent="0.25"/>
  <cols>
    <col min="1" max="1" width="7.25" style="11" customWidth="1"/>
    <col min="2" max="2" width="22.75" style="11" customWidth="1"/>
    <col min="3" max="3" width="16" style="11" customWidth="1"/>
    <col min="4" max="4" width="13.375" style="11" customWidth="1"/>
    <col min="5" max="6" width="13" style="11" customWidth="1"/>
    <col min="7" max="7" width="24.375" style="11" customWidth="1"/>
    <col min="8" max="8" width="9.875" style="11" bestFit="1" customWidth="1"/>
    <col min="9" max="9" width="10" style="11" customWidth="1"/>
    <col min="10" max="10" width="12.875" style="11" customWidth="1"/>
    <col min="11" max="14" width="12.125" style="11" customWidth="1"/>
    <col min="15" max="17" width="8.125" style="11" customWidth="1"/>
    <col min="18" max="16384" width="10.75" style="11"/>
  </cols>
  <sheetData>
    <row r="1" spans="1:25" s="294" customFormat="1" ht="26.25" x14ac:dyDescent="0.4">
      <c r="A1" s="281" t="s">
        <v>403</v>
      </c>
      <c r="B1" s="286"/>
      <c r="C1" s="411" t="s">
        <v>406</v>
      </c>
      <c r="D1" s="305" t="s">
        <v>398</v>
      </c>
      <c r="E1" s="503" t="s">
        <v>407</v>
      </c>
      <c r="G1" s="290"/>
      <c r="H1" s="290"/>
      <c r="I1" s="290"/>
      <c r="J1" s="290"/>
      <c r="L1" s="297"/>
      <c r="N1" s="288"/>
      <c r="O1" s="288"/>
      <c r="P1" s="288"/>
      <c r="Q1" s="288"/>
      <c r="R1" s="288"/>
      <c r="Y1" s="288"/>
    </row>
    <row r="2" spans="1:25" s="33" customFormat="1" ht="15.75" x14ac:dyDescent="0.25">
      <c r="A2" s="358" t="str">
        <f>Paramètres!B4</f>
        <v>Acomptes 2023</v>
      </c>
      <c r="B2" s="32"/>
      <c r="C2" s="221"/>
      <c r="D2" s="221"/>
      <c r="E2" s="221"/>
      <c r="F2" s="221"/>
      <c r="G2" s="221"/>
      <c r="H2" s="221"/>
      <c r="I2" s="221"/>
      <c r="J2" s="221"/>
      <c r="L2" s="43"/>
      <c r="N2" s="219"/>
      <c r="O2" s="219"/>
      <c r="P2" s="219"/>
      <c r="Q2" s="219"/>
      <c r="R2" s="219"/>
      <c r="Y2" s="219"/>
    </row>
    <row r="4" spans="1:25" ht="45" customHeight="1" x14ac:dyDescent="0.25">
      <c r="A4" s="666" t="s">
        <v>44</v>
      </c>
      <c r="B4" s="666" t="s">
        <v>84</v>
      </c>
      <c r="C4" s="666" t="s">
        <v>414</v>
      </c>
      <c r="D4" s="666" t="s">
        <v>436</v>
      </c>
      <c r="E4" s="500" t="s">
        <v>428</v>
      </c>
      <c r="F4" s="501" t="s">
        <v>508</v>
      </c>
      <c r="G4" s="666" t="s">
        <v>539</v>
      </c>
      <c r="H4" s="500" t="s">
        <v>434</v>
      </c>
      <c r="I4" s="666" t="s">
        <v>440</v>
      </c>
    </row>
    <row r="5" spans="1:25" x14ac:dyDescent="0.25">
      <c r="A5" s="667"/>
      <c r="B5" s="668"/>
      <c r="C5" s="667"/>
      <c r="D5" s="667"/>
      <c r="E5" s="513" t="s">
        <v>494</v>
      </c>
      <c r="F5" s="476" t="s">
        <v>495</v>
      </c>
      <c r="G5" s="668"/>
      <c r="H5" s="349">
        <f>-Paramètres!B45</f>
        <v>-8</v>
      </c>
      <c r="I5" s="667"/>
    </row>
    <row r="6" spans="1:25" x14ac:dyDescent="0.25">
      <c r="A6" s="36">
        <f>Données!A6</f>
        <v>5401</v>
      </c>
      <c r="B6" s="170" t="str">
        <f>Données!B6</f>
        <v>Aigle</v>
      </c>
      <c r="C6" s="350">
        <f>VPI!R6</f>
        <v>280916.50972222222</v>
      </c>
      <c r="D6" s="209">
        <f>Effort!I6-IF(PCS!I12&lt;0, Effort!D6, 0)</f>
        <v>-18.384056459280121</v>
      </c>
      <c r="E6" s="511">
        <f>IF(PCS!I12&lt;0, 0, PCS!F12/Aide!C6)</f>
        <v>5.2026297651397382</v>
      </c>
      <c r="F6" s="511">
        <f>Effort!G6</f>
        <v>-14.375932597796812</v>
      </c>
      <c r="G6" s="426">
        <f>D6+E6-F6</f>
        <v>1.1945059036564292</v>
      </c>
      <c r="H6" s="225">
        <f>IF(G6&lt;H$5,G6-H$5,0)</f>
        <v>0</v>
      </c>
      <c r="I6" s="64">
        <f t="shared" ref="I6" si="0">-H6*C6</f>
        <v>0</v>
      </c>
      <c r="J6" s="29"/>
    </row>
    <row r="7" spans="1:25" x14ac:dyDescent="0.25">
      <c r="A7" s="38">
        <f>Données!A7</f>
        <v>5402</v>
      </c>
      <c r="B7" s="170" t="str">
        <f>Données!B7</f>
        <v>Bex</v>
      </c>
      <c r="C7" s="351">
        <f>VPI!R7</f>
        <v>192666.65084507043</v>
      </c>
      <c r="D7" s="208">
        <f>Effort!I7-IF(PCS!I13&lt;0, Effort!D7, 0)</f>
        <v>-19.44535630343562</v>
      </c>
      <c r="E7" s="512">
        <f>IF(PCS!I13&lt;0, 0, PCS!F13/Aide!C7)</f>
        <v>4.677586214568584</v>
      </c>
      <c r="F7" s="512">
        <f>Effort!G7</f>
        <v>-11.538678837488368</v>
      </c>
      <c r="G7" s="378">
        <f t="shared" ref="G7:G70" si="1">D7+E7-F7</f>
        <v>-3.2290912513786676</v>
      </c>
      <c r="H7" s="225">
        <f t="shared" ref="H7:H70" si="2">IF(G7&lt;H$5,G7-H$5,0)</f>
        <v>0</v>
      </c>
      <c r="I7" s="42">
        <f t="shared" ref="I7:I70" si="3">-H7*C7</f>
        <v>0</v>
      </c>
      <c r="J7" s="29"/>
    </row>
    <row r="8" spans="1:25" x14ac:dyDescent="0.25">
      <c r="A8" s="38">
        <f>Données!A8</f>
        <v>5403</v>
      </c>
      <c r="B8" s="170" t="str">
        <f>Données!B8</f>
        <v>Chessel</v>
      </c>
      <c r="C8" s="351">
        <f>VPI!R8</f>
        <v>12085.365135135135</v>
      </c>
      <c r="D8" s="208">
        <f>Effort!I8-IF(PCS!I14&lt;0, Effort!D8, 0)</f>
        <v>3.9139458703367769</v>
      </c>
      <c r="E8" s="512">
        <f>IF(PCS!I14&lt;0, 0, PCS!F14/Aide!C8)</f>
        <v>3.3556350632799092</v>
      </c>
      <c r="F8" s="512">
        <f>Effort!G8</f>
        <v>-1.5089305076627075</v>
      </c>
      <c r="G8" s="378">
        <f t="shared" si="1"/>
        <v>8.7785114412793934</v>
      </c>
      <c r="H8" s="225">
        <f t="shared" si="2"/>
        <v>0</v>
      </c>
      <c r="I8" s="42">
        <f t="shared" si="3"/>
        <v>0</v>
      </c>
      <c r="J8" s="29"/>
    </row>
    <row r="9" spans="1:25" x14ac:dyDescent="0.25">
      <c r="A9" s="38">
        <f>Données!A9</f>
        <v>5404</v>
      </c>
      <c r="B9" s="170" t="str">
        <f>Données!B9</f>
        <v>Corbeyrier</v>
      </c>
      <c r="C9" s="351">
        <f>VPI!R9</f>
        <v>11580.799189189189</v>
      </c>
      <c r="D9" s="208">
        <f>Effort!I9-IF(PCS!I15&lt;0, Effort!D9, 0)</f>
        <v>-5.5575645342913731</v>
      </c>
      <c r="E9" s="512">
        <f>IF(PCS!I15&lt;0, 0, PCS!F15/Aide!C9)</f>
        <v>4.7275476506931078</v>
      </c>
      <c r="F9" s="512">
        <f>Effort!G9</f>
        <v>-14.768268811070479</v>
      </c>
      <c r="G9" s="378">
        <f t="shared" si="1"/>
        <v>13.938251927472214</v>
      </c>
      <c r="H9" s="225">
        <f t="shared" si="2"/>
        <v>0</v>
      </c>
      <c r="I9" s="42">
        <f t="shared" si="3"/>
        <v>0</v>
      </c>
      <c r="J9" s="29"/>
    </row>
    <row r="10" spans="1:25" x14ac:dyDescent="0.25">
      <c r="A10" s="38">
        <f>Données!A10</f>
        <v>5405</v>
      </c>
      <c r="B10" s="170" t="str">
        <f>Données!B10</f>
        <v>Gryon</v>
      </c>
      <c r="C10" s="351">
        <f>VPI!R10</f>
        <v>78106.688299319736</v>
      </c>
      <c r="D10" s="208">
        <f>Effort!I10-IF(PCS!I16&lt;0, Effort!D10, 0)</f>
        <v>19.476994790451457</v>
      </c>
      <c r="E10" s="512">
        <f>IF(PCS!I16&lt;0, 0, PCS!F16/Aide!C10)</f>
        <v>9.3201544688502711</v>
      </c>
      <c r="F10" s="512">
        <f>Effort!G10</f>
        <v>-11.311849720451873</v>
      </c>
      <c r="G10" s="378">
        <f t="shared" si="1"/>
        <v>40.108998979753601</v>
      </c>
      <c r="H10" s="225">
        <f t="shared" si="2"/>
        <v>0</v>
      </c>
      <c r="I10" s="42">
        <f t="shared" si="3"/>
        <v>0</v>
      </c>
      <c r="J10" s="29"/>
    </row>
    <row r="11" spans="1:25" x14ac:dyDescent="0.25">
      <c r="A11" s="38">
        <f>Données!A11</f>
        <v>5406</v>
      </c>
      <c r="B11" s="170" t="str">
        <f>Données!B11</f>
        <v>Lavey-Morcles</v>
      </c>
      <c r="C11" s="351">
        <f>VPI!R11</f>
        <v>21511.827778375475</v>
      </c>
      <c r="D11" s="208">
        <f>Effort!I11-IF(PCS!I17&lt;0, Effort!D11, 0)</f>
        <v>-4.8938160570209028</v>
      </c>
      <c r="E11" s="512">
        <f>IF(PCS!I17&lt;0, 0, PCS!F17/Aide!C11)</f>
        <v>2.3513906173443666</v>
      </c>
      <c r="F11" s="512">
        <f>Effort!G11</f>
        <v>-7.5383544810990211</v>
      </c>
      <c r="G11" s="378">
        <f t="shared" si="1"/>
        <v>4.9959290414224853</v>
      </c>
      <c r="H11" s="225">
        <f t="shared" si="2"/>
        <v>0</v>
      </c>
      <c r="I11" s="42">
        <f t="shared" si="3"/>
        <v>0</v>
      </c>
      <c r="J11" s="29"/>
    </row>
    <row r="12" spans="1:25" x14ac:dyDescent="0.25">
      <c r="A12" s="38">
        <f>Données!A12</f>
        <v>5407</v>
      </c>
      <c r="B12" s="170" t="str">
        <f>Données!B12</f>
        <v>Leysin</v>
      </c>
      <c r="C12" s="351">
        <f>VPI!R12</f>
        <v>90677.609059829061</v>
      </c>
      <c r="D12" s="208">
        <f>Effort!I12-IF(PCS!I18&lt;0, Effort!D12, 0)</f>
        <v>-26.03879677180409</v>
      </c>
      <c r="E12" s="512">
        <f>IF(PCS!I18&lt;0, 0, PCS!F18/Aide!C12)</f>
        <v>6.3615338006915838</v>
      </c>
      <c r="F12" s="512">
        <f>Effort!G12</f>
        <v>-22.574623548968251</v>
      </c>
      <c r="G12" s="378">
        <f t="shared" si="1"/>
        <v>2.8973605778557463</v>
      </c>
      <c r="H12" s="225">
        <f t="shared" si="2"/>
        <v>0</v>
      </c>
      <c r="I12" s="42">
        <f t="shared" si="3"/>
        <v>0</v>
      </c>
      <c r="J12" s="29"/>
    </row>
    <row r="13" spans="1:25" x14ac:dyDescent="0.25">
      <c r="A13" s="38">
        <f>Données!A13</f>
        <v>5408</v>
      </c>
      <c r="B13" s="170" t="str">
        <f>Données!B13</f>
        <v>Noville</v>
      </c>
      <c r="C13" s="351">
        <f>VPI!R13</f>
        <v>41378.888492569007</v>
      </c>
      <c r="D13" s="208">
        <f>Effort!I13-IF(PCS!I19&lt;0, Effort!D13, 0)</f>
        <v>11.530629280488386</v>
      </c>
      <c r="E13" s="512">
        <f>IF(PCS!I19&lt;0, 0, PCS!F19/Aide!C13)</f>
        <v>6.386930863245909</v>
      </c>
      <c r="F13" s="512">
        <f>Effort!G13</f>
        <v>-7.1321334000587768</v>
      </c>
      <c r="G13" s="378">
        <f t="shared" si="1"/>
        <v>25.049693543793072</v>
      </c>
      <c r="H13" s="225">
        <f t="shared" si="2"/>
        <v>0</v>
      </c>
      <c r="I13" s="42">
        <f t="shared" si="3"/>
        <v>0</v>
      </c>
      <c r="J13" s="29"/>
    </row>
    <row r="14" spans="1:25" x14ac:dyDescent="0.25">
      <c r="A14" s="38">
        <f>Données!A14</f>
        <v>5409</v>
      </c>
      <c r="B14" s="170" t="str">
        <f>Données!B14</f>
        <v>Ollon</v>
      </c>
      <c r="C14" s="351">
        <f>VPI!R14</f>
        <v>428223.81707013579</v>
      </c>
      <c r="D14" s="208">
        <f>Effort!I14-IF(PCS!I20&lt;0, Effort!D14, 0)</f>
        <v>16.644660291874423</v>
      </c>
      <c r="E14" s="512">
        <f>IF(PCS!I20&lt;0, 0, PCS!F20/Aide!C14)</f>
        <v>4.51406469688117</v>
      </c>
      <c r="F14" s="512">
        <f>Effort!G14</f>
        <v>-8.2990199122776147</v>
      </c>
      <c r="G14" s="378">
        <f t="shared" si="1"/>
        <v>29.457744901033209</v>
      </c>
      <c r="H14" s="225">
        <f t="shared" si="2"/>
        <v>0</v>
      </c>
      <c r="I14" s="42">
        <f t="shared" si="3"/>
        <v>0</v>
      </c>
      <c r="J14" s="29"/>
    </row>
    <row r="15" spans="1:25" x14ac:dyDescent="0.25">
      <c r="A15" s="38">
        <f>Données!A15</f>
        <v>5410</v>
      </c>
      <c r="B15" s="170" t="str">
        <f>Données!B15</f>
        <v>Ormont-Dessous</v>
      </c>
      <c r="C15" s="351">
        <f>VPI!R15</f>
        <v>38612.897532467534</v>
      </c>
      <c r="D15" s="208">
        <f>Effort!I15-IF(PCS!I21&lt;0, Effort!D15, 0)</f>
        <v>-17.076325284290352</v>
      </c>
      <c r="E15" s="512">
        <f>IF(PCS!I21&lt;0, 0, PCS!F21/Aide!C15)</f>
        <v>8.5227843811329169</v>
      </c>
      <c r="F15" s="512">
        <f>Effort!G15</f>
        <v>-33.713746567743122</v>
      </c>
      <c r="G15" s="378">
        <f t="shared" si="1"/>
        <v>25.160205664585689</v>
      </c>
      <c r="H15" s="225">
        <f t="shared" si="2"/>
        <v>0</v>
      </c>
      <c r="I15" s="42">
        <f t="shared" si="3"/>
        <v>0</v>
      </c>
      <c r="J15" s="29"/>
    </row>
    <row r="16" spans="1:25" x14ac:dyDescent="0.25">
      <c r="A16" s="38">
        <f>Données!A16</f>
        <v>5411</v>
      </c>
      <c r="B16" s="170" t="str">
        <f>Données!B16</f>
        <v>Ormont-Dessus</v>
      </c>
      <c r="C16" s="351">
        <f>VPI!R16</f>
        <v>77406.69241228071</v>
      </c>
      <c r="D16" s="208">
        <f>Effort!I16-IF(PCS!I22&lt;0, Effort!D16, 0)</f>
        <v>17.382986561832897</v>
      </c>
      <c r="E16" s="512">
        <f>IF(PCS!I22&lt;0, 0, PCS!F22/Aide!C16)</f>
        <v>6.6582923121803796</v>
      </c>
      <c r="F16" s="512">
        <f>Effort!G16</f>
        <v>-12.36282414859107</v>
      </c>
      <c r="G16" s="378">
        <f t="shared" si="1"/>
        <v>36.404103022604346</v>
      </c>
      <c r="H16" s="225">
        <f t="shared" si="2"/>
        <v>0</v>
      </c>
      <c r="I16" s="42">
        <f t="shared" si="3"/>
        <v>0</v>
      </c>
      <c r="J16" s="29"/>
    </row>
    <row r="17" spans="1:10" x14ac:dyDescent="0.25">
      <c r="A17" s="38">
        <f>Données!A17</f>
        <v>5412</v>
      </c>
      <c r="B17" s="170" t="str">
        <f>Données!B17</f>
        <v>Rennaz</v>
      </c>
      <c r="C17" s="351">
        <f>VPI!R17</f>
        <v>28866.898550724636</v>
      </c>
      <c r="D17" s="208">
        <f>Effort!I17-IF(PCS!I23&lt;0, Effort!D17, 0)</f>
        <v>15.976299113300902</v>
      </c>
      <c r="E17" s="512">
        <f>IF(PCS!I23&lt;0, 0, PCS!F23/Aide!C17)</f>
        <v>11.889922271936765</v>
      </c>
      <c r="F17" s="512">
        <f>Effort!G17</f>
        <v>-3.1848393626720548</v>
      </c>
      <c r="G17" s="378">
        <f t="shared" si="1"/>
        <v>31.05106074790972</v>
      </c>
      <c r="H17" s="225">
        <f t="shared" si="2"/>
        <v>0</v>
      </c>
      <c r="I17" s="42">
        <f t="shared" si="3"/>
        <v>0</v>
      </c>
      <c r="J17" s="29"/>
    </row>
    <row r="18" spans="1:10" x14ac:dyDescent="0.25">
      <c r="A18" s="38">
        <f>Données!A18</f>
        <v>5413</v>
      </c>
      <c r="B18" s="170" t="str">
        <f>Données!B18</f>
        <v>Roche</v>
      </c>
      <c r="C18" s="351">
        <f>VPI!R18</f>
        <v>43141.688749999994</v>
      </c>
      <c r="D18" s="208">
        <f>Effort!I18-IF(PCS!I24&lt;0, Effort!D18, 0)</f>
        <v>-0.19829719831691861</v>
      </c>
      <c r="E18" s="512">
        <f>IF(PCS!I24&lt;0, 0, PCS!F24/Aide!C18)</f>
        <v>11.617624379620514</v>
      </c>
      <c r="F18" s="512">
        <f>Effort!G18</f>
        <v>-1.8742049707082931</v>
      </c>
      <c r="G18" s="378">
        <f t="shared" si="1"/>
        <v>13.293532152011888</v>
      </c>
      <c r="H18" s="225">
        <f t="shared" si="2"/>
        <v>0</v>
      </c>
      <c r="I18" s="42">
        <f t="shared" si="3"/>
        <v>0</v>
      </c>
      <c r="J18" s="29"/>
    </row>
    <row r="19" spans="1:10" x14ac:dyDescent="0.25">
      <c r="A19" s="38">
        <f>Données!A19</f>
        <v>5414</v>
      </c>
      <c r="B19" s="170" t="str">
        <f>Données!B19</f>
        <v>Villeneuve</v>
      </c>
      <c r="C19" s="351">
        <f>VPI!R19</f>
        <v>185623.95377777779</v>
      </c>
      <c r="D19" s="208">
        <f>Effort!I19-IF(PCS!I25&lt;0, Effort!D19, 0)</f>
        <v>-3.488722896610529</v>
      </c>
      <c r="E19" s="512">
        <f>IF(PCS!I25&lt;0, 0, PCS!F25/Aide!C19)</f>
        <v>6.9585743041889394</v>
      </c>
      <c r="F19" s="512">
        <f>Effort!G19</f>
        <v>-12.614638436175392</v>
      </c>
      <c r="G19" s="378">
        <f t="shared" si="1"/>
        <v>16.084489843753801</v>
      </c>
      <c r="H19" s="225">
        <f t="shared" si="2"/>
        <v>0</v>
      </c>
      <c r="I19" s="42">
        <f t="shared" si="3"/>
        <v>0</v>
      </c>
      <c r="J19" s="29"/>
    </row>
    <row r="20" spans="1:10" x14ac:dyDescent="0.25">
      <c r="A20" s="38">
        <f>Données!A20</f>
        <v>5415</v>
      </c>
      <c r="B20" s="170" t="str">
        <f>Données!B20</f>
        <v>Yvorne</v>
      </c>
      <c r="C20" s="351">
        <f>VPI!R20</f>
        <v>35904.669044289032</v>
      </c>
      <c r="D20" s="208">
        <f>Effort!I20-IF(PCS!I26&lt;0, Effort!D20, 0)</f>
        <v>13.87626204160812</v>
      </c>
      <c r="E20" s="512">
        <f>IF(PCS!I26&lt;0, 0, PCS!F26/Aide!C20)</f>
        <v>7.9055819912967147</v>
      </c>
      <c r="F20" s="512">
        <f>Effort!G20</f>
        <v>-6.2449115928200856</v>
      </c>
      <c r="G20" s="378">
        <f t="shared" si="1"/>
        <v>28.02675562572492</v>
      </c>
      <c r="H20" s="225">
        <f t="shared" si="2"/>
        <v>0</v>
      </c>
      <c r="I20" s="42">
        <f t="shared" si="3"/>
        <v>0</v>
      </c>
      <c r="J20" s="29"/>
    </row>
    <row r="21" spans="1:10" x14ac:dyDescent="0.25">
      <c r="A21" s="38">
        <f>Données!A21</f>
        <v>5422</v>
      </c>
      <c r="B21" s="170" t="str">
        <f>Données!B21</f>
        <v>Aubonne</v>
      </c>
      <c r="C21" s="351">
        <f>VPI!R21</f>
        <v>307027.61800000002</v>
      </c>
      <c r="D21" s="208">
        <f>Effort!I21-IF(PCS!I27&lt;0, Effort!D21, 0)</f>
        <v>36.468066841771545</v>
      </c>
      <c r="E21" s="512">
        <f>IF(PCS!I27&lt;0, 0, PCS!F27/Aide!C21)</f>
        <v>3.3238009715464751</v>
      </c>
      <c r="F21" s="512">
        <f>Effort!G21</f>
        <v>0</v>
      </c>
      <c r="G21" s="378">
        <f t="shared" si="1"/>
        <v>39.791867813318021</v>
      </c>
      <c r="H21" s="225">
        <f t="shared" si="2"/>
        <v>0</v>
      </c>
      <c r="I21" s="42">
        <f t="shared" si="3"/>
        <v>0</v>
      </c>
      <c r="J21" s="29"/>
    </row>
    <row r="22" spans="1:10" x14ac:dyDescent="0.25">
      <c r="A22" s="38">
        <f>Données!A22</f>
        <v>5423</v>
      </c>
      <c r="B22" s="170" t="str">
        <f>Données!B22</f>
        <v>Ballens</v>
      </c>
      <c r="C22" s="351">
        <f>VPI!R22</f>
        <v>16194.081232876708</v>
      </c>
      <c r="D22" s="208">
        <f>Effort!I22-IF(PCS!I28&lt;0, Effort!D22, 0)</f>
        <v>7.8925233273366349</v>
      </c>
      <c r="E22" s="512">
        <f>IF(PCS!I28&lt;0, 0, PCS!F28/Aide!C22)</f>
        <v>4.9432276427935253</v>
      </c>
      <c r="F22" s="512">
        <f>Effort!G22</f>
        <v>-5.1254073268592251</v>
      </c>
      <c r="G22" s="378">
        <f t="shared" si="1"/>
        <v>17.961158296989385</v>
      </c>
      <c r="H22" s="225">
        <f t="shared" si="2"/>
        <v>0</v>
      </c>
      <c r="I22" s="42">
        <f t="shared" si="3"/>
        <v>0</v>
      </c>
      <c r="J22" s="29"/>
    </row>
    <row r="23" spans="1:10" x14ac:dyDescent="0.25">
      <c r="A23" s="38">
        <f>Données!A23</f>
        <v>5424</v>
      </c>
      <c r="B23" s="170" t="str">
        <f>Données!B23</f>
        <v>Berolle</v>
      </c>
      <c r="C23" s="351">
        <f>VPI!R23</f>
        <v>8301.7307284768212</v>
      </c>
      <c r="D23" s="208">
        <f>Effort!I23-IF(PCS!I29&lt;0, Effort!D23, 0)</f>
        <v>0.46155823895440662</v>
      </c>
      <c r="E23" s="512">
        <f>IF(PCS!I29&lt;0, 0, PCS!F29/Aide!C23)</f>
        <v>1.9013475040639016</v>
      </c>
      <c r="F23" s="512">
        <f>Effort!G23</f>
        <v>-9.0020466848475085</v>
      </c>
      <c r="G23" s="378">
        <f t="shared" si="1"/>
        <v>11.364952427865816</v>
      </c>
      <c r="H23" s="225">
        <f t="shared" si="2"/>
        <v>0</v>
      </c>
      <c r="I23" s="42">
        <f t="shared" si="3"/>
        <v>0</v>
      </c>
      <c r="J23" s="29"/>
    </row>
    <row r="24" spans="1:10" x14ac:dyDescent="0.25">
      <c r="A24" s="38">
        <f>Données!A24</f>
        <v>5425</v>
      </c>
      <c r="B24" s="170" t="str">
        <f>Données!B24</f>
        <v>Bière</v>
      </c>
      <c r="C24" s="351">
        <f>VPI!R24</f>
        <v>44215.914072963518</v>
      </c>
      <c r="D24" s="208">
        <f>Effort!I24-IF(PCS!I30&lt;0, Effort!D24, 0)</f>
        <v>-7.6711888709118057</v>
      </c>
      <c r="E24" s="512">
        <f>IF(PCS!I30&lt;0, 0, PCS!F30/Aide!C24)</f>
        <v>3.6884924448440581</v>
      </c>
      <c r="F24" s="512">
        <f>Effort!G24</f>
        <v>-16.876826944617804</v>
      </c>
      <c r="G24" s="378">
        <f t="shared" si="1"/>
        <v>12.894130518550057</v>
      </c>
      <c r="H24" s="225">
        <f t="shared" si="2"/>
        <v>0</v>
      </c>
      <c r="I24" s="42">
        <f t="shared" si="3"/>
        <v>0</v>
      </c>
      <c r="J24" s="29"/>
    </row>
    <row r="25" spans="1:10" x14ac:dyDescent="0.25">
      <c r="A25" s="38">
        <f>Données!A25</f>
        <v>5426</v>
      </c>
      <c r="B25" s="170" t="str">
        <f>Données!B25</f>
        <v>Bougy-Villars</v>
      </c>
      <c r="C25" s="351">
        <f>VPI!R25</f>
        <v>53043.343074935401</v>
      </c>
      <c r="D25" s="208">
        <f>Effort!I25-IF(PCS!I31&lt;0, Effort!D25, 0)</f>
        <v>43.60737895001273</v>
      </c>
      <c r="E25" s="512">
        <f>IF(PCS!I31&lt;0, 0, PCS!F31/Aide!C25)</f>
        <v>2.974518683279507</v>
      </c>
      <c r="F25" s="512">
        <f>Effort!G25</f>
        <v>0</v>
      </c>
      <c r="G25" s="378">
        <f t="shared" si="1"/>
        <v>46.581897633292236</v>
      </c>
      <c r="H25" s="225">
        <f t="shared" si="2"/>
        <v>0</v>
      </c>
      <c r="I25" s="42">
        <f t="shared" si="3"/>
        <v>0</v>
      </c>
      <c r="J25" s="29"/>
    </row>
    <row r="26" spans="1:10" x14ac:dyDescent="0.25">
      <c r="A26" s="38">
        <f>Données!A26</f>
        <v>5427</v>
      </c>
      <c r="B26" s="170" t="str">
        <f>Données!B26</f>
        <v>Féchy</v>
      </c>
      <c r="C26" s="351">
        <f>VPI!R26</f>
        <v>88211.829663461554</v>
      </c>
      <c r="D26" s="208">
        <f>Effort!I26-IF(PCS!I32&lt;0, Effort!D26, 0)</f>
        <v>41.861543949471631</v>
      </c>
      <c r="E26" s="512">
        <f>IF(PCS!I32&lt;0, 0, PCS!F32/Aide!C26)</f>
        <v>2.4562368315748371</v>
      </c>
      <c r="F26" s="512">
        <f>Effort!G26</f>
        <v>0</v>
      </c>
      <c r="G26" s="378">
        <f t="shared" si="1"/>
        <v>44.317780781046466</v>
      </c>
      <c r="H26" s="225">
        <f t="shared" si="2"/>
        <v>0</v>
      </c>
      <c r="I26" s="42">
        <f t="shared" si="3"/>
        <v>0</v>
      </c>
      <c r="J26" s="29"/>
    </row>
    <row r="27" spans="1:10" x14ac:dyDescent="0.25">
      <c r="A27" s="38">
        <f>Données!A27</f>
        <v>5428</v>
      </c>
      <c r="B27" s="170" t="str">
        <f>Données!B27</f>
        <v>Gimel</v>
      </c>
      <c r="C27" s="351">
        <f>VPI!R27</f>
        <v>70557.620626398202</v>
      </c>
      <c r="D27" s="208">
        <f>Effort!I27-IF(PCS!I33&lt;0, Effort!D27, 0)</f>
        <v>0.90982112893546585</v>
      </c>
      <c r="E27" s="512">
        <f>IF(PCS!I33&lt;0, 0, PCS!F33/Aide!C27)</f>
        <v>5.9548097890761875</v>
      </c>
      <c r="F27" s="512">
        <f>Effort!G27</f>
        <v>-8.0495743157092488</v>
      </c>
      <c r="G27" s="378">
        <f t="shared" si="1"/>
        <v>14.914205233720903</v>
      </c>
      <c r="H27" s="225">
        <f t="shared" si="2"/>
        <v>0</v>
      </c>
      <c r="I27" s="42">
        <f t="shared" si="3"/>
        <v>0</v>
      </c>
      <c r="J27" s="29"/>
    </row>
    <row r="28" spans="1:10" x14ac:dyDescent="0.25">
      <c r="A28" s="38">
        <f>Données!A28</f>
        <v>5429</v>
      </c>
      <c r="B28" s="170" t="str">
        <f>Données!B28</f>
        <v>Longirod</v>
      </c>
      <c r="C28" s="351">
        <f>VPI!R28</f>
        <v>18573.92709677419</v>
      </c>
      <c r="D28" s="208">
        <f>Effort!I28-IF(PCS!I34&lt;0, Effort!D28, 0)</f>
        <v>15.354913127420261</v>
      </c>
      <c r="E28" s="512">
        <f>IF(PCS!I34&lt;0, 0, PCS!F34/Aide!C28)</f>
        <v>5.1043753163253101</v>
      </c>
      <c r="F28" s="512">
        <f>Effort!G28</f>
        <v>-4.8031303036754247</v>
      </c>
      <c r="G28" s="378">
        <f t="shared" si="1"/>
        <v>25.262418747420995</v>
      </c>
      <c r="H28" s="225">
        <f t="shared" si="2"/>
        <v>0</v>
      </c>
      <c r="I28" s="42">
        <f t="shared" si="3"/>
        <v>0</v>
      </c>
      <c r="J28" s="29"/>
    </row>
    <row r="29" spans="1:10" x14ac:dyDescent="0.25">
      <c r="A29" s="38">
        <f>Données!A29</f>
        <v>5430</v>
      </c>
      <c r="B29" s="170" t="str">
        <f>Données!B29</f>
        <v>Marchissy</v>
      </c>
      <c r="C29" s="351">
        <f>VPI!R29</f>
        <v>15580.605290322583</v>
      </c>
      <c r="D29" s="208">
        <f>Effort!I29-IF(PCS!I35&lt;0, Effort!D29, 0)</f>
        <v>12.272869258567152</v>
      </c>
      <c r="E29" s="512">
        <f>IF(PCS!I35&lt;0, 0, PCS!F35/Aide!C29)</f>
        <v>3.0669883556886286</v>
      </c>
      <c r="F29" s="512">
        <f>Effort!G29</f>
        <v>-3.878627763941854</v>
      </c>
      <c r="G29" s="378">
        <f t="shared" si="1"/>
        <v>19.218485378197634</v>
      </c>
      <c r="H29" s="225">
        <f t="shared" si="2"/>
        <v>0</v>
      </c>
      <c r="I29" s="42">
        <f t="shared" si="3"/>
        <v>0</v>
      </c>
      <c r="J29" s="29"/>
    </row>
    <row r="30" spans="1:10" x14ac:dyDescent="0.25">
      <c r="A30" s="38">
        <f>Données!A30</f>
        <v>5431</v>
      </c>
      <c r="B30" s="170" t="str">
        <f>Données!B30</f>
        <v>Mollens</v>
      </c>
      <c r="C30" s="351">
        <f>VPI!R30</f>
        <v>10464.936351351351</v>
      </c>
      <c r="D30" s="208">
        <f>Effort!I30-IF(PCS!I36&lt;0, Effort!D30, 0)</f>
        <v>14.277774888853028</v>
      </c>
      <c r="E30" s="512">
        <f>IF(PCS!I36&lt;0, 0, PCS!F36/Aide!C30)</f>
        <v>1.6404600490267827</v>
      </c>
      <c r="F30" s="512">
        <f>Effort!G30</f>
        <v>-3.6764609297800641</v>
      </c>
      <c r="G30" s="378">
        <f t="shared" si="1"/>
        <v>19.594695867659873</v>
      </c>
      <c r="H30" s="225">
        <f t="shared" si="2"/>
        <v>0</v>
      </c>
      <c r="I30" s="42">
        <f t="shared" si="3"/>
        <v>0</v>
      </c>
      <c r="J30" s="29"/>
    </row>
    <row r="31" spans="1:10" x14ac:dyDescent="0.25">
      <c r="A31" s="38">
        <f>Données!A31</f>
        <v>5434</v>
      </c>
      <c r="B31" s="170" t="str">
        <f>Données!B31</f>
        <v>Saint-George</v>
      </c>
      <c r="C31" s="351">
        <f>VPI!R31</f>
        <v>43543.93829736211</v>
      </c>
      <c r="D31" s="208">
        <f>Effort!I31-IF(PCS!I37&lt;0, Effort!D31, 0)</f>
        <v>23.278072191681289</v>
      </c>
      <c r="E31" s="512">
        <f>IF(PCS!I37&lt;0, 0, PCS!F37/Aide!C31)</f>
        <v>3.2764320495246264</v>
      </c>
      <c r="F31" s="512">
        <f>Effort!G31</f>
        <v>-1.6620366242851214</v>
      </c>
      <c r="G31" s="378">
        <f t="shared" si="1"/>
        <v>28.216540865491037</v>
      </c>
      <c r="H31" s="225">
        <f t="shared" si="2"/>
        <v>0</v>
      </c>
      <c r="I31" s="42">
        <f t="shared" si="3"/>
        <v>0</v>
      </c>
      <c r="J31" s="29"/>
    </row>
    <row r="32" spans="1:10" x14ac:dyDescent="0.25">
      <c r="A32" s="38">
        <f>Données!A32</f>
        <v>5435</v>
      </c>
      <c r="B32" s="170" t="str">
        <f>Données!B32</f>
        <v>Saint-Livres</v>
      </c>
      <c r="C32" s="351">
        <f>VPI!R32</f>
        <v>25853.824637681166</v>
      </c>
      <c r="D32" s="208">
        <f>Effort!I32-IF(PCS!I38&lt;0, Effort!D32, 0)</f>
        <v>23.80826469372948</v>
      </c>
      <c r="E32" s="512">
        <f>IF(PCS!I38&lt;0, 0, PCS!F38/Aide!C32)</f>
        <v>5.2983543796592416</v>
      </c>
      <c r="F32" s="512">
        <f>Effort!G32</f>
        <v>-5.579647089469808E-2</v>
      </c>
      <c r="G32" s="378">
        <f t="shared" si="1"/>
        <v>29.162415544283419</v>
      </c>
      <c r="H32" s="225">
        <f t="shared" si="2"/>
        <v>0</v>
      </c>
      <c r="I32" s="42">
        <f t="shared" si="3"/>
        <v>0</v>
      </c>
      <c r="J32" s="29"/>
    </row>
    <row r="33" spans="1:10" x14ac:dyDescent="0.25">
      <c r="A33" s="38">
        <f>Données!A33</f>
        <v>5436</v>
      </c>
      <c r="B33" s="170" t="str">
        <f>Données!B33</f>
        <v>Saint-Oyens</v>
      </c>
      <c r="C33" s="351">
        <f>VPI!R33</f>
        <v>16868.155185185187</v>
      </c>
      <c r="D33" s="208">
        <f>Effort!I33-IF(PCS!I39&lt;0, Effort!D33, 0)</f>
        <v>20.570165204417506</v>
      </c>
      <c r="E33" s="512">
        <f>IF(PCS!I39&lt;0, 0, PCS!F39/Aide!C33)</f>
        <v>4.4949195195092457</v>
      </c>
      <c r="F33" s="512">
        <f>Effort!G33</f>
        <v>0</v>
      </c>
      <c r="G33" s="378">
        <f t="shared" si="1"/>
        <v>25.065084723926752</v>
      </c>
      <c r="H33" s="225">
        <f t="shared" si="2"/>
        <v>0</v>
      </c>
      <c r="I33" s="42">
        <f t="shared" si="3"/>
        <v>0</v>
      </c>
      <c r="J33" s="29"/>
    </row>
    <row r="34" spans="1:10" x14ac:dyDescent="0.25">
      <c r="A34" s="38">
        <f>Données!A34</f>
        <v>5437</v>
      </c>
      <c r="B34" s="170" t="str">
        <f>Données!B34</f>
        <v>Saubraz</v>
      </c>
      <c r="C34" s="351">
        <f>VPI!R34</f>
        <v>13551.123374999999</v>
      </c>
      <c r="D34" s="208">
        <f>Effort!I34-IF(PCS!I40&lt;0, Effort!D34, 0)</f>
        <v>-13.169128892557875</v>
      </c>
      <c r="E34" s="512">
        <f>IF(PCS!I40&lt;0, 0, PCS!F40/Aide!C34)</f>
        <v>11.698668487696505</v>
      </c>
      <c r="F34" s="512">
        <f>Effort!G34</f>
        <v>-26.33006872391493</v>
      </c>
      <c r="G34" s="378">
        <f t="shared" si="1"/>
        <v>24.85960831905356</v>
      </c>
      <c r="H34" s="225">
        <f t="shared" si="2"/>
        <v>0</v>
      </c>
      <c r="I34" s="42">
        <f t="shared" si="3"/>
        <v>0</v>
      </c>
      <c r="J34" s="29"/>
    </row>
    <row r="35" spans="1:10" x14ac:dyDescent="0.25">
      <c r="A35" s="38">
        <f>Données!A35</f>
        <v>5451</v>
      </c>
      <c r="B35" s="170" t="str">
        <f>Données!B35</f>
        <v>Avenches</v>
      </c>
      <c r="C35" s="351">
        <f>VPI!R35</f>
        <v>137788.88576441104</v>
      </c>
      <c r="D35" s="208">
        <f>Effort!I35-IF(PCS!I41&lt;0, Effort!D35, 0)</f>
        <v>-1.3214726074976575</v>
      </c>
      <c r="E35" s="512">
        <f>IF(PCS!I41&lt;0, 0, PCS!F41/Aide!C35)</f>
        <v>4.1064940895700737</v>
      </c>
      <c r="F35" s="512">
        <f>Effort!G35</f>
        <v>-10.36141578105631</v>
      </c>
      <c r="G35" s="378">
        <f t="shared" si="1"/>
        <v>13.146437263128727</v>
      </c>
      <c r="H35" s="225">
        <f t="shared" si="2"/>
        <v>0</v>
      </c>
      <c r="I35" s="42">
        <f t="shared" si="3"/>
        <v>0</v>
      </c>
      <c r="J35" s="29"/>
    </row>
    <row r="36" spans="1:10" x14ac:dyDescent="0.25">
      <c r="A36" s="38">
        <f>Données!A36</f>
        <v>5456</v>
      </c>
      <c r="B36" s="170" t="str">
        <f>Données!B36</f>
        <v>Cudrefin</v>
      </c>
      <c r="C36" s="351">
        <f>VPI!R36</f>
        <v>64142.52694915254</v>
      </c>
      <c r="D36" s="208">
        <f>Effort!I36-IF(PCS!I42&lt;0, Effort!D36, 0)</f>
        <v>15.689737775681275</v>
      </c>
      <c r="E36" s="512">
        <f>IF(PCS!I42&lt;0, 0, PCS!F42/Aide!C36)</f>
        <v>3.1098123894951328</v>
      </c>
      <c r="F36" s="512">
        <f>Effort!G36</f>
        <v>-4.3916392400378683</v>
      </c>
      <c r="G36" s="378">
        <f t="shared" si="1"/>
        <v>23.191189405214274</v>
      </c>
      <c r="H36" s="225">
        <f t="shared" si="2"/>
        <v>0</v>
      </c>
      <c r="I36" s="42">
        <f t="shared" si="3"/>
        <v>0</v>
      </c>
      <c r="J36" s="29"/>
    </row>
    <row r="37" spans="1:10" x14ac:dyDescent="0.25">
      <c r="A37" s="38">
        <f>Données!A37</f>
        <v>5458</v>
      </c>
      <c r="B37" s="170" t="str">
        <f>Données!B37</f>
        <v>Faoug</v>
      </c>
      <c r="C37" s="351">
        <f>VPI!R37</f>
        <v>34719.981076923075</v>
      </c>
      <c r="D37" s="208">
        <f>Effort!I37-IF(PCS!I43&lt;0, Effort!D37, 0)</f>
        <v>21.655361545326834</v>
      </c>
      <c r="E37" s="512">
        <f>IF(PCS!I43&lt;0, 0, PCS!F43/Aide!C37)</f>
        <v>3.5754838035470926</v>
      </c>
      <c r="F37" s="512">
        <f>Effort!G37</f>
        <v>-3.8005525765152743</v>
      </c>
      <c r="G37" s="378">
        <f t="shared" si="1"/>
        <v>29.0313979253892</v>
      </c>
      <c r="H37" s="225">
        <f t="shared" si="2"/>
        <v>0</v>
      </c>
      <c r="I37" s="42">
        <f t="shared" si="3"/>
        <v>0</v>
      </c>
      <c r="J37" s="29"/>
    </row>
    <row r="38" spans="1:10" x14ac:dyDescent="0.25">
      <c r="A38" s="38">
        <f>Données!A38</f>
        <v>5464</v>
      </c>
      <c r="B38" s="170" t="str">
        <f>Données!B38</f>
        <v>Vully-les-Lacs</v>
      </c>
      <c r="C38" s="351">
        <f>VPI!R38</f>
        <v>119166.87835820897</v>
      </c>
      <c r="D38" s="208">
        <f>Effort!I38-IF(PCS!I44&lt;0, Effort!D38, 0)</f>
        <v>13.237176845074289</v>
      </c>
      <c r="E38" s="512">
        <f>IF(PCS!I44&lt;0, 0, PCS!F44/Aide!C38)</f>
        <v>6.2131474382872973</v>
      </c>
      <c r="F38" s="512">
        <f>Effort!G38</f>
        <v>-2.5169429121836582</v>
      </c>
      <c r="G38" s="378">
        <f t="shared" si="1"/>
        <v>21.967267195545247</v>
      </c>
      <c r="H38" s="225">
        <f t="shared" si="2"/>
        <v>0</v>
      </c>
      <c r="I38" s="42">
        <f t="shared" si="3"/>
        <v>0</v>
      </c>
      <c r="J38" s="29"/>
    </row>
    <row r="39" spans="1:10" x14ac:dyDescent="0.25">
      <c r="A39" s="38">
        <f>Données!A39</f>
        <v>5471</v>
      </c>
      <c r="B39" s="170" t="str">
        <f>Données!B39</f>
        <v>Bettens</v>
      </c>
      <c r="C39" s="351">
        <f>VPI!R39</f>
        <v>22887.22226984127</v>
      </c>
      <c r="D39" s="208">
        <f>Effort!I39-IF(PCS!I45&lt;0, Effort!D39, 0)</f>
        <v>21.205042547274736</v>
      </c>
      <c r="E39" s="512">
        <f>IF(PCS!I45&lt;0, 0, PCS!F45/Aide!C39)</f>
        <v>1.7673579835549234</v>
      </c>
      <c r="F39" s="512">
        <f>Effort!G39</f>
        <v>-1.1522768499392602</v>
      </c>
      <c r="G39" s="378">
        <f t="shared" si="1"/>
        <v>24.124677380768919</v>
      </c>
      <c r="H39" s="225">
        <f t="shared" si="2"/>
        <v>0</v>
      </c>
      <c r="I39" s="42">
        <f t="shared" si="3"/>
        <v>0</v>
      </c>
      <c r="J39" s="29"/>
    </row>
    <row r="40" spans="1:10" x14ac:dyDescent="0.25">
      <c r="A40" s="38">
        <f>Données!A40</f>
        <v>5472</v>
      </c>
      <c r="B40" s="170" t="str">
        <f>Données!B40</f>
        <v>Bournens</v>
      </c>
      <c r="C40" s="351">
        <f>VPI!R40</f>
        <v>22175.50986111111</v>
      </c>
      <c r="D40" s="208">
        <f>Effort!I40-IF(PCS!I46&lt;0, Effort!D40, 0)</f>
        <v>26.255408299516439</v>
      </c>
      <c r="E40" s="512">
        <f>IF(PCS!I46&lt;0, 0, PCS!F46/Aide!C40)</f>
        <v>4.4362520012457933</v>
      </c>
      <c r="F40" s="512">
        <f>Effort!G40</f>
        <v>-0.78368514243919662</v>
      </c>
      <c r="G40" s="378">
        <f t="shared" si="1"/>
        <v>31.47534544320143</v>
      </c>
      <c r="H40" s="225">
        <f t="shared" si="2"/>
        <v>0</v>
      </c>
      <c r="I40" s="42">
        <f t="shared" si="3"/>
        <v>0</v>
      </c>
      <c r="J40" s="29"/>
    </row>
    <row r="41" spans="1:10" x14ac:dyDescent="0.25">
      <c r="A41" s="38">
        <f>Données!A41</f>
        <v>5473</v>
      </c>
      <c r="B41" s="170" t="str">
        <f>Données!B41</f>
        <v>Boussens</v>
      </c>
      <c r="C41" s="351">
        <f>VPI!R41</f>
        <v>37058.091851851859</v>
      </c>
      <c r="D41" s="208">
        <f>Effort!I41-IF(PCS!I47&lt;0, Effort!D41, 0)</f>
        <v>23.118548014427315</v>
      </c>
      <c r="E41" s="512">
        <f>IF(PCS!I47&lt;0, 0, PCS!F47/Aide!C41)</f>
        <v>3.4598493498416016</v>
      </c>
      <c r="F41" s="512">
        <f>Effort!G41</f>
        <v>0</v>
      </c>
      <c r="G41" s="378">
        <f t="shared" si="1"/>
        <v>26.578397364268916</v>
      </c>
      <c r="H41" s="225">
        <f t="shared" si="2"/>
        <v>0</v>
      </c>
      <c r="I41" s="42">
        <f t="shared" si="3"/>
        <v>0</v>
      </c>
      <c r="J41" s="29"/>
    </row>
    <row r="42" spans="1:10" x14ac:dyDescent="0.25">
      <c r="A42" s="38">
        <f>Données!A42</f>
        <v>5474</v>
      </c>
      <c r="B42" s="170" t="str">
        <f>Données!B42</f>
        <v>La Chaux (Cossonay)</v>
      </c>
      <c r="C42" s="351">
        <f>VPI!R42</f>
        <v>12904.367324561405</v>
      </c>
      <c r="D42" s="208">
        <f>Effort!I42-IF(PCS!I48&lt;0, Effort!D42, 0)</f>
        <v>-0.84821897701266735</v>
      </c>
      <c r="E42" s="512">
        <f>IF(PCS!I48&lt;0, 0, PCS!F48/Aide!C42)</f>
        <v>3.6665431795284182</v>
      </c>
      <c r="F42" s="512">
        <f>Effort!G42</f>
        <v>-17.805777708706156</v>
      </c>
      <c r="G42" s="378">
        <f t="shared" si="1"/>
        <v>20.624101911221906</v>
      </c>
      <c r="H42" s="225">
        <f t="shared" si="2"/>
        <v>0</v>
      </c>
      <c r="I42" s="42">
        <f t="shared" si="3"/>
        <v>0</v>
      </c>
      <c r="J42" s="29"/>
    </row>
    <row r="43" spans="1:10" x14ac:dyDescent="0.25">
      <c r="A43" s="38">
        <f>Données!A43</f>
        <v>5475</v>
      </c>
      <c r="B43" s="170" t="str">
        <f>Données!B43</f>
        <v>Chavannes-le-Veyron</v>
      </c>
      <c r="C43" s="351">
        <f>VPI!R43</f>
        <v>4277.2565333333332</v>
      </c>
      <c r="D43" s="208">
        <f>Effort!I43-IF(PCS!I49&lt;0, Effort!D43, 0)</f>
        <v>4.2420856274803569</v>
      </c>
      <c r="E43" s="512">
        <f>IF(PCS!I49&lt;0, 0, PCS!F49/Aide!C43)</f>
        <v>1.0988994846042126</v>
      </c>
      <c r="F43" s="512">
        <f>Effort!G43</f>
        <v>-6.4958152926935346</v>
      </c>
      <c r="G43" s="378">
        <f t="shared" si="1"/>
        <v>11.836800404778103</v>
      </c>
      <c r="H43" s="225">
        <f t="shared" si="2"/>
        <v>0</v>
      </c>
      <c r="I43" s="42">
        <f t="shared" si="3"/>
        <v>0</v>
      </c>
      <c r="J43" s="29"/>
    </row>
    <row r="44" spans="1:10" x14ac:dyDescent="0.25">
      <c r="A44" s="38">
        <f>Données!A44</f>
        <v>5476</v>
      </c>
      <c r="B44" s="170" t="str">
        <f>Données!B44</f>
        <v>Chevilly</v>
      </c>
      <c r="C44" s="351">
        <f>VPI!R44</f>
        <v>12081.593793103451</v>
      </c>
      <c r="D44" s="208">
        <f>Effort!I44-IF(PCS!I50&lt;0, Effort!D44, 0)</f>
        <v>21.972456175404112</v>
      </c>
      <c r="E44" s="512">
        <f>IF(PCS!I50&lt;0, 0, PCS!F50/Aide!C44)</f>
        <v>3.6924784729532423</v>
      </c>
      <c r="F44" s="512">
        <f>Effort!G44</f>
        <v>-0.73638357601939874</v>
      </c>
      <c r="G44" s="378">
        <f t="shared" si="1"/>
        <v>26.401318224376752</v>
      </c>
      <c r="H44" s="225">
        <f t="shared" si="2"/>
        <v>0</v>
      </c>
      <c r="I44" s="42">
        <f t="shared" si="3"/>
        <v>0</v>
      </c>
      <c r="J44" s="29"/>
    </row>
    <row r="45" spans="1:10" x14ac:dyDescent="0.25">
      <c r="A45" s="38">
        <f>Données!A45</f>
        <v>5477</v>
      </c>
      <c r="B45" s="170" t="str">
        <f>Données!B45</f>
        <v>Cossonay</v>
      </c>
      <c r="C45" s="351">
        <f>VPI!R45</f>
        <v>142576.66388489207</v>
      </c>
      <c r="D45" s="208">
        <f>Effort!I45-IF(PCS!I51&lt;0, Effort!D45, 0)</f>
        <v>6.7136482736671148</v>
      </c>
      <c r="E45" s="512">
        <f>IF(PCS!I51&lt;0, 0, PCS!F51/Aide!C45)</f>
        <v>3.986131282036697</v>
      </c>
      <c r="F45" s="512">
        <f>Effort!G45</f>
        <v>-5.7212677338923488</v>
      </c>
      <c r="G45" s="378">
        <f t="shared" si="1"/>
        <v>16.42104728959616</v>
      </c>
      <c r="H45" s="225">
        <f t="shared" si="2"/>
        <v>0</v>
      </c>
      <c r="I45" s="42">
        <f t="shared" si="3"/>
        <v>0</v>
      </c>
      <c r="J45" s="29"/>
    </row>
    <row r="46" spans="1:10" x14ac:dyDescent="0.25">
      <c r="A46" s="38">
        <f>Données!A46</f>
        <v>5479</v>
      </c>
      <c r="B46" s="170" t="str">
        <f>Données!B46</f>
        <v>Cuarnens</v>
      </c>
      <c r="C46" s="351">
        <f>VPI!R46</f>
        <v>17984.468961038958</v>
      </c>
      <c r="D46" s="208">
        <f>Effort!I46-IF(PCS!I52&lt;0, Effort!D46, 0)</f>
        <v>12.937008277920885</v>
      </c>
      <c r="E46" s="512">
        <f>IF(PCS!I52&lt;0, 0, PCS!F52/Aide!C46)</f>
        <v>3.3405751445957228</v>
      </c>
      <c r="F46" s="512">
        <f>Effort!G46</f>
        <v>-5.3930607972415698</v>
      </c>
      <c r="G46" s="378">
        <f t="shared" si="1"/>
        <v>21.670644219758177</v>
      </c>
      <c r="H46" s="225">
        <f t="shared" si="2"/>
        <v>0</v>
      </c>
      <c r="I46" s="42">
        <f t="shared" si="3"/>
        <v>0</v>
      </c>
      <c r="J46" s="29"/>
    </row>
    <row r="47" spans="1:10" x14ac:dyDescent="0.25">
      <c r="A47" s="38">
        <f>Données!A47</f>
        <v>5480</v>
      </c>
      <c r="B47" s="170" t="str">
        <f>Données!B47</f>
        <v>Daillens</v>
      </c>
      <c r="C47" s="351">
        <f>VPI!R47</f>
        <v>41328.998989898995</v>
      </c>
      <c r="D47" s="208">
        <f>Effort!I47-IF(PCS!I53&lt;0, Effort!D47, 0)</f>
        <v>21.243957683195866</v>
      </c>
      <c r="E47" s="512">
        <f>IF(PCS!I53&lt;0, 0, PCS!F53/Aide!C47)</f>
        <v>5.2828564769585187</v>
      </c>
      <c r="F47" s="512">
        <f>Effort!G47</f>
        <v>-3.3533235608846463</v>
      </c>
      <c r="G47" s="378">
        <f t="shared" si="1"/>
        <v>29.880137721039031</v>
      </c>
      <c r="H47" s="225">
        <f t="shared" si="2"/>
        <v>0</v>
      </c>
      <c r="I47" s="42">
        <f t="shared" si="3"/>
        <v>0</v>
      </c>
      <c r="J47" s="29"/>
    </row>
    <row r="48" spans="1:10" x14ac:dyDescent="0.25">
      <c r="A48" s="38">
        <f>Données!A48</f>
        <v>5481</v>
      </c>
      <c r="B48" s="170" t="str">
        <f>Données!B48</f>
        <v>Dizy</v>
      </c>
      <c r="C48" s="351">
        <f>VPI!R48</f>
        <v>8120.2678666666679</v>
      </c>
      <c r="D48" s="208">
        <f>Effort!I48-IF(PCS!I54&lt;0, Effort!D48, 0)</f>
        <v>18.898414392177095</v>
      </c>
      <c r="E48" s="512">
        <f>IF(PCS!I54&lt;0, 0, PCS!F54/Aide!C48)</f>
        <v>1.1045910242468355</v>
      </c>
      <c r="F48" s="512">
        <f>Effort!G48</f>
        <v>-2.1275336089487613</v>
      </c>
      <c r="G48" s="378">
        <f t="shared" si="1"/>
        <v>22.130539025372691</v>
      </c>
      <c r="H48" s="225">
        <f t="shared" si="2"/>
        <v>0</v>
      </c>
      <c r="I48" s="42">
        <f t="shared" si="3"/>
        <v>0</v>
      </c>
      <c r="J48" s="29"/>
    </row>
    <row r="49" spans="1:10" x14ac:dyDescent="0.25">
      <c r="A49" s="38">
        <f>Données!A49</f>
        <v>5482</v>
      </c>
      <c r="B49" s="170" t="str">
        <f>Données!B49</f>
        <v>Eclépens</v>
      </c>
      <c r="C49" s="351">
        <f>VPI!R49</f>
        <v>54169.31369565217</v>
      </c>
      <c r="D49" s="208">
        <f>Effort!I49-IF(PCS!I55&lt;0, Effort!D49, 0)</f>
        <v>26.41073032647904</v>
      </c>
      <c r="E49" s="512">
        <f>IF(PCS!I55&lt;0, 0, PCS!F55/Aide!C49)</f>
        <v>3.6242256289792634</v>
      </c>
      <c r="F49" s="512">
        <f>Effort!G49</f>
        <v>-1.353914473388899</v>
      </c>
      <c r="G49" s="378">
        <f t="shared" si="1"/>
        <v>31.388870428847202</v>
      </c>
      <c r="H49" s="225">
        <f t="shared" si="2"/>
        <v>0</v>
      </c>
      <c r="I49" s="42">
        <f t="shared" si="3"/>
        <v>0</v>
      </c>
      <c r="J49" s="29"/>
    </row>
    <row r="50" spans="1:10" x14ac:dyDescent="0.25">
      <c r="A50" s="38">
        <f>Données!A50</f>
        <v>5483</v>
      </c>
      <c r="B50" s="170" t="str">
        <f>Données!B50</f>
        <v>Ferreyres</v>
      </c>
      <c r="C50" s="351">
        <f>VPI!R50</f>
        <v>10537.013684210528</v>
      </c>
      <c r="D50" s="208">
        <f>Effort!I50-IF(PCS!I56&lt;0, Effort!D50, 0)</f>
        <v>17.659117476184679</v>
      </c>
      <c r="E50" s="512">
        <f>IF(PCS!I56&lt;0, 0, PCS!F56/Aide!C50)</f>
        <v>0.62145928592771171</v>
      </c>
      <c r="F50" s="512">
        <f>Effort!G50</f>
        <v>0</v>
      </c>
      <c r="G50" s="378">
        <f t="shared" si="1"/>
        <v>18.280576762112393</v>
      </c>
      <c r="H50" s="225">
        <f t="shared" si="2"/>
        <v>0</v>
      </c>
      <c r="I50" s="42">
        <f t="shared" si="3"/>
        <v>0</v>
      </c>
      <c r="J50" s="29"/>
    </row>
    <row r="51" spans="1:10" x14ac:dyDescent="0.25">
      <c r="A51" s="38">
        <f>Données!A51</f>
        <v>5484</v>
      </c>
      <c r="B51" s="170" t="str">
        <f>Données!B51</f>
        <v>Gollion</v>
      </c>
      <c r="C51" s="351">
        <f>VPI!R51</f>
        <v>35949.064324324332</v>
      </c>
      <c r="D51" s="208">
        <f>Effort!I51-IF(PCS!I57&lt;0, Effort!D51, 0)</f>
        <v>15.850927048734757</v>
      </c>
      <c r="E51" s="512">
        <f>IF(PCS!I57&lt;0, 0, PCS!F57/Aide!C51)</f>
        <v>3.5914014015836724</v>
      </c>
      <c r="F51" s="512">
        <f>Effort!G51</f>
        <v>-4.53642727219649</v>
      </c>
      <c r="G51" s="378">
        <f t="shared" si="1"/>
        <v>23.978755722514919</v>
      </c>
      <c r="H51" s="225">
        <f t="shared" si="2"/>
        <v>0</v>
      </c>
      <c r="I51" s="42">
        <f t="shared" si="3"/>
        <v>0</v>
      </c>
      <c r="J51" s="29"/>
    </row>
    <row r="52" spans="1:10" x14ac:dyDescent="0.25">
      <c r="A52" s="38">
        <f>Données!A52</f>
        <v>5485</v>
      </c>
      <c r="B52" s="170" t="str">
        <f>Données!B52</f>
        <v>Grancy</v>
      </c>
      <c r="C52" s="351">
        <f>VPI!R52</f>
        <v>24486.752</v>
      </c>
      <c r="D52" s="208">
        <f>Effort!I52-IF(PCS!I58&lt;0, Effort!D52, 0)</f>
        <v>29.770840856913708</v>
      </c>
      <c r="E52" s="512">
        <f>IF(PCS!I58&lt;0, 0, PCS!F58/Aide!C52)</f>
        <v>3.0679785542811069</v>
      </c>
      <c r="F52" s="512">
        <f>Effort!G52</f>
        <v>-1.6640094202775444</v>
      </c>
      <c r="G52" s="378">
        <f t="shared" si="1"/>
        <v>34.502828831472357</v>
      </c>
      <c r="H52" s="225">
        <f t="shared" si="2"/>
        <v>0</v>
      </c>
      <c r="I52" s="42">
        <f t="shared" si="3"/>
        <v>0</v>
      </c>
      <c r="J52" s="29"/>
    </row>
    <row r="53" spans="1:10" x14ac:dyDescent="0.25">
      <c r="A53" s="38">
        <f>Données!A53</f>
        <v>5486</v>
      </c>
      <c r="B53" s="170" t="str">
        <f>Données!B53</f>
        <v>L'Isle</v>
      </c>
      <c r="C53" s="351">
        <f>VPI!R53</f>
        <v>29228.321066666667</v>
      </c>
      <c r="D53" s="208">
        <f>Effort!I53-IF(PCS!I59&lt;0, Effort!D53, 0)</f>
        <v>-2.7788958695051171</v>
      </c>
      <c r="E53" s="512">
        <f>IF(PCS!I59&lt;0, 0, PCS!F59/Aide!C53)</f>
        <v>6.0618762396880381</v>
      </c>
      <c r="F53" s="512">
        <f>Effort!G53</f>
        <v>-12.071231597437677</v>
      </c>
      <c r="G53" s="378">
        <f t="shared" si="1"/>
        <v>15.354211967620598</v>
      </c>
      <c r="H53" s="225">
        <f t="shared" si="2"/>
        <v>0</v>
      </c>
      <c r="I53" s="42">
        <f t="shared" si="3"/>
        <v>0</v>
      </c>
      <c r="J53" s="29"/>
    </row>
    <row r="54" spans="1:10" x14ac:dyDescent="0.25">
      <c r="A54" s="38">
        <f>Données!A54</f>
        <v>5487</v>
      </c>
      <c r="B54" s="170" t="str">
        <f>Données!B54</f>
        <v>Lussery-Villars</v>
      </c>
      <c r="C54" s="351">
        <f>VPI!R54</f>
        <v>16622.186533333337</v>
      </c>
      <c r="D54" s="208">
        <f>Effort!I54-IF(PCS!I60&lt;0, Effort!D54, 0)</f>
        <v>18.550025550389805</v>
      </c>
      <c r="E54" s="512">
        <f>IF(PCS!I60&lt;0, 0, PCS!F60/Aide!C54)</f>
        <v>1.0554718517216493</v>
      </c>
      <c r="F54" s="512">
        <f>Effort!G54</f>
        <v>-1.4292121407950493</v>
      </c>
      <c r="G54" s="378">
        <f t="shared" si="1"/>
        <v>21.034709542906501</v>
      </c>
      <c r="H54" s="225">
        <f t="shared" si="2"/>
        <v>0</v>
      </c>
      <c r="I54" s="42">
        <f t="shared" si="3"/>
        <v>0</v>
      </c>
      <c r="J54" s="29"/>
    </row>
    <row r="55" spans="1:10" x14ac:dyDescent="0.25">
      <c r="A55" s="38">
        <f>Données!A55</f>
        <v>5488</v>
      </c>
      <c r="B55" s="170" t="str">
        <f>Données!B55</f>
        <v>Mauraz</v>
      </c>
      <c r="C55" s="351">
        <f>VPI!R55</f>
        <v>1729.1580519480517</v>
      </c>
      <c r="D55" s="208">
        <f>Effort!I55-IF(PCS!I61&lt;0, Effort!D55, 0)</f>
        <v>11.788958703352574</v>
      </c>
      <c r="E55" s="512">
        <f>IF(PCS!I61&lt;0, 0, PCS!F61/Aide!C55)</f>
        <v>0</v>
      </c>
      <c r="F55" s="512">
        <f>Effort!G55</f>
        <v>0</v>
      </c>
      <c r="G55" s="378">
        <f t="shared" si="1"/>
        <v>11.788958703352574</v>
      </c>
      <c r="H55" s="225">
        <f t="shared" si="2"/>
        <v>0</v>
      </c>
      <c r="I55" s="42">
        <f t="shared" si="3"/>
        <v>0</v>
      </c>
      <c r="J55" s="29"/>
    </row>
    <row r="56" spans="1:10" x14ac:dyDescent="0.25">
      <c r="A56" s="38">
        <f>Données!A56</f>
        <v>5489</v>
      </c>
      <c r="B56" s="170" t="str">
        <f>Données!B56</f>
        <v>Mex</v>
      </c>
      <c r="C56" s="351">
        <f>VPI!R56</f>
        <v>50433.121512605037</v>
      </c>
      <c r="D56" s="208">
        <f>Effort!I56-IF(PCS!I62&lt;0, Effort!D56, 0)</f>
        <v>33.404608178951861</v>
      </c>
      <c r="E56" s="512">
        <f>IF(PCS!I62&lt;0, 0, PCS!F62/Aide!C56)</f>
        <v>3.8004045605643455</v>
      </c>
      <c r="F56" s="512">
        <f>Effort!G56</f>
        <v>0</v>
      </c>
      <c r="G56" s="378">
        <f t="shared" si="1"/>
        <v>37.205012739516206</v>
      </c>
      <c r="H56" s="225">
        <f t="shared" si="2"/>
        <v>0</v>
      </c>
      <c r="I56" s="42">
        <f t="shared" si="3"/>
        <v>0</v>
      </c>
      <c r="J56" s="29"/>
    </row>
    <row r="57" spans="1:10" x14ac:dyDescent="0.25">
      <c r="A57" s="38">
        <f>Données!A57</f>
        <v>5490</v>
      </c>
      <c r="B57" s="170" t="str">
        <f>Données!B57</f>
        <v>Moiry</v>
      </c>
      <c r="C57" s="351">
        <f>VPI!R57</f>
        <v>9056.7353548387091</v>
      </c>
      <c r="D57" s="208">
        <f>Effort!I57-IF(PCS!I63&lt;0, Effort!D57, 0)</f>
        <v>12.007124692623108</v>
      </c>
      <c r="E57" s="512">
        <f>IF(PCS!I63&lt;0, 0, PCS!F63/Aide!C57)</f>
        <v>2.1384250771612514</v>
      </c>
      <c r="F57" s="512">
        <f>Effort!G57</f>
        <v>-1.4498698876027383</v>
      </c>
      <c r="G57" s="378">
        <f t="shared" si="1"/>
        <v>15.595419657387097</v>
      </c>
      <c r="H57" s="225">
        <f t="shared" si="2"/>
        <v>0</v>
      </c>
      <c r="I57" s="42">
        <f t="shared" si="3"/>
        <v>0</v>
      </c>
      <c r="J57" s="29"/>
    </row>
    <row r="58" spans="1:10" x14ac:dyDescent="0.25">
      <c r="A58" s="38">
        <f>Données!A58</f>
        <v>5491</v>
      </c>
      <c r="B58" s="170" t="str">
        <f>Données!B58</f>
        <v>Mont-la-Ville</v>
      </c>
      <c r="C58" s="351">
        <f>VPI!R58</f>
        <v>13648.672236842105</v>
      </c>
      <c r="D58" s="208">
        <f>Effort!I58-IF(PCS!I64&lt;0, Effort!D58, 0)</f>
        <v>-3.6378618796876587</v>
      </c>
      <c r="E58" s="512">
        <f>IF(PCS!I64&lt;0, 0, PCS!F64/Aide!C58)</f>
        <v>1.744196401444833</v>
      </c>
      <c r="F58" s="512">
        <f>Effort!G58</f>
        <v>-12.7189087382695</v>
      </c>
      <c r="G58" s="378">
        <f t="shared" si="1"/>
        <v>10.825243260026674</v>
      </c>
      <c r="H58" s="225">
        <f t="shared" si="2"/>
        <v>0</v>
      </c>
      <c r="I58" s="42">
        <f t="shared" si="3"/>
        <v>0</v>
      </c>
      <c r="J58" s="29"/>
    </row>
    <row r="59" spans="1:10" x14ac:dyDescent="0.25">
      <c r="A59" s="38">
        <f>Données!A59</f>
        <v>5492</v>
      </c>
      <c r="B59" s="170" t="str">
        <f>Données!B59</f>
        <v>Montricher</v>
      </c>
      <c r="C59" s="351">
        <f>VPI!R59</f>
        <v>175265.155</v>
      </c>
      <c r="D59" s="208">
        <f>Effort!I59-IF(PCS!I65&lt;0, Effort!D59, 0)</f>
        <v>52.025505998016385</v>
      </c>
      <c r="E59" s="512">
        <f>IF(PCS!I65&lt;0, 0, PCS!F65/Aide!C59)</f>
        <v>1.208441232942167</v>
      </c>
      <c r="F59" s="512">
        <f>Effort!G59</f>
        <v>-0.97164141811302995</v>
      </c>
      <c r="G59" s="378">
        <f t="shared" si="1"/>
        <v>54.205588649071579</v>
      </c>
      <c r="H59" s="225">
        <f t="shared" si="2"/>
        <v>0</v>
      </c>
      <c r="I59" s="42">
        <f t="shared" si="3"/>
        <v>0</v>
      </c>
      <c r="J59" s="29"/>
    </row>
    <row r="60" spans="1:10" x14ac:dyDescent="0.25">
      <c r="A60" s="38">
        <f>Données!A60</f>
        <v>5493</v>
      </c>
      <c r="B60" s="170" t="str">
        <f>Données!B60</f>
        <v>Orny</v>
      </c>
      <c r="C60" s="351">
        <f>VPI!R60</f>
        <v>13489.645489989463</v>
      </c>
      <c r="D60" s="208">
        <f>Effort!I60-IF(PCS!I66&lt;0, Effort!D60, 0)</f>
        <v>12.362675371408232</v>
      </c>
      <c r="E60" s="512">
        <f>IF(PCS!I66&lt;0, 0, PCS!F66/Aide!C60)</f>
        <v>7.1028360286490262</v>
      </c>
      <c r="F60" s="512">
        <f>Effort!G60</f>
        <v>0</v>
      </c>
      <c r="G60" s="378">
        <f t="shared" si="1"/>
        <v>19.46551140005726</v>
      </c>
      <c r="H60" s="225">
        <f t="shared" si="2"/>
        <v>0</v>
      </c>
      <c r="I60" s="42">
        <f t="shared" si="3"/>
        <v>0</v>
      </c>
      <c r="J60" s="29"/>
    </row>
    <row r="61" spans="1:10" x14ac:dyDescent="0.25">
      <c r="A61" s="38">
        <f>Données!A61</f>
        <v>5495</v>
      </c>
      <c r="B61" s="170" t="str">
        <f>Données!B61</f>
        <v>Penthalaz</v>
      </c>
      <c r="C61" s="351">
        <f>VPI!R61</f>
        <v>95307.914324324302</v>
      </c>
      <c r="D61" s="208">
        <f>Effort!I61-IF(PCS!I67&lt;0, Effort!D61, 0)</f>
        <v>1.6920075896981785</v>
      </c>
      <c r="E61" s="512">
        <f>IF(PCS!I67&lt;0, 0, PCS!F67/Aide!C61)</f>
        <v>3.4871791325641968</v>
      </c>
      <c r="F61" s="512">
        <f>Effort!G61</f>
        <v>-6.7703455544968341</v>
      </c>
      <c r="G61" s="378">
        <f t="shared" si="1"/>
        <v>11.949532276759211</v>
      </c>
      <c r="H61" s="225">
        <f t="shared" si="2"/>
        <v>0</v>
      </c>
      <c r="I61" s="42">
        <f t="shared" si="3"/>
        <v>0</v>
      </c>
      <c r="J61" s="29"/>
    </row>
    <row r="62" spans="1:10" x14ac:dyDescent="0.25">
      <c r="A62" s="38">
        <f>Données!A62</f>
        <v>5496</v>
      </c>
      <c r="B62" s="170" t="str">
        <f>Données!B62</f>
        <v>Penthaz</v>
      </c>
      <c r="C62" s="351">
        <f>VPI!R62</f>
        <v>56262.398705035986</v>
      </c>
      <c r="D62" s="208">
        <f>Effort!I62-IF(PCS!I68&lt;0, Effort!D62, 0)</f>
        <v>7.1863110120562794</v>
      </c>
      <c r="E62" s="512">
        <f>IF(PCS!I68&lt;0, 0, PCS!F68/Aide!C62)</f>
        <v>4.3537041725537877</v>
      </c>
      <c r="F62" s="512">
        <f>Effort!G62</f>
        <v>-5.0060540299106311</v>
      </c>
      <c r="G62" s="378">
        <f t="shared" si="1"/>
        <v>16.546069214520699</v>
      </c>
      <c r="H62" s="225">
        <f t="shared" si="2"/>
        <v>0</v>
      </c>
      <c r="I62" s="42">
        <f t="shared" si="3"/>
        <v>0</v>
      </c>
      <c r="J62" s="29"/>
    </row>
    <row r="63" spans="1:10" x14ac:dyDescent="0.25">
      <c r="A63" s="38">
        <f>Données!A63</f>
        <v>5497</v>
      </c>
      <c r="B63" s="170" t="str">
        <f>Données!B63</f>
        <v>Pompaples</v>
      </c>
      <c r="C63" s="351">
        <f>VPI!R63</f>
        <v>22253.218787878792</v>
      </c>
      <c r="D63" s="208">
        <f>Effort!I63-IF(PCS!I69&lt;0, Effort!D63, 0)</f>
        <v>7.1699639682396814</v>
      </c>
      <c r="E63" s="512">
        <f>IF(PCS!I69&lt;0, 0, PCS!F69/Aide!C63)</f>
        <v>3.9966404791941428</v>
      </c>
      <c r="F63" s="512">
        <f>Effort!G63</f>
        <v>-5.4611060283522876</v>
      </c>
      <c r="G63" s="378">
        <f t="shared" si="1"/>
        <v>16.627710475786113</v>
      </c>
      <c r="H63" s="225">
        <f t="shared" si="2"/>
        <v>0</v>
      </c>
      <c r="I63" s="42">
        <f t="shared" si="3"/>
        <v>0</v>
      </c>
      <c r="J63" s="29"/>
    </row>
    <row r="64" spans="1:10" x14ac:dyDescent="0.25">
      <c r="A64" s="38">
        <f>Données!A64</f>
        <v>5498</v>
      </c>
      <c r="B64" s="170" t="str">
        <f>Données!B64</f>
        <v>La Sarraz</v>
      </c>
      <c r="C64" s="351">
        <f>VPI!R64</f>
        <v>74676.731060606064</v>
      </c>
      <c r="D64" s="208">
        <f>Effort!I64-IF(PCS!I70&lt;0, Effort!D64, 0)</f>
        <v>3.4046333845393981</v>
      </c>
      <c r="E64" s="512">
        <f>IF(PCS!I70&lt;0, 0, PCS!F70/Aide!C64)</f>
        <v>1.9669954470929929</v>
      </c>
      <c r="F64" s="512">
        <f>Effort!G64</f>
        <v>-7.1424372232293969</v>
      </c>
      <c r="G64" s="378">
        <f t="shared" si="1"/>
        <v>12.514066054861788</v>
      </c>
      <c r="H64" s="225">
        <f t="shared" si="2"/>
        <v>0</v>
      </c>
      <c r="I64" s="42">
        <f t="shared" si="3"/>
        <v>0</v>
      </c>
      <c r="J64" s="29"/>
    </row>
    <row r="65" spans="1:10" x14ac:dyDescent="0.25">
      <c r="A65" s="38">
        <f>Données!A65</f>
        <v>5499</v>
      </c>
      <c r="B65" s="170" t="str">
        <f>Données!B65</f>
        <v>Senarclens</v>
      </c>
      <c r="C65" s="351">
        <f>VPI!R65</f>
        <v>18237.495182481751</v>
      </c>
      <c r="D65" s="208">
        <f>Effort!I65-IF(PCS!I71&lt;0, Effort!D65, 0)</f>
        <v>13.795117685885103</v>
      </c>
      <c r="E65" s="512">
        <f>IF(PCS!I71&lt;0, 0, PCS!F71/Aide!C65)</f>
        <v>12.319433000635687</v>
      </c>
      <c r="F65" s="512">
        <f>Effort!G65</f>
        <v>-9.2611006728241811</v>
      </c>
      <c r="G65" s="378">
        <f t="shared" si="1"/>
        <v>35.375651359344971</v>
      </c>
      <c r="H65" s="225">
        <f t="shared" si="2"/>
        <v>0</v>
      </c>
      <c r="I65" s="42">
        <f t="shared" si="3"/>
        <v>0</v>
      </c>
      <c r="J65" s="29"/>
    </row>
    <row r="66" spans="1:10" x14ac:dyDescent="0.25">
      <c r="A66" s="38">
        <f>Données!A66</f>
        <v>5501</v>
      </c>
      <c r="B66" s="170" t="str">
        <f>Données!B66</f>
        <v>Sullens</v>
      </c>
      <c r="C66" s="351">
        <f>VPI!R66</f>
        <v>43189.9197080292</v>
      </c>
      <c r="D66" s="208">
        <f>Effort!I66-IF(PCS!I72&lt;0, Effort!D66, 0)</f>
        <v>22.008730307816144</v>
      </c>
      <c r="E66" s="512">
        <f>IF(PCS!I72&lt;0, 0, PCS!F72/Aide!C66)</f>
        <v>7.1486745538589611</v>
      </c>
      <c r="F66" s="512">
        <f>Effort!G66</f>
        <v>-0.74919778016599192</v>
      </c>
      <c r="G66" s="378">
        <f t="shared" si="1"/>
        <v>29.906602641841097</v>
      </c>
      <c r="H66" s="225">
        <f t="shared" si="2"/>
        <v>0</v>
      </c>
      <c r="I66" s="42">
        <f t="shared" si="3"/>
        <v>0</v>
      </c>
      <c r="J66" s="29"/>
    </row>
    <row r="67" spans="1:10" x14ac:dyDescent="0.25">
      <c r="A67" s="38">
        <f>Données!A67</f>
        <v>5503</v>
      </c>
      <c r="B67" s="170" t="str">
        <f>Données!B67</f>
        <v>Vufflens-la-Ville</v>
      </c>
      <c r="C67" s="351">
        <f>VPI!R67</f>
        <v>79644.71771144279</v>
      </c>
      <c r="D67" s="208">
        <f>Effort!I67-IF(PCS!I73&lt;0, Effort!D67, 0)</f>
        <v>31.517552359425387</v>
      </c>
      <c r="E67" s="512">
        <f>IF(PCS!I73&lt;0, 0, PCS!F73/Aide!C67)</f>
        <v>2.6227420474614664</v>
      </c>
      <c r="F67" s="512">
        <f>Effort!G67</f>
        <v>0</v>
      </c>
      <c r="G67" s="378">
        <f t="shared" si="1"/>
        <v>34.140294406886852</v>
      </c>
      <c r="H67" s="225">
        <f t="shared" si="2"/>
        <v>0</v>
      </c>
      <c r="I67" s="42">
        <f t="shared" si="3"/>
        <v>0</v>
      </c>
      <c r="J67" s="29"/>
    </row>
    <row r="68" spans="1:10" x14ac:dyDescent="0.25">
      <c r="A68" s="38">
        <f>Données!A68</f>
        <v>5511</v>
      </c>
      <c r="B68" s="170" t="str">
        <f>Données!B68</f>
        <v>Assens</v>
      </c>
      <c r="C68" s="351">
        <f>VPI!R68</f>
        <v>70063.08636788046</v>
      </c>
      <c r="D68" s="208">
        <f>Effort!I68-IF(PCS!I74&lt;0, Effort!D68, 0)</f>
        <v>16.195989062826591</v>
      </c>
      <c r="E68" s="512">
        <f>IF(PCS!I74&lt;0, 0, PCS!F74/Aide!C68)</f>
        <v>8.4419351995768057</v>
      </c>
      <c r="F68" s="512">
        <f>Effort!G68</f>
        <v>-7.7620114954289177</v>
      </c>
      <c r="G68" s="378">
        <f t="shared" si="1"/>
        <v>32.39993575783231</v>
      </c>
      <c r="H68" s="225">
        <f t="shared" si="2"/>
        <v>0</v>
      </c>
      <c r="I68" s="42">
        <f t="shared" si="3"/>
        <v>0</v>
      </c>
      <c r="J68" s="29"/>
    </row>
    <row r="69" spans="1:10" x14ac:dyDescent="0.25">
      <c r="A69" s="38">
        <f>Données!A69</f>
        <v>5512</v>
      </c>
      <c r="B69" s="170" t="str">
        <f>Données!B69</f>
        <v>Bercher</v>
      </c>
      <c r="C69" s="351">
        <f>VPI!R69</f>
        <v>40760.724050632911</v>
      </c>
      <c r="D69" s="208">
        <f>Effort!I69-IF(PCS!I75&lt;0, Effort!D69, 0)</f>
        <v>6.541613162748364</v>
      </c>
      <c r="E69" s="512">
        <f>IF(PCS!I75&lt;0, 0, PCS!F75/Aide!C69)</f>
        <v>5.5675024250820755</v>
      </c>
      <c r="F69" s="512">
        <f>Effort!G69</f>
        <v>-5.662513634681587</v>
      </c>
      <c r="G69" s="378">
        <f t="shared" si="1"/>
        <v>17.771629222512026</v>
      </c>
      <c r="H69" s="225">
        <f t="shared" si="2"/>
        <v>0</v>
      </c>
      <c r="I69" s="42">
        <f t="shared" si="3"/>
        <v>0</v>
      </c>
      <c r="J69" s="29"/>
    </row>
    <row r="70" spans="1:10" x14ac:dyDescent="0.25">
      <c r="A70" s="38">
        <f>Données!A70</f>
        <v>5514</v>
      </c>
      <c r="B70" s="170" t="str">
        <f>Données!B70</f>
        <v>Bottens</v>
      </c>
      <c r="C70" s="351">
        <f>VPI!R70</f>
        <v>44222.939448275865</v>
      </c>
      <c r="D70" s="208">
        <f>Effort!I70-IF(PCS!I76&lt;0, Effort!D70, 0)</f>
        <v>15.296917070066273</v>
      </c>
      <c r="E70" s="512">
        <f>IF(PCS!I76&lt;0, 0, PCS!F76/Aide!C70)</f>
        <v>1.8111176235509741</v>
      </c>
      <c r="F70" s="512">
        <f>Effort!G70</f>
        <v>-0.95713590816033012</v>
      </c>
      <c r="G70" s="378">
        <f t="shared" si="1"/>
        <v>18.065170601777581</v>
      </c>
      <c r="H70" s="225">
        <f t="shared" si="2"/>
        <v>0</v>
      </c>
      <c r="I70" s="42">
        <f t="shared" si="3"/>
        <v>0</v>
      </c>
      <c r="J70" s="29"/>
    </row>
    <row r="71" spans="1:10" x14ac:dyDescent="0.25">
      <c r="A71" s="38">
        <f>Données!A71</f>
        <v>5515</v>
      </c>
      <c r="B71" s="170" t="str">
        <f>Données!B71</f>
        <v>Bretigny-sur-Morrens</v>
      </c>
      <c r="C71" s="351">
        <f>VPI!R71</f>
        <v>32347.747307692302</v>
      </c>
      <c r="D71" s="208">
        <f>Effort!I71-IF(PCS!I77&lt;0, Effort!D71, 0)</f>
        <v>12.324457380244136</v>
      </c>
      <c r="E71" s="512">
        <f>IF(PCS!I77&lt;0, 0, PCS!F77/Aide!C71)</f>
        <v>3.1694514620997927</v>
      </c>
      <c r="F71" s="512">
        <f>Effort!G71</f>
        <v>-8.6720708247392775</v>
      </c>
      <c r="G71" s="378">
        <f t="shared" ref="G71:G134" si="4">D71+E71-F71</f>
        <v>24.165979667083207</v>
      </c>
      <c r="H71" s="225">
        <f t="shared" ref="H71:H134" si="5">IF(G71&lt;H$5,G71-H$5,0)</f>
        <v>0</v>
      </c>
      <c r="I71" s="42">
        <f t="shared" ref="I71:I134" si="6">-H71*C71</f>
        <v>0</v>
      </c>
      <c r="J71" s="29"/>
    </row>
    <row r="72" spans="1:10" x14ac:dyDescent="0.25">
      <c r="A72" s="38">
        <f>Données!A72</f>
        <v>5516</v>
      </c>
      <c r="B72" s="170" t="str">
        <f>Données!B72</f>
        <v>Cugy</v>
      </c>
      <c r="C72" s="351">
        <f>VPI!R72</f>
        <v>111596.10185897433</v>
      </c>
      <c r="D72" s="208">
        <f>Effort!I72-IF(PCS!I78&lt;0, Effort!D72, 0)</f>
        <v>18.606739156333013</v>
      </c>
      <c r="E72" s="512">
        <f>IF(PCS!I78&lt;0, 0, PCS!F78/Aide!C72)</f>
        <v>2.8455593852310086</v>
      </c>
      <c r="F72" s="512">
        <f>Effort!G72</f>
        <v>-2.3755815340321829</v>
      </c>
      <c r="G72" s="378">
        <f t="shared" si="4"/>
        <v>23.827880075596205</v>
      </c>
      <c r="H72" s="225">
        <f t="shared" si="5"/>
        <v>0</v>
      </c>
      <c r="I72" s="42">
        <f t="shared" si="6"/>
        <v>0</v>
      </c>
      <c r="J72" s="29"/>
    </row>
    <row r="73" spans="1:10" x14ac:dyDescent="0.25">
      <c r="A73" s="38">
        <f>Données!A73</f>
        <v>5518</v>
      </c>
      <c r="B73" s="170" t="str">
        <f>Données!B73</f>
        <v>Echallens</v>
      </c>
      <c r="C73" s="351">
        <f>VPI!R73</f>
        <v>183008.89172413788</v>
      </c>
      <c r="D73" s="208">
        <f>Effort!I73-IF(PCS!I79&lt;0, Effort!D73, 0)</f>
        <v>0.95857065693538601</v>
      </c>
      <c r="E73" s="512">
        <f>IF(PCS!I79&lt;0, 0, PCS!F79/Aide!C73)</f>
        <v>2.9692596074463218</v>
      </c>
      <c r="F73" s="512">
        <f>Effort!G73</f>
        <v>-7.6573405065342008</v>
      </c>
      <c r="G73" s="378">
        <f t="shared" si="4"/>
        <v>11.585170770915909</v>
      </c>
      <c r="H73" s="225">
        <f t="shared" si="5"/>
        <v>0</v>
      </c>
      <c r="I73" s="42">
        <f t="shared" si="6"/>
        <v>0</v>
      </c>
      <c r="J73" s="29"/>
    </row>
    <row r="74" spans="1:10" x14ac:dyDescent="0.25">
      <c r="A74" s="38">
        <f>Données!A74</f>
        <v>5520</v>
      </c>
      <c r="B74" s="170" t="str">
        <f>Données!B74</f>
        <v>Essertines-sur-Yverdon</v>
      </c>
      <c r="C74" s="351">
        <f>VPI!R74</f>
        <v>31695.423698630133</v>
      </c>
      <c r="D74" s="208">
        <f>Effort!I74-IF(PCS!I80&lt;0, Effort!D74, 0)</f>
        <v>7.3582525491766084</v>
      </c>
      <c r="E74" s="512">
        <f>IF(PCS!I80&lt;0, 0, PCS!F80/Aide!C74)</f>
        <v>1.8321269515797567</v>
      </c>
      <c r="F74" s="512">
        <f>Effort!G74</f>
        <v>-7.0676808792408838</v>
      </c>
      <c r="G74" s="378">
        <f t="shared" si="4"/>
        <v>16.258060379997247</v>
      </c>
      <c r="H74" s="225">
        <f t="shared" si="5"/>
        <v>0</v>
      </c>
      <c r="I74" s="42">
        <f t="shared" si="6"/>
        <v>0</v>
      </c>
      <c r="J74" s="29"/>
    </row>
    <row r="75" spans="1:10" x14ac:dyDescent="0.25">
      <c r="A75" s="38">
        <f>Données!A75</f>
        <v>5521</v>
      </c>
      <c r="B75" s="170" t="str">
        <f>Données!B75</f>
        <v>Etagnières</v>
      </c>
      <c r="C75" s="351">
        <f>VPI!R75</f>
        <v>42637.34945205479</v>
      </c>
      <c r="D75" s="208">
        <f>Effort!I75-IF(PCS!I81&lt;0, Effort!D75, 0)</f>
        <v>19.231736702497308</v>
      </c>
      <c r="E75" s="512">
        <f>IF(PCS!I81&lt;0, 0, PCS!F81/Aide!C75)</f>
        <v>2.9396181191080042</v>
      </c>
      <c r="F75" s="512">
        <f>Effort!G75</f>
        <v>-2.2769157683415209</v>
      </c>
      <c r="G75" s="378">
        <f t="shared" si="4"/>
        <v>24.448270589946834</v>
      </c>
      <c r="H75" s="225">
        <f t="shared" si="5"/>
        <v>0</v>
      </c>
      <c r="I75" s="42">
        <f t="shared" si="6"/>
        <v>0</v>
      </c>
      <c r="J75" s="29"/>
    </row>
    <row r="76" spans="1:10" x14ac:dyDescent="0.25">
      <c r="A76" s="38">
        <f>Données!A76</f>
        <v>5522</v>
      </c>
      <c r="B76" s="170" t="str">
        <f>Données!B76</f>
        <v>Fey</v>
      </c>
      <c r="C76" s="351">
        <f>VPI!R76</f>
        <v>23923.447333333334</v>
      </c>
      <c r="D76" s="208">
        <f>Effort!I76-IF(PCS!I82&lt;0, Effort!D76, 0)</f>
        <v>14.979700172071958</v>
      </c>
      <c r="E76" s="512">
        <f>IF(PCS!I82&lt;0, 0, PCS!F82/Aide!C76)</f>
        <v>1.7693513986599088</v>
      </c>
      <c r="F76" s="512">
        <f>Effort!G76</f>
        <v>-1.4523645156936831</v>
      </c>
      <c r="G76" s="378">
        <f t="shared" si="4"/>
        <v>18.201416086425549</v>
      </c>
      <c r="H76" s="225">
        <f t="shared" si="5"/>
        <v>0</v>
      </c>
      <c r="I76" s="42">
        <f t="shared" si="6"/>
        <v>0</v>
      </c>
      <c r="J76" s="29"/>
    </row>
    <row r="77" spans="1:10" x14ac:dyDescent="0.25">
      <c r="A77" s="38">
        <f>Données!A77</f>
        <v>5523</v>
      </c>
      <c r="B77" s="170" t="str">
        <f>Données!B77</f>
        <v>Froideville</v>
      </c>
      <c r="C77" s="351">
        <f>VPI!R77</f>
        <v>93735.809027777781</v>
      </c>
      <c r="D77" s="208">
        <f>Effort!I77-IF(PCS!I83&lt;0, Effort!D77, 0)</f>
        <v>14.733272690619495</v>
      </c>
      <c r="E77" s="512">
        <f>IF(PCS!I83&lt;0, 0, PCS!F83/Aide!C77)</f>
        <v>5.3910811699533925</v>
      </c>
      <c r="F77" s="512">
        <f>Effort!G77</f>
        <v>-1.8195116423734212</v>
      </c>
      <c r="G77" s="378">
        <f t="shared" si="4"/>
        <v>21.943865502946309</v>
      </c>
      <c r="H77" s="225">
        <f t="shared" si="5"/>
        <v>0</v>
      </c>
      <c r="I77" s="42">
        <f t="shared" si="6"/>
        <v>0</v>
      </c>
      <c r="J77" s="29"/>
    </row>
    <row r="78" spans="1:10" x14ac:dyDescent="0.25">
      <c r="A78" s="38">
        <f>Données!A78</f>
        <v>5527</v>
      </c>
      <c r="B78" s="170" t="str">
        <f>Données!B78</f>
        <v>Morrens</v>
      </c>
      <c r="C78" s="351">
        <f>VPI!R78</f>
        <v>39310.034189189188</v>
      </c>
      <c r="D78" s="208">
        <f>Effort!I78-IF(PCS!I84&lt;0, Effort!D78, 0)</f>
        <v>17.683385729176582</v>
      </c>
      <c r="E78" s="512">
        <f>IF(PCS!I84&lt;0, 0, PCS!F84/Aide!C78)</f>
        <v>3.3793197523225054</v>
      </c>
      <c r="F78" s="512">
        <f>Effort!G78</f>
        <v>-0.61571543663325679</v>
      </c>
      <c r="G78" s="378">
        <f t="shared" si="4"/>
        <v>21.678420918132343</v>
      </c>
      <c r="H78" s="225">
        <f t="shared" si="5"/>
        <v>0</v>
      </c>
      <c r="I78" s="42">
        <f t="shared" si="6"/>
        <v>0</v>
      </c>
      <c r="J78" s="29"/>
    </row>
    <row r="79" spans="1:10" x14ac:dyDescent="0.25">
      <c r="A79" s="38">
        <f>Données!A79</f>
        <v>5529</v>
      </c>
      <c r="B79" s="170" t="str">
        <f>Données!B79</f>
        <v>Oulens-sous-Echallens</v>
      </c>
      <c r="C79" s="351">
        <f>VPI!R79</f>
        <v>21162.073571428573</v>
      </c>
      <c r="D79" s="208">
        <f>Effort!I79-IF(PCS!I85&lt;0, Effort!D79, 0)</f>
        <v>13.811718418462711</v>
      </c>
      <c r="E79" s="512">
        <f>IF(PCS!I85&lt;0, 0, PCS!F85/Aide!C79)</f>
        <v>6.7535383296728648</v>
      </c>
      <c r="F79" s="512">
        <f>Effort!G79</f>
        <v>-6.5188464686977223</v>
      </c>
      <c r="G79" s="378">
        <f t="shared" si="4"/>
        <v>27.084103216833299</v>
      </c>
      <c r="H79" s="225">
        <f t="shared" si="5"/>
        <v>0</v>
      </c>
      <c r="I79" s="42">
        <f t="shared" si="6"/>
        <v>0</v>
      </c>
      <c r="J79" s="29"/>
    </row>
    <row r="80" spans="1:10" x14ac:dyDescent="0.25">
      <c r="A80" s="38">
        <f>Données!A80</f>
        <v>5530</v>
      </c>
      <c r="B80" s="170" t="str">
        <f>Données!B80</f>
        <v>Pailly</v>
      </c>
      <c r="C80" s="351">
        <f>VPI!R80</f>
        <v>19308.365285087715</v>
      </c>
      <c r="D80" s="208">
        <f>Effort!I80-IF(PCS!I86&lt;0, Effort!D80, 0)</f>
        <v>-22.743359965143899</v>
      </c>
      <c r="E80" s="512">
        <f>IF(PCS!I86&lt;0, 0, PCS!F86/Aide!C80)</f>
        <v>3.2174502648331154</v>
      </c>
      <c r="F80" s="512">
        <f>Effort!G80</f>
        <v>-41.013080218513203</v>
      </c>
      <c r="G80" s="378">
        <f t="shared" si="4"/>
        <v>21.487170518202419</v>
      </c>
      <c r="H80" s="225">
        <f t="shared" si="5"/>
        <v>0</v>
      </c>
      <c r="I80" s="42">
        <f t="shared" si="6"/>
        <v>0</v>
      </c>
      <c r="J80" s="29"/>
    </row>
    <row r="81" spans="1:10" x14ac:dyDescent="0.25">
      <c r="A81" s="38">
        <f>Données!A81</f>
        <v>5531</v>
      </c>
      <c r="B81" s="170" t="str">
        <f>Données!B81</f>
        <v>Penthéréaz</v>
      </c>
      <c r="C81" s="351">
        <f>VPI!R81</f>
        <v>14300.520945945947</v>
      </c>
      <c r="D81" s="208">
        <f>Effort!I81-IF(PCS!I87&lt;0, Effort!D81, 0)</f>
        <v>13.476503789460367</v>
      </c>
      <c r="E81" s="512">
        <f>IF(PCS!I87&lt;0, 0, PCS!F87/Aide!C81)</f>
        <v>4.3329785141544876</v>
      </c>
      <c r="F81" s="512">
        <f>Effort!G81</f>
        <v>-6.0356705843876108</v>
      </c>
      <c r="G81" s="378">
        <f t="shared" si="4"/>
        <v>23.845152888002463</v>
      </c>
      <c r="H81" s="225">
        <f t="shared" si="5"/>
        <v>0</v>
      </c>
      <c r="I81" s="42">
        <f t="shared" si="6"/>
        <v>0</v>
      </c>
      <c r="J81" s="29"/>
    </row>
    <row r="82" spans="1:10" x14ac:dyDescent="0.25">
      <c r="A82" s="38">
        <f>Données!A82</f>
        <v>5533</v>
      </c>
      <c r="B82" s="170" t="str">
        <f>Données!B82</f>
        <v>Poliez-Pittet</v>
      </c>
      <c r="C82" s="351">
        <f>VPI!R82</f>
        <v>27495.737397260269</v>
      </c>
      <c r="D82" s="208">
        <f>Effort!I82-IF(PCS!I88&lt;0, Effort!D82, 0)</f>
        <v>15.783602860447736</v>
      </c>
      <c r="E82" s="512">
        <f>IF(PCS!I88&lt;0, 0, PCS!F88/Aide!C82)</f>
        <v>0.59485311354587411</v>
      </c>
      <c r="F82" s="512">
        <f>Effort!G82</f>
        <v>-2.6565398670039446</v>
      </c>
      <c r="G82" s="378">
        <f t="shared" si="4"/>
        <v>19.034995840997553</v>
      </c>
      <c r="H82" s="225">
        <f t="shared" si="5"/>
        <v>0</v>
      </c>
      <c r="I82" s="42">
        <f t="shared" si="6"/>
        <v>0</v>
      </c>
      <c r="J82" s="29"/>
    </row>
    <row r="83" spans="1:10" x14ac:dyDescent="0.25">
      <c r="A83" s="38">
        <f>Données!A83</f>
        <v>5534</v>
      </c>
      <c r="B83" s="170" t="str">
        <f>Données!B83</f>
        <v>Rueyres</v>
      </c>
      <c r="C83" s="351">
        <f>VPI!R83</f>
        <v>13098.988310502282</v>
      </c>
      <c r="D83" s="208">
        <f>Effort!I83-IF(PCS!I89&lt;0, Effort!D83, 0)</f>
        <v>26.301916636256124</v>
      </c>
      <c r="E83" s="512">
        <f>IF(PCS!I89&lt;0, 0, PCS!F89/Aide!C83)</f>
        <v>4.670104175217352</v>
      </c>
      <c r="F83" s="512">
        <f>Effort!G83</f>
        <v>-0.28525170635716157</v>
      </c>
      <c r="G83" s="378">
        <f t="shared" si="4"/>
        <v>31.257272517830639</v>
      </c>
      <c r="H83" s="225">
        <f t="shared" si="5"/>
        <v>0</v>
      </c>
      <c r="I83" s="42">
        <f t="shared" si="6"/>
        <v>0</v>
      </c>
      <c r="J83" s="29"/>
    </row>
    <row r="84" spans="1:10" x14ac:dyDescent="0.25">
      <c r="A84" s="38">
        <f>Données!A84</f>
        <v>5535</v>
      </c>
      <c r="B84" s="170" t="str">
        <f>Données!B84</f>
        <v>Saint-Barthélemy</v>
      </c>
      <c r="C84" s="351">
        <f>VPI!R84</f>
        <v>25080.037866666662</v>
      </c>
      <c r="D84" s="208">
        <f>Effort!I84-IF(PCS!I90&lt;0, Effort!D84, 0)</f>
        <v>13.955019186984728</v>
      </c>
      <c r="E84" s="512">
        <f>IF(PCS!I90&lt;0, 0, PCS!F90/Aide!C84)</f>
        <v>2.4433675230389342</v>
      </c>
      <c r="F84" s="512">
        <f>Effort!G84</f>
        <v>-1.5850662989961262</v>
      </c>
      <c r="G84" s="378">
        <f t="shared" si="4"/>
        <v>17.983453009019787</v>
      </c>
      <c r="H84" s="225">
        <f t="shared" si="5"/>
        <v>0</v>
      </c>
      <c r="I84" s="42">
        <f t="shared" si="6"/>
        <v>0</v>
      </c>
      <c r="J84" s="29"/>
    </row>
    <row r="85" spans="1:10" x14ac:dyDescent="0.25">
      <c r="A85" s="38">
        <f>Données!A85</f>
        <v>5537</v>
      </c>
      <c r="B85" s="170" t="str">
        <f>Données!B85</f>
        <v>Villars-le-Terroir</v>
      </c>
      <c r="C85" s="351">
        <f>VPI!R85</f>
        <v>42917.111184210531</v>
      </c>
      <c r="D85" s="208">
        <f>Effort!I85-IF(PCS!I91&lt;0, Effort!D85, 0)</f>
        <v>14.541703373384347</v>
      </c>
      <c r="E85" s="512">
        <f>IF(PCS!I91&lt;0, 0, PCS!F91/Aide!C85)</f>
        <v>1.3391080716808312</v>
      </c>
      <c r="F85" s="512">
        <f>Effort!G85</f>
        <v>-0.92631078368953146</v>
      </c>
      <c r="G85" s="378">
        <f t="shared" si="4"/>
        <v>16.807122228754711</v>
      </c>
      <c r="H85" s="225">
        <f t="shared" si="5"/>
        <v>0</v>
      </c>
      <c r="I85" s="42">
        <f t="shared" si="6"/>
        <v>0</v>
      </c>
      <c r="J85" s="29"/>
    </row>
    <row r="86" spans="1:10" x14ac:dyDescent="0.25">
      <c r="A86" s="38">
        <f>Données!A86</f>
        <v>5539</v>
      </c>
      <c r="B86" s="170" t="str">
        <f>Données!B86</f>
        <v>Vuarrens</v>
      </c>
      <c r="C86" s="351">
        <f>VPI!R86</f>
        <v>34556.836734693868</v>
      </c>
      <c r="D86" s="208">
        <f>Effort!I86-IF(PCS!I92&lt;0, Effort!D86, 0)</f>
        <v>14.973505048714641</v>
      </c>
      <c r="E86" s="512">
        <f>IF(PCS!I92&lt;0, 0, PCS!F92/Aide!C86)</f>
        <v>3.6270514561931404</v>
      </c>
      <c r="F86" s="512">
        <f>Effort!G86</f>
        <v>-0.99630363465099114</v>
      </c>
      <c r="G86" s="378">
        <f t="shared" si="4"/>
        <v>19.596860139558775</v>
      </c>
      <c r="H86" s="225">
        <f t="shared" si="5"/>
        <v>0</v>
      </c>
      <c r="I86" s="42">
        <f t="shared" si="6"/>
        <v>0</v>
      </c>
      <c r="J86" s="29"/>
    </row>
    <row r="87" spans="1:10" x14ac:dyDescent="0.25">
      <c r="A87" s="38">
        <f>Données!A87</f>
        <v>5540</v>
      </c>
      <c r="B87" s="170" t="str">
        <f>Données!B87</f>
        <v>Montilliez</v>
      </c>
      <c r="C87" s="351">
        <f>VPI!R87</f>
        <v>63309.453137931036</v>
      </c>
      <c r="D87" s="208">
        <f>Effort!I87-IF(PCS!I93&lt;0, Effort!D87, 0)</f>
        <v>14.112474692635761</v>
      </c>
      <c r="E87" s="512">
        <f>IF(PCS!I93&lt;0, 0, PCS!F93/Aide!C87)</f>
        <v>2.349628098601853</v>
      </c>
      <c r="F87" s="512">
        <f>Effort!G87</f>
        <v>-1.8476259945591467</v>
      </c>
      <c r="G87" s="378">
        <f t="shared" si="4"/>
        <v>18.309728785796757</v>
      </c>
      <c r="H87" s="225">
        <f t="shared" si="5"/>
        <v>0</v>
      </c>
      <c r="I87" s="42">
        <f t="shared" si="6"/>
        <v>0</v>
      </c>
      <c r="J87" s="29"/>
    </row>
    <row r="88" spans="1:10" x14ac:dyDescent="0.25">
      <c r="A88" s="38">
        <f>Données!A88</f>
        <v>5541</v>
      </c>
      <c r="B88" s="170" t="str">
        <f>Données!B88</f>
        <v>Goumoëns</v>
      </c>
      <c r="C88" s="351">
        <f>VPI!R88</f>
        <v>41276.409536423838</v>
      </c>
      <c r="D88" s="208">
        <f>Effort!I88-IF(PCS!I94&lt;0, Effort!D88, 0)</f>
        <v>18.618134637527326</v>
      </c>
      <c r="E88" s="512">
        <f>IF(PCS!I94&lt;0, 0, PCS!F94/Aide!C88)</f>
        <v>1.9163006397201523</v>
      </c>
      <c r="F88" s="512">
        <f>Effort!G88</f>
        <v>-0.71590027120409139</v>
      </c>
      <c r="G88" s="378">
        <f t="shared" si="4"/>
        <v>21.25033554845157</v>
      </c>
      <c r="H88" s="225">
        <f t="shared" si="5"/>
        <v>0</v>
      </c>
      <c r="I88" s="42">
        <f t="shared" si="6"/>
        <v>0</v>
      </c>
      <c r="J88" s="29"/>
    </row>
    <row r="89" spans="1:10" x14ac:dyDescent="0.25">
      <c r="A89" s="38">
        <f>Données!A89</f>
        <v>5551</v>
      </c>
      <c r="B89" s="170" t="str">
        <f>Données!B89</f>
        <v>Bonvillars</v>
      </c>
      <c r="C89" s="351">
        <f>VPI!R89</f>
        <v>18704.487454545451</v>
      </c>
      <c r="D89" s="208">
        <f>Effort!I89-IF(PCS!I95&lt;0, Effort!D89, 0)</f>
        <v>19.161821052571529</v>
      </c>
      <c r="E89" s="512">
        <f>IF(PCS!I95&lt;0, 0, PCS!F95/Aide!C89)</f>
        <v>2.9194291013159988</v>
      </c>
      <c r="F89" s="512">
        <f>Effort!G89</f>
        <v>-6.6838484607305881</v>
      </c>
      <c r="G89" s="378">
        <f t="shared" si="4"/>
        <v>28.765098614618115</v>
      </c>
      <c r="H89" s="225">
        <f t="shared" si="5"/>
        <v>0</v>
      </c>
      <c r="I89" s="42">
        <f t="shared" si="6"/>
        <v>0</v>
      </c>
      <c r="J89" s="29"/>
    </row>
    <row r="90" spans="1:10" x14ac:dyDescent="0.25">
      <c r="A90" s="38">
        <f>Données!A90</f>
        <v>5552</v>
      </c>
      <c r="B90" s="170" t="str">
        <f>Données!B90</f>
        <v>Bullet</v>
      </c>
      <c r="C90" s="351">
        <f>VPI!R90</f>
        <v>19598.576923076926</v>
      </c>
      <c r="D90" s="208">
        <f>Effort!I90-IF(PCS!I96&lt;0, Effort!D90, 0)</f>
        <v>4.6852069852616101</v>
      </c>
      <c r="E90" s="512">
        <f>IF(PCS!I96&lt;0, 0, PCS!F96/Aide!C90)</f>
        <v>10.253652384494163</v>
      </c>
      <c r="F90" s="512">
        <f>Effort!G90</f>
        <v>-10.57082392167406</v>
      </c>
      <c r="G90" s="378">
        <f t="shared" si="4"/>
        <v>25.509683291429834</v>
      </c>
      <c r="H90" s="225">
        <f t="shared" si="5"/>
        <v>0</v>
      </c>
      <c r="I90" s="42">
        <f t="shared" si="6"/>
        <v>0</v>
      </c>
      <c r="J90" s="29"/>
    </row>
    <row r="91" spans="1:10" x14ac:dyDescent="0.25">
      <c r="A91" s="38">
        <f>Données!A91</f>
        <v>5553</v>
      </c>
      <c r="B91" s="170" t="str">
        <f>Données!B91</f>
        <v>Champagne</v>
      </c>
      <c r="C91" s="351">
        <f>VPI!R91</f>
        <v>40077.283076923086</v>
      </c>
      <c r="D91" s="208">
        <f>Effort!I91-IF(PCS!I97&lt;0, Effort!D91, 0)</f>
        <v>17.010492083292551</v>
      </c>
      <c r="E91" s="512">
        <f>IF(PCS!I97&lt;0, 0, PCS!F97/Aide!C91)</f>
        <v>3.0840668456183531</v>
      </c>
      <c r="F91" s="512">
        <f>Effort!G91</f>
        <v>-5.954528872946014</v>
      </c>
      <c r="G91" s="378">
        <f t="shared" si="4"/>
        <v>26.049087801856917</v>
      </c>
      <c r="H91" s="225">
        <f t="shared" si="5"/>
        <v>0</v>
      </c>
      <c r="I91" s="42">
        <f t="shared" si="6"/>
        <v>0</v>
      </c>
      <c r="J91" s="29"/>
    </row>
    <row r="92" spans="1:10" x14ac:dyDescent="0.25">
      <c r="A92" s="38">
        <f>Données!A92</f>
        <v>5554</v>
      </c>
      <c r="B92" s="170" t="str">
        <f>Données!B92</f>
        <v>Concise</v>
      </c>
      <c r="C92" s="351">
        <f>VPI!R92</f>
        <v>31499.25106666666</v>
      </c>
      <c r="D92" s="208">
        <f>Effort!I92-IF(PCS!I98&lt;0, Effort!D92, 0)</f>
        <v>8.2031404067770719</v>
      </c>
      <c r="E92" s="512">
        <f>IF(PCS!I98&lt;0, 0, PCS!F98/Aide!C92)</f>
        <v>21.440779609985483</v>
      </c>
      <c r="F92" s="512">
        <f>Effort!G92</f>
        <v>-7.7693511849549477</v>
      </c>
      <c r="G92" s="378">
        <f t="shared" si="4"/>
        <v>37.413271201717507</v>
      </c>
      <c r="H92" s="225">
        <f t="shared" si="5"/>
        <v>0</v>
      </c>
      <c r="I92" s="42">
        <f t="shared" si="6"/>
        <v>0</v>
      </c>
      <c r="J92" s="29"/>
    </row>
    <row r="93" spans="1:10" x14ac:dyDescent="0.25">
      <c r="A93" s="38">
        <f>Données!A93</f>
        <v>5555</v>
      </c>
      <c r="B93" s="170" t="str">
        <f>Données!B93</f>
        <v>Corcelles-près-Concise</v>
      </c>
      <c r="C93" s="351">
        <f>VPI!R93</f>
        <v>13877.681159420288</v>
      </c>
      <c r="D93" s="208">
        <f>Effort!I93-IF(PCS!I99&lt;0, Effort!D93, 0)</f>
        <v>4.6918147231735681</v>
      </c>
      <c r="E93" s="512">
        <f>IF(PCS!I99&lt;0, 0, PCS!F99/Aide!C93)</f>
        <v>3.804506991728978</v>
      </c>
      <c r="F93" s="512">
        <f>Effort!G93</f>
        <v>-15.031736914658092</v>
      </c>
      <c r="G93" s="378">
        <f t="shared" si="4"/>
        <v>23.52805862956064</v>
      </c>
      <c r="H93" s="225">
        <f t="shared" si="5"/>
        <v>0</v>
      </c>
      <c r="I93" s="42">
        <f t="shared" si="6"/>
        <v>0</v>
      </c>
      <c r="J93" s="29"/>
    </row>
    <row r="94" spans="1:10" x14ac:dyDescent="0.25">
      <c r="A94" s="38">
        <f>Données!A94</f>
        <v>5556</v>
      </c>
      <c r="B94" s="170" t="str">
        <f>Données!B94</f>
        <v>Fiez</v>
      </c>
      <c r="C94" s="351">
        <f>VPI!R94</f>
        <v>14574.59084541063</v>
      </c>
      <c r="D94" s="208">
        <f>Effort!I94-IF(PCS!I100&lt;0, Effort!D94, 0)</f>
        <v>14.398241186357971</v>
      </c>
      <c r="E94" s="512">
        <f>IF(PCS!I100&lt;0, 0, PCS!F100/Aide!C94)</f>
        <v>1.9841637619011487</v>
      </c>
      <c r="F94" s="512">
        <f>Effort!G94</f>
        <v>-5.0354727419772383</v>
      </c>
      <c r="G94" s="378">
        <f t="shared" si="4"/>
        <v>21.417877690236356</v>
      </c>
      <c r="H94" s="225">
        <f t="shared" si="5"/>
        <v>0</v>
      </c>
      <c r="I94" s="42">
        <f t="shared" si="6"/>
        <v>0</v>
      </c>
      <c r="J94" s="29"/>
    </row>
    <row r="95" spans="1:10" x14ac:dyDescent="0.25">
      <c r="A95" s="38">
        <f>Données!A95</f>
        <v>5557</v>
      </c>
      <c r="B95" s="170" t="str">
        <f>Données!B95</f>
        <v>Fontaines-sur-Grandson</v>
      </c>
      <c r="C95" s="351">
        <f>VPI!R95</f>
        <v>4232.7078260869557</v>
      </c>
      <c r="D95" s="208">
        <f>Effort!I95-IF(PCS!I101&lt;0, Effort!D95, 0)</f>
        <v>-11.032659426196869</v>
      </c>
      <c r="E95" s="512">
        <f>IF(PCS!I101&lt;0, 0, PCS!F101/Aide!C95)</f>
        <v>1.5667039333850221</v>
      </c>
      <c r="F95" s="512">
        <f>Effort!G95</f>
        <v>-7.9359370936150677</v>
      </c>
      <c r="G95" s="378">
        <f t="shared" si="4"/>
        <v>-1.5300183991967797</v>
      </c>
      <c r="H95" s="225">
        <f t="shared" si="5"/>
        <v>0</v>
      </c>
      <c r="I95" s="42">
        <f t="shared" si="6"/>
        <v>0</v>
      </c>
      <c r="J95" s="29"/>
    </row>
    <row r="96" spans="1:10" x14ac:dyDescent="0.25">
      <c r="A96" s="38">
        <f>Données!A96</f>
        <v>5559</v>
      </c>
      <c r="B96" s="170" t="str">
        <f>Données!B96</f>
        <v>Giez</v>
      </c>
      <c r="C96" s="351">
        <f>VPI!R96</f>
        <v>23427.520303030306</v>
      </c>
      <c r="D96" s="208">
        <f>Effort!I96-IF(PCS!I102&lt;0, Effort!D96, 0)</f>
        <v>30.770858616964325</v>
      </c>
      <c r="E96" s="512">
        <f>IF(PCS!I102&lt;0, 0, PCS!F102/Aide!C96)</f>
        <v>4.0297239647590324</v>
      </c>
      <c r="F96" s="512">
        <f>Effort!G96</f>
        <v>0</v>
      </c>
      <c r="G96" s="378">
        <f t="shared" si="4"/>
        <v>34.800582581723361</v>
      </c>
      <c r="H96" s="225">
        <f t="shared" si="5"/>
        <v>0</v>
      </c>
      <c r="I96" s="42">
        <f t="shared" si="6"/>
        <v>0</v>
      </c>
      <c r="J96" s="29"/>
    </row>
    <row r="97" spans="1:10" x14ac:dyDescent="0.25">
      <c r="A97" s="38">
        <f>Données!A97</f>
        <v>5560</v>
      </c>
      <c r="B97" s="170" t="str">
        <f>Données!B97</f>
        <v>Grandevent</v>
      </c>
      <c r="C97" s="351">
        <f>VPI!R97</f>
        <v>7003.3020588235295</v>
      </c>
      <c r="D97" s="208">
        <f>Effort!I97-IF(PCS!I103&lt;0, Effort!D97, 0)</f>
        <v>13.800138279370154</v>
      </c>
      <c r="E97" s="512">
        <f>IF(PCS!I103&lt;0, 0, PCS!F103/Aide!C97)</f>
        <v>6.262203119562046</v>
      </c>
      <c r="F97" s="512">
        <f>Effort!G97</f>
        <v>-2.1717556911283906</v>
      </c>
      <c r="G97" s="378">
        <f t="shared" si="4"/>
        <v>22.23409709006059</v>
      </c>
      <c r="H97" s="225">
        <f t="shared" si="5"/>
        <v>0</v>
      </c>
      <c r="I97" s="42">
        <f t="shared" si="6"/>
        <v>0</v>
      </c>
      <c r="J97" s="29"/>
    </row>
    <row r="98" spans="1:10" x14ac:dyDescent="0.25">
      <c r="A98" s="38">
        <f>Données!A98</f>
        <v>5561</v>
      </c>
      <c r="B98" s="170" t="str">
        <f>Données!B98</f>
        <v>Grandson</v>
      </c>
      <c r="C98" s="351">
        <f>VPI!R98</f>
        <v>114496.59724637681</v>
      </c>
      <c r="D98" s="208">
        <f>Effort!I98-IF(PCS!I104&lt;0, Effort!D98, 0)</f>
        <v>6.2561190832538536</v>
      </c>
      <c r="E98" s="512">
        <f>IF(PCS!I104&lt;0, 0, PCS!F104/Aide!C98)</f>
        <v>5.5717900386789676</v>
      </c>
      <c r="F98" s="512">
        <f>Effort!G98</f>
        <v>-8.8497862896428003</v>
      </c>
      <c r="G98" s="378">
        <f t="shared" si="4"/>
        <v>20.67769541157562</v>
      </c>
      <c r="H98" s="225">
        <f t="shared" si="5"/>
        <v>0</v>
      </c>
      <c r="I98" s="42">
        <f t="shared" si="6"/>
        <v>0</v>
      </c>
      <c r="J98" s="29"/>
    </row>
    <row r="99" spans="1:10" x14ac:dyDescent="0.25">
      <c r="A99" s="38">
        <f>Données!A99</f>
        <v>5562</v>
      </c>
      <c r="B99" s="170" t="str">
        <f>Données!B99</f>
        <v>Mauborget</v>
      </c>
      <c r="C99" s="351">
        <f>VPI!R99</f>
        <v>6099.4266904761898</v>
      </c>
      <c r="D99" s="208">
        <f>Effort!I99-IF(PCS!I105&lt;0, Effort!D99, 0)</f>
        <v>26.374035854229167</v>
      </c>
      <c r="E99" s="512">
        <f>IF(PCS!I105&lt;0, 0, PCS!F105/Aide!C99)</f>
        <v>3.6091449437982117</v>
      </c>
      <c r="F99" s="512">
        <f>Effort!G99</f>
        <v>-1.2028376127122433</v>
      </c>
      <c r="G99" s="378">
        <f t="shared" si="4"/>
        <v>31.186018410739621</v>
      </c>
      <c r="H99" s="225">
        <f t="shared" si="5"/>
        <v>0</v>
      </c>
      <c r="I99" s="42">
        <f t="shared" si="6"/>
        <v>0</v>
      </c>
      <c r="J99" s="29"/>
    </row>
    <row r="100" spans="1:10" x14ac:dyDescent="0.25">
      <c r="A100" s="38">
        <f>Données!A100</f>
        <v>5563</v>
      </c>
      <c r="B100" s="170" t="str">
        <f>Données!B100</f>
        <v>Mutrux</v>
      </c>
      <c r="C100" s="351">
        <f>VPI!R100</f>
        <v>4282.2106250000006</v>
      </c>
      <c r="D100" s="208">
        <f>Effort!I100-IF(PCS!I106&lt;0, Effort!D100, 0)</f>
        <v>4.8327782532100656</v>
      </c>
      <c r="E100" s="512">
        <f>IF(PCS!I106&lt;0, 0, PCS!F106/Aide!C100)</f>
        <v>9.2148491645013362</v>
      </c>
      <c r="F100" s="512">
        <f>Effort!G100</f>
        <v>-4.9453980909684914</v>
      </c>
      <c r="G100" s="378">
        <f t="shared" si="4"/>
        <v>18.993025508679892</v>
      </c>
      <c r="H100" s="225">
        <f t="shared" si="5"/>
        <v>0</v>
      </c>
      <c r="I100" s="42">
        <f t="shared" si="6"/>
        <v>0</v>
      </c>
      <c r="J100" s="29"/>
    </row>
    <row r="101" spans="1:10" x14ac:dyDescent="0.25">
      <c r="A101" s="38">
        <f>Données!A101</f>
        <v>5564</v>
      </c>
      <c r="B101" s="170" t="str">
        <f>Données!B101</f>
        <v>Novalles</v>
      </c>
      <c r="C101" s="351">
        <f>VPI!R101</f>
        <v>2099.5443749999999</v>
      </c>
      <c r="D101" s="208">
        <f>Effort!I101-IF(PCS!I107&lt;0, Effort!D101, 0)</f>
        <v>-20.384850360065119</v>
      </c>
      <c r="E101" s="512">
        <f>IF(PCS!I107&lt;0, 0, PCS!F107/Aide!C101)</f>
        <v>0.86960533996810629</v>
      </c>
      <c r="F101" s="512">
        <f>Effort!G101</f>
        <v>-14.844685275466018</v>
      </c>
      <c r="G101" s="378">
        <f t="shared" si="4"/>
        <v>-4.6705597446309941</v>
      </c>
      <c r="H101" s="225">
        <f t="shared" si="5"/>
        <v>0</v>
      </c>
      <c r="I101" s="42">
        <f t="shared" si="6"/>
        <v>0</v>
      </c>
      <c r="J101" s="29"/>
    </row>
    <row r="102" spans="1:10" x14ac:dyDescent="0.25">
      <c r="A102" s="38">
        <f>Données!A102</f>
        <v>5565</v>
      </c>
      <c r="B102" s="170" t="str">
        <f>Données!B102</f>
        <v>Onnens</v>
      </c>
      <c r="C102" s="351">
        <f>VPI!R102</f>
        <v>22684.162047244088</v>
      </c>
      <c r="D102" s="208">
        <f>Effort!I102-IF(PCS!I108&lt;0, Effort!D102, 0)</f>
        <v>25.418141395529066</v>
      </c>
      <c r="E102" s="512">
        <f>IF(PCS!I108&lt;0, 0, PCS!F108/Aide!C102)</f>
        <v>2.4928500723203957</v>
      </c>
      <c r="F102" s="512">
        <f>Effort!G102</f>
        <v>-3.0008561056533498</v>
      </c>
      <c r="G102" s="378">
        <f t="shared" si="4"/>
        <v>30.911847573502811</v>
      </c>
      <c r="H102" s="225">
        <f t="shared" si="5"/>
        <v>0</v>
      </c>
      <c r="I102" s="42">
        <f t="shared" si="6"/>
        <v>0</v>
      </c>
      <c r="J102" s="29"/>
    </row>
    <row r="103" spans="1:10" x14ac:dyDescent="0.25">
      <c r="A103" s="38">
        <f>Données!A103</f>
        <v>5566</v>
      </c>
      <c r="B103" s="170" t="str">
        <f>Données!B103</f>
        <v>Provence</v>
      </c>
      <c r="C103" s="351">
        <f>VPI!R103</f>
        <v>9377.2088888888902</v>
      </c>
      <c r="D103" s="208">
        <f>Effort!I103-IF(PCS!I109&lt;0, Effort!D103, 0)</f>
        <v>-43.48929132844043</v>
      </c>
      <c r="E103" s="512">
        <f>IF(PCS!I109&lt;0, 0, PCS!F109/Aide!C103)</f>
        <v>2.9359434482281381</v>
      </c>
      <c r="F103" s="512">
        <f>Effort!G103</f>
        <v>-42.136258384394878</v>
      </c>
      <c r="G103" s="378">
        <f t="shared" si="4"/>
        <v>1.5829105041825855</v>
      </c>
      <c r="H103" s="225">
        <f t="shared" si="5"/>
        <v>0</v>
      </c>
      <c r="I103" s="42">
        <f t="shared" si="6"/>
        <v>0</v>
      </c>
      <c r="J103" s="29"/>
    </row>
    <row r="104" spans="1:10" x14ac:dyDescent="0.25">
      <c r="A104" s="38">
        <f>Données!A104</f>
        <v>5568</v>
      </c>
      <c r="B104" s="170" t="str">
        <f>Données!B104</f>
        <v>Sainte-Croix</v>
      </c>
      <c r="C104" s="351">
        <f>VPI!R104</f>
        <v>109152.09599999999</v>
      </c>
      <c r="D104" s="208">
        <f>Effort!I104-IF(PCS!I110&lt;0, Effort!D104, 0)</f>
        <v>-22.634557599878004</v>
      </c>
      <c r="E104" s="512">
        <f>IF(PCS!I110&lt;0, 0, PCS!F110/Aide!C104)</f>
        <v>11.462527343496912</v>
      </c>
      <c r="F104" s="512">
        <f>Effort!G104</f>
        <v>-14.638552373744615</v>
      </c>
      <c r="G104" s="378">
        <f t="shared" si="4"/>
        <v>3.4665221173635228</v>
      </c>
      <c r="H104" s="225">
        <f t="shared" si="5"/>
        <v>0</v>
      </c>
      <c r="I104" s="42">
        <f t="shared" si="6"/>
        <v>0</v>
      </c>
      <c r="J104" s="29"/>
    </row>
    <row r="105" spans="1:10" x14ac:dyDescent="0.25">
      <c r="A105" s="38">
        <f>Données!A105</f>
        <v>5571</v>
      </c>
      <c r="B105" s="170" t="str">
        <f>Données!B105</f>
        <v>Tévenon</v>
      </c>
      <c r="C105" s="351">
        <f>VPI!R105</f>
        <v>25324.815594405594</v>
      </c>
      <c r="D105" s="208">
        <f>Effort!I105-IF(PCS!I111&lt;0, Effort!D105, 0)</f>
        <v>5.0113472617363097</v>
      </c>
      <c r="E105" s="512">
        <f>IF(PCS!I111&lt;0, 0, PCS!F111/Aide!C105)</f>
        <v>4.7860470907742796</v>
      </c>
      <c r="F105" s="512">
        <f>Effort!G105</f>
        <v>-8.7554337330197054</v>
      </c>
      <c r="G105" s="378">
        <f t="shared" si="4"/>
        <v>18.552828085530294</v>
      </c>
      <c r="H105" s="225">
        <f t="shared" si="5"/>
        <v>0</v>
      </c>
      <c r="I105" s="42">
        <f t="shared" si="6"/>
        <v>0</v>
      </c>
      <c r="J105" s="29"/>
    </row>
    <row r="106" spans="1:10" x14ac:dyDescent="0.25">
      <c r="A106" s="38">
        <f>Données!A106</f>
        <v>5581</v>
      </c>
      <c r="B106" s="170" t="str">
        <f>Données!B106</f>
        <v>Belmont-sur-Lausanne</v>
      </c>
      <c r="C106" s="351">
        <f>VPI!R106</f>
        <v>215428.66976851854</v>
      </c>
      <c r="D106" s="208">
        <f>Effort!I106-IF(PCS!I112&lt;0, Effort!D106, 0)</f>
        <v>24.144321178999757</v>
      </c>
      <c r="E106" s="512">
        <f>IF(PCS!I112&lt;0, 0, PCS!F112/Aide!C106)</f>
        <v>3.7430306554203869</v>
      </c>
      <c r="F106" s="512">
        <f>Effort!G106</f>
        <v>-3.7883629057628427</v>
      </c>
      <c r="G106" s="378">
        <f t="shared" si="4"/>
        <v>31.675714740182986</v>
      </c>
      <c r="H106" s="225">
        <f t="shared" si="5"/>
        <v>0</v>
      </c>
      <c r="I106" s="42">
        <f t="shared" si="6"/>
        <v>0</v>
      </c>
      <c r="J106" s="29"/>
    </row>
    <row r="107" spans="1:10" x14ac:dyDescent="0.25">
      <c r="A107" s="38">
        <f>Données!A107</f>
        <v>5582</v>
      </c>
      <c r="B107" s="170" t="str">
        <f>Données!B107</f>
        <v>Cheseaux-sur-Lausanne</v>
      </c>
      <c r="C107" s="351">
        <f>VPI!R107</f>
        <v>167486.36602739722</v>
      </c>
      <c r="D107" s="208">
        <f>Effort!I107-IF(PCS!I113&lt;0, Effort!D107, 0)</f>
        <v>13.732530596344992</v>
      </c>
      <c r="E107" s="512">
        <f>IF(PCS!I113&lt;0, 0, PCS!F113/Aide!C107)</f>
        <v>6.1257169424296452</v>
      </c>
      <c r="F107" s="512">
        <f>Effort!G107</f>
        <v>-2.8756582715325716</v>
      </c>
      <c r="G107" s="378">
        <f t="shared" si="4"/>
        <v>22.73390581030721</v>
      </c>
      <c r="H107" s="225">
        <f t="shared" si="5"/>
        <v>0</v>
      </c>
      <c r="I107" s="42">
        <f t="shared" si="6"/>
        <v>0</v>
      </c>
      <c r="J107" s="29"/>
    </row>
    <row r="108" spans="1:10" x14ac:dyDescent="0.25">
      <c r="A108" s="38">
        <f>Données!A108</f>
        <v>5583</v>
      </c>
      <c r="B108" s="170" t="str">
        <f>Données!B108</f>
        <v>Crissier</v>
      </c>
      <c r="C108" s="351">
        <f>VPI!R108</f>
        <v>337339.7176377952</v>
      </c>
      <c r="D108" s="208">
        <f>Effort!I108-IF(PCS!I114&lt;0, Effort!D108, 0)</f>
        <v>6.0168840883384931</v>
      </c>
      <c r="E108" s="512">
        <f>IF(PCS!I114&lt;0, 0, PCS!F114/Aide!C108)</f>
        <v>6.2487044506965264</v>
      </c>
      <c r="F108" s="512">
        <f>Effort!G108</f>
        <v>-8.6462401006244356</v>
      </c>
      <c r="G108" s="378">
        <f t="shared" si="4"/>
        <v>20.911828639659454</v>
      </c>
      <c r="H108" s="225">
        <f t="shared" si="5"/>
        <v>0</v>
      </c>
      <c r="I108" s="42">
        <f t="shared" si="6"/>
        <v>0</v>
      </c>
      <c r="J108" s="29"/>
    </row>
    <row r="109" spans="1:10" x14ac:dyDescent="0.25">
      <c r="A109" s="38">
        <f>Données!A109</f>
        <v>5584</v>
      </c>
      <c r="B109" s="170" t="str">
        <f>Données!B109</f>
        <v>Epalinges</v>
      </c>
      <c r="C109" s="351">
        <f>VPI!R109</f>
        <v>516682.33689922479</v>
      </c>
      <c r="D109" s="208">
        <f>Effort!I109-IF(PCS!I115&lt;0, Effort!D109, 0)</f>
        <v>15.560849968415475</v>
      </c>
      <c r="E109" s="512">
        <f>IF(PCS!I115&lt;0, 0, PCS!F115/Aide!C109)</f>
        <v>3.6373594194812888</v>
      </c>
      <c r="F109" s="512">
        <f>Effort!G109</f>
        <v>-7.7494505669265861</v>
      </c>
      <c r="G109" s="378">
        <f t="shared" si="4"/>
        <v>26.947659954823351</v>
      </c>
      <c r="H109" s="225">
        <f t="shared" si="5"/>
        <v>0</v>
      </c>
      <c r="I109" s="42">
        <f t="shared" si="6"/>
        <v>0</v>
      </c>
      <c r="J109" s="29"/>
    </row>
    <row r="110" spans="1:10" x14ac:dyDescent="0.25">
      <c r="A110" s="38">
        <f>Données!A110</f>
        <v>5585</v>
      </c>
      <c r="B110" s="170" t="str">
        <f>Données!B110</f>
        <v>Jouxtens-Mézery</v>
      </c>
      <c r="C110" s="351">
        <f>VPI!R110</f>
        <v>191742.38983050847</v>
      </c>
      <c r="D110" s="208">
        <f>Effort!I110-IF(PCS!I116&lt;0, Effort!D110, 0)</f>
        <v>45.507625689896074</v>
      </c>
      <c r="E110" s="512">
        <f>IF(PCS!I116&lt;0, 0, PCS!F116/Aide!C110)</f>
        <v>2.3094998992733982</v>
      </c>
      <c r="F110" s="512">
        <f>Effort!G110</f>
        <v>0</v>
      </c>
      <c r="G110" s="378">
        <f t="shared" si="4"/>
        <v>47.817125589169471</v>
      </c>
      <c r="H110" s="225">
        <f t="shared" si="5"/>
        <v>0</v>
      </c>
      <c r="I110" s="42">
        <f t="shared" si="6"/>
        <v>0</v>
      </c>
      <c r="J110" s="29"/>
    </row>
    <row r="111" spans="1:10" x14ac:dyDescent="0.25">
      <c r="A111" s="38">
        <f>Données!A111</f>
        <v>5586</v>
      </c>
      <c r="B111" s="170" t="str">
        <f>Données!B111</f>
        <v>Lausanne</v>
      </c>
      <c r="C111" s="351">
        <f>VPI!R111</f>
        <v>6457900.2123142257</v>
      </c>
      <c r="D111" s="208">
        <f>Effort!I111-IF(PCS!I117&lt;0, Effort!D111, 0)</f>
        <v>0.5059617127116276</v>
      </c>
      <c r="E111" s="512">
        <f>IF(PCS!I117&lt;0, 0, PCS!F117/Aide!C111)</f>
        <v>3.8112922832203084</v>
      </c>
      <c r="F111" s="512">
        <f>Effort!G111</f>
        <v>-7.6761385816381837</v>
      </c>
      <c r="G111" s="378">
        <f t="shared" si="4"/>
        <v>11.99339257757012</v>
      </c>
      <c r="H111" s="225">
        <f t="shared" si="5"/>
        <v>0</v>
      </c>
      <c r="I111" s="42">
        <f t="shared" si="6"/>
        <v>0</v>
      </c>
      <c r="J111" s="29"/>
    </row>
    <row r="112" spans="1:10" x14ac:dyDescent="0.25">
      <c r="A112" s="38">
        <f>Données!A112</f>
        <v>5587</v>
      </c>
      <c r="B112" s="170" t="str">
        <f>Données!B112</f>
        <v>Le Mont-sur-Lausanne</v>
      </c>
      <c r="C112" s="351">
        <f>VPI!R112</f>
        <v>494912.33501133788</v>
      </c>
      <c r="D112" s="208">
        <f>Effort!I112-IF(PCS!I118&lt;0, Effort!D112, 0)</f>
        <v>19.605463887235622</v>
      </c>
      <c r="E112" s="512">
        <f>IF(PCS!I118&lt;0, 0, PCS!F118/Aide!C112)</f>
        <v>5.4471347636511043</v>
      </c>
      <c r="F112" s="512">
        <f>Effort!G112</f>
        <v>-4.7506448589084176</v>
      </c>
      <c r="G112" s="378">
        <f t="shared" si="4"/>
        <v>29.803243509795145</v>
      </c>
      <c r="H112" s="225">
        <f t="shared" si="5"/>
        <v>0</v>
      </c>
      <c r="I112" s="42">
        <f t="shared" si="6"/>
        <v>0</v>
      </c>
      <c r="J112" s="29"/>
    </row>
    <row r="113" spans="1:10" x14ac:dyDescent="0.25">
      <c r="A113" s="38">
        <f>Données!A113</f>
        <v>5588</v>
      </c>
      <c r="B113" s="170" t="str">
        <f>Données!B113</f>
        <v>Paudex</v>
      </c>
      <c r="C113" s="351">
        <f>VPI!R113</f>
        <v>140525.78356605806</v>
      </c>
      <c r="D113" s="208">
        <f>Effort!I113-IF(PCS!I119&lt;0, Effort!D113, 0)</f>
        <v>39.784399526855516</v>
      </c>
      <c r="E113" s="512">
        <f>IF(PCS!I119&lt;0, 0, PCS!F119/Aide!C113)</f>
        <v>1.3857908140284969</v>
      </c>
      <c r="F113" s="512">
        <f>Effort!G113</f>
        <v>0</v>
      </c>
      <c r="G113" s="378">
        <f t="shared" si="4"/>
        <v>41.170190340884012</v>
      </c>
      <c r="H113" s="225">
        <f t="shared" si="5"/>
        <v>0</v>
      </c>
      <c r="I113" s="42">
        <f t="shared" si="6"/>
        <v>0</v>
      </c>
      <c r="J113" s="29"/>
    </row>
    <row r="114" spans="1:10" x14ac:dyDescent="0.25">
      <c r="A114" s="38">
        <f>Données!A114</f>
        <v>5589</v>
      </c>
      <c r="B114" s="170" t="str">
        <f>Données!B114</f>
        <v>Prilly</v>
      </c>
      <c r="C114" s="351">
        <f>VPI!R114</f>
        <v>419337.60911405843</v>
      </c>
      <c r="D114" s="208">
        <f>Effort!I114-IF(PCS!I120&lt;0, Effort!D114, 0)</f>
        <v>-2.0690075754283583</v>
      </c>
      <c r="E114" s="512">
        <f>IF(PCS!I120&lt;0, 0, PCS!F120/Aide!C114)</f>
        <v>3.9347732808559179</v>
      </c>
      <c r="F114" s="512">
        <f>Effort!G114</f>
        <v>-7.9049869920301346</v>
      </c>
      <c r="G114" s="378">
        <f t="shared" si="4"/>
        <v>9.770752697457695</v>
      </c>
      <c r="H114" s="225">
        <f t="shared" si="5"/>
        <v>0</v>
      </c>
      <c r="I114" s="42">
        <f t="shared" si="6"/>
        <v>0</v>
      </c>
      <c r="J114" s="29"/>
    </row>
    <row r="115" spans="1:10" x14ac:dyDescent="0.25">
      <c r="A115" s="38">
        <f>Données!A115</f>
        <v>5590</v>
      </c>
      <c r="B115" s="170" t="str">
        <f>Données!B115</f>
        <v>Pully</v>
      </c>
      <c r="C115" s="351">
        <f>VPI!R115</f>
        <v>1602221.7514051518</v>
      </c>
      <c r="D115" s="208">
        <f>Effort!I115-IF(PCS!I121&lt;0, Effort!D115, 0)</f>
        <v>29.603162081869939</v>
      </c>
      <c r="E115" s="512">
        <f>IF(PCS!I121&lt;0, 0, PCS!F121/Aide!C115)</f>
        <v>3.0036883070519811</v>
      </c>
      <c r="F115" s="512">
        <f>Effort!G115</f>
        <v>-1.5550647027379245</v>
      </c>
      <c r="G115" s="378">
        <f t="shared" si="4"/>
        <v>34.161915091659843</v>
      </c>
      <c r="H115" s="225">
        <f t="shared" si="5"/>
        <v>0</v>
      </c>
      <c r="I115" s="42">
        <f t="shared" si="6"/>
        <v>0</v>
      </c>
      <c r="J115" s="29"/>
    </row>
    <row r="116" spans="1:10" x14ac:dyDescent="0.25">
      <c r="A116" s="38">
        <f>Données!A116</f>
        <v>5591</v>
      </c>
      <c r="B116" s="170" t="str">
        <f>Données!B116</f>
        <v>Renens</v>
      </c>
      <c r="C116" s="351">
        <f>VPI!R116</f>
        <v>569549.93361781072</v>
      </c>
      <c r="D116" s="208">
        <f>Effort!I116-IF(PCS!I122&lt;0, Effort!D116, 0)</f>
        <v>-27.35511060724097</v>
      </c>
      <c r="E116" s="512">
        <f>IF(PCS!I122&lt;0, 0, PCS!F122/Aide!C116)</f>
        <v>5.4816003930833723</v>
      </c>
      <c r="F116" s="512">
        <f>Effort!G116</f>
        <v>-12.345590760812007</v>
      </c>
      <c r="G116" s="378">
        <f t="shared" si="4"/>
        <v>-9.5279194533455911</v>
      </c>
      <c r="H116" s="225">
        <f t="shared" si="5"/>
        <v>-1.5279194533455911</v>
      </c>
      <c r="I116" s="42">
        <f t="shared" si="6"/>
        <v>870226.423226343</v>
      </c>
      <c r="J116" s="29"/>
    </row>
    <row r="117" spans="1:10" x14ac:dyDescent="0.25">
      <c r="A117" s="38">
        <f>Données!A117</f>
        <v>5592</v>
      </c>
      <c r="B117" s="170" t="str">
        <f>Données!B117</f>
        <v>Romanel-sur-Lausanne</v>
      </c>
      <c r="C117" s="351">
        <f>VPI!R117</f>
        <v>121058.65858156027</v>
      </c>
      <c r="D117" s="208">
        <f>Effort!I117-IF(PCS!I123&lt;0, Effort!D117, 0)</f>
        <v>13.30543447870974</v>
      </c>
      <c r="E117" s="512">
        <f>IF(PCS!I123&lt;0, 0, PCS!F123/Aide!C117)</f>
        <v>7.1645379616994376</v>
      </c>
      <c r="F117" s="512">
        <f>Effort!G117</f>
        <v>-2.0611768000264781</v>
      </c>
      <c r="G117" s="378">
        <f t="shared" si="4"/>
        <v>22.531149240435656</v>
      </c>
      <c r="H117" s="225">
        <f t="shared" si="5"/>
        <v>0</v>
      </c>
      <c r="I117" s="42">
        <f t="shared" si="6"/>
        <v>0</v>
      </c>
      <c r="J117" s="29"/>
    </row>
    <row r="118" spans="1:10" x14ac:dyDescent="0.25">
      <c r="A118" s="38">
        <f>Données!A118</f>
        <v>5601</v>
      </c>
      <c r="B118" s="170" t="str">
        <f>Données!B118</f>
        <v>Chexbres</v>
      </c>
      <c r="C118" s="351">
        <f>VPI!R118</f>
        <v>105964.39288888889</v>
      </c>
      <c r="D118" s="208">
        <f>Effort!I118-IF(PCS!I124&lt;0, Effort!D118, 0)</f>
        <v>23.705145851474068</v>
      </c>
      <c r="E118" s="512">
        <f>IF(PCS!I124&lt;0, 0, PCS!F124/Aide!C118)</f>
        <v>2.6678902911889679</v>
      </c>
      <c r="F118" s="512">
        <f>Effort!G118</f>
        <v>-2.7112186918101173</v>
      </c>
      <c r="G118" s="378">
        <f t="shared" si="4"/>
        <v>29.084254834473153</v>
      </c>
      <c r="H118" s="225">
        <f t="shared" si="5"/>
        <v>0</v>
      </c>
      <c r="I118" s="42">
        <f t="shared" si="6"/>
        <v>0</v>
      </c>
      <c r="J118" s="29"/>
    </row>
    <row r="119" spans="1:10" x14ac:dyDescent="0.25">
      <c r="A119" s="38">
        <f>Données!A119</f>
        <v>5604</v>
      </c>
      <c r="B119" s="170" t="str">
        <f>Données!B119</f>
        <v>Forel (Lavaux)</v>
      </c>
      <c r="C119" s="351">
        <f>VPI!R119</f>
        <v>75806.642898550723</v>
      </c>
      <c r="D119" s="208">
        <f>Effort!I119-IF(PCS!I125&lt;0, Effort!D119, 0)</f>
        <v>14.166712441769773</v>
      </c>
      <c r="E119" s="512">
        <f>IF(PCS!I125&lt;0, 0, PCS!F125/Aide!C119)</f>
        <v>2.9705786510209014</v>
      </c>
      <c r="F119" s="512">
        <f>Effort!G119</f>
        <v>-4.4605938171041251</v>
      </c>
      <c r="G119" s="378">
        <f t="shared" si="4"/>
        <v>21.597884909894802</v>
      </c>
      <c r="H119" s="225">
        <f t="shared" si="5"/>
        <v>0</v>
      </c>
      <c r="I119" s="42">
        <f t="shared" si="6"/>
        <v>0</v>
      </c>
      <c r="J119" s="29"/>
    </row>
    <row r="120" spans="1:10" x14ac:dyDescent="0.25">
      <c r="A120" s="38">
        <f>Données!A120</f>
        <v>5606</v>
      </c>
      <c r="B120" s="170" t="str">
        <f>Données!B120</f>
        <v>Lutry</v>
      </c>
      <c r="C120" s="351">
        <f>VPI!R120</f>
        <v>959386.53714285709</v>
      </c>
      <c r="D120" s="208">
        <f>Effort!I120-IF(PCS!I126&lt;0, Effort!D120, 0)</f>
        <v>31.756447454793189</v>
      </c>
      <c r="E120" s="512">
        <f>IF(PCS!I126&lt;0, 0, PCS!F126/Aide!C120)</f>
        <v>3.9237509171336891</v>
      </c>
      <c r="F120" s="512">
        <f>Effort!G120</f>
        <v>-2.1414103675679805</v>
      </c>
      <c r="G120" s="378">
        <f t="shared" si="4"/>
        <v>37.821608739494856</v>
      </c>
      <c r="H120" s="225">
        <f t="shared" si="5"/>
        <v>0</v>
      </c>
      <c r="I120" s="42">
        <f t="shared" si="6"/>
        <v>0</v>
      </c>
      <c r="J120" s="29"/>
    </row>
    <row r="121" spans="1:10" x14ac:dyDescent="0.25">
      <c r="A121" s="38">
        <f>Données!A121</f>
        <v>5607</v>
      </c>
      <c r="B121" s="170" t="str">
        <f>Données!B121</f>
        <v>Puidoux</v>
      </c>
      <c r="C121" s="351">
        <f>VPI!R121</f>
        <v>111538.40092668995</v>
      </c>
      <c r="D121" s="208">
        <f>Effort!I121-IF(PCS!I127&lt;0, Effort!D121, 0)</f>
        <v>11.0829895950836</v>
      </c>
      <c r="E121" s="512">
        <f>IF(PCS!I127&lt;0, 0, PCS!F127/Aide!C121)</f>
        <v>5.0055023235177414</v>
      </c>
      <c r="F121" s="512">
        <f>Effort!G121</f>
        <v>-8.6939505711330227</v>
      </c>
      <c r="G121" s="378">
        <f t="shared" si="4"/>
        <v>24.782442489734365</v>
      </c>
      <c r="H121" s="225">
        <f t="shared" si="5"/>
        <v>0</v>
      </c>
      <c r="I121" s="42">
        <f t="shared" si="6"/>
        <v>0</v>
      </c>
      <c r="J121" s="29"/>
    </row>
    <row r="122" spans="1:10" x14ac:dyDescent="0.25">
      <c r="A122" s="38">
        <f>Données!A122</f>
        <v>5609</v>
      </c>
      <c r="B122" s="170" t="str">
        <f>Données!B122</f>
        <v>Rivaz</v>
      </c>
      <c r="C122" s="351">
        <f>VPI!R122</f>
        <v>14895.889354838711</v>
      </c>
      <c r="D122" s="208">
        <f>Effort!I122-IF(PCS!I128&lt;0, Effort!D122, 0)</f>
        <v>24.723164745487104</v>
      </c>
      <c r="E122" s="512">
        <f>IF(PCS!I128&lt;0, 0, PCS!F128/Aide!C122)</f>
        <v>1.2771946371782108</v>
      </c>
      <c r="F122" s="512">
        <f>Effort!G122</f>
        <v>-3.3847870825241948</v>
      </c>
      <c r="G122" s="378">
        <f t="shared" si="4"/>
        <v>29.385146465189511</v>
      </c>
      <c r="H122" s="225">
        <f t="shared" si="5"/>
        <v>0</v>
      </c>
      <c r="I122" s="42">
        <f t="shared" si="6"/>
        <v>0</v>
      </c>
      <c r="J122" s="29"/>
    </row>
    <row r="123" spans="1:10" x14ac:dyDescent="0.25">
      <c r="A123" s="38">
        <f>Données!A123</f>
        <v>5610</v>
      </c>
      <c r="B123" s="170" t="str">
        <f>Données!B123</f>
        <v>St-Saphorin (Lavaux)</v>
      </c>
      <c r="C123" s="351">
        <f>VPI!R123</f>
        <v>23447.805208333331</v>
      </c>
      <c r="D123" s="208">
        <f>Effort!I123-IF(PCS!I129&lt;0, Effort!D123, 0)</f>
        <v>32.571794796882926</v>
      </c>
      <c r="E123" s="512">
        <f>IF(PCS!I129&lt;0, 0, PCS!F129/Aide!C123)</f>
        <v>2.7432162383002003</v>
      </c>
      <c r="F123" s="512">
        <f>Effort!G123</f>
        <v>-0.17274191396645072</v>
      </c>
      <c r="G123" s="378">
        <f t="shared" si="4"/>
        <v>35.487752949149574</v>
      </c>
      <c r="H123" s="225">
        <f t="shared" si="5"/>
        <v>0</v>
      </c>
      <c r="I123" s="42">
        <f t="shared" si="6"/>
        <v>0</v>
      </c>
      <c r="J123" s="29"/>
    </row>
    <row r="124" spans="1:10" x14ac:dyDescent="0.25">
      <c r="A124" s="38">
        <f>Données!A124</f>
        <v>5611</v>
      </c>
      <c r="B124" s="170" t="str">
        <f>Données!B124</f>
        <v>Savigny</v>
      </c>
      <c r="C124" s="351">
        <f>VPI!R124</f>
        <v>140961.75301932363</v>
      </c>
      <c r="D124" s="208">
        <f>Effort!I124-IF(PCS!I130&lt;0, Effort!D124, 0)</f>
        <v>17.255236418341173</v>
      </c>
      <c r="E124" s="512">
        <f>IF(PCS!I130&lt;0, 0, PCS!F130/Aide!C124)</f>
        <v>3.1551299588267137</v>
      </c>
      <c r="F124" s="512">
        <f>Effort!G124</f>
        <v>-4.5481484739777001</v>
      </c>
      <c r="G124" s="378">
        <f t="shared" si="4"/>
        <v>24.958514851145587</v>
      </c>
      <c r="H124" s="225">
        <f t="shared" si="5"/>
        <v>0</v>
      </c>
      <c r="I124" s="42">
        <f t="shared" si="6"/>
        <v>0</v>
      </c>
      <c r="J124" s="29"/>
    </row>
    <row r="125" spans="1:10" x14ac:dyDescent="0.25">
      <c r="A125" s="38">
        <f>Données!A125</f>
        <v>5613</v>
      </c>
      <c r="B125" s="170" t="str">
        <f>Données!B125</f>
        <v>Bourg-en-Lavaux</v>
      </c>
      <c r="C125" s="351">
        <f>VPI!R125</f>
        <v>357200.5696533334</v>
      </c>
      <c r="D125" s="208">
        <f>Effort!I125-IF(PCS!I131&lt;0, Effort!D125, 0)</f>
        <v>30.410904791791136</v>
      </c>
      <c r="E125" s="512">
        <f>IF(PCS!I131&lt;0, 0, PCS!F131/Aide!C125)</f>
        <v>2.8575137239859516</v>
      </c>
      <c r="F125" s="512">
        <f>Effort!G125</f>
        <v>0</v>
      </c>
      <c r="G125" s="378">
        <f t="shared" si="4"/>
        <v>33.268418515777086</v>
      </c>
      <c r="H125" s="225">
        <f t="shared" si="5"/>
        <v>0</v>
      </c>
      <c r="I125" s="42">
        <f t="shared" si="6"/>
        <v>0</v>
      </c>
      <c r="J125" s="29"/>
    </row>
    <row r="126" spans="1:10" x14ac:dyDescent="0.25">
      <c r="A126" s="38">
        <f>Données!A126</f>
        <v>5621</v>
      </c>
      <c r="B126" s="170" t="str">
        <f>Données!B126</f>
        <v>Aclens</v>
      </c>
      <c r="C126" s="351">
        <f>VPI!R126</f>
        <v>32245.149105571847</v>
      </c>
      <c r="D126" s="208">
        <f>Effort!I126-IF(PCS!I132&lt;0, Effort!D126, 0)</f>
        <v>32.137590781122995</v>
      </c>
      <c r="E126" s="512">
        <f>IF(PCS!I132&lt;0, 0, PCS!F132/Aide!C126)</f>
        <v>6.6748698942380962</v>
      </c>
      <c r="F126" s="512">
        <f>Effort!G126</f>
        <v>-1.1209780810200378</v>
      </c>
      <c r="G126" s="378">
        <f t="shared" si="4"/>
        <v>39.933438756381136</v>
      </c>
      <c r="H126" s="225">
        <f t="shared" si="5"/>
        <v>0</v>
      </c>
      <c r="I126" s="42">
        <f t="shared" si="6"/>
        <v>0</v>
      </c>
      <c r="J126" s="29"/>
    </row>
    <row r="127" spans="1:10" x14ac:dyDescent="0.25">
      <c r="A127" s="38">
        <f>Données!A127</f>
        <v>5622</v>
      </c>
      <c r="B127" s="170" t="str">
        <f>Données!B127</f>
        <v>Bremblens</v>
      </c>
      <c r="C127" s="351">
        <f>VPI!R127</f>
        <v>28642.58897058824</v>
      </c>
      <c r="D127" s="208">
        <f>Effort!I127-IF(PCS!I133&lt;0, Effort!D127, 0)</f>
        <v>28.597341723161605</v>
      </c>
      <c r="E127" s="512">
        <f>IF(PCS!I133&lt;0, 0, PCS!F133/Aide!C127)</f>
        <v>3.9741814232256614</v>
      </c>
      <c r="F127" s="512">
        <f>Effort!G127</f>
        <v>-0.35127642221177063</v>
      </c>
      <c r="G127" s="378">
        <f t="shared" si="4"/>
        <v>32.922799568599032</v>
      </c>
      <c r="H127" s="225">
        <f t="shared" si="5"/>
        <v>0</v>
      </c>
      <c r="I127" s="42">
        <f t="shared" si="6"/>
        <v>0</v>
      </c>
      <c r="J127" s="29"/>
    </row>
    <row r="128" spans="1:10" x14ac:dyDescent="0.25">
      <c r="A128" s="38">
        <f>Données!A128</f>
        <v>5623</v>
      </c>
      <c r="B128" s="170" t="str">
        <f>Données!B128</f>
        <v>Buchillon</v>
      </c>
      <c r="C128" s="351">
        <f>VPI!R128</f>
        <v>89223.972115384619</v>
      </c>
      <c r="D128" s="208">
        <f>Effort!I128-IF(PCS!I134&lt;0, Effort!D128, 0)</f>
        <v>44.485941749411701</v>
      </c>
      <c r="E128" s="512">
        <f>IF(PCS!I134&lt;0, 0, PCS!F134/Aide!C128)</f>
        <v>1.263696429634279</v>
      </c>
      <c r="F128" s="512">
        <f>Effort!G128</f>
        <v>0</v>
      </c>
      <c r="G128" s="378">
        <f t="shared" si="4"/>
        <v>45.749638179045981</v>
      </c>
      <c r="H128" s="225">
        <f t="shared" si="5"/>
        <v>0</v>
      </c>
      <c r="I128" s="42">
        <f t="shared" si="6"/>
        <v>0</v>
      </c>
      <c r="J128" s="29"/>
    </row>
    <row r="129" spans="1:10" x14ac:dyDescent="0.25">
      <c r="A129" s="38">
        <f>Données!A129</f>
        <v>5624</v>
      </c>
      <c r="B129" s="170" t="str">
        <f>Données!B129</f>
        <v>Bussigny</v>
      </c>
      <c r="C129" s="351">
        <f>VPI!R129</f>
        <v>441652.56160000002</v>
      </c>
      <c r="D129" s="208">
        <f>Effort!I129-IF(PCS!I135&lt;0, Effort!D129, 0)</f>
        <v>14.703489663318351</v>
      </c>
      <c r="E129" s="512">
        <f>IF(PCS!I135&lt;0, 0, PCS!F135/Aide!C129)</f>
        <v>5.2385555437928657</v>
      </c>
      <c r="F129" s="512">
        <f>Effort!G129</f>
        <v>-3.148195949238664</v>
      </c>
      <c r="G129" s="378">
        <f t="shared" si="4"/>
        <v>23.090241156349883</v>
      </c>
      <c r="H129" s="225">
        <f t="shared" si="5"/>
        <v>0</v>
      </c>
      <c r="I129" s="42">
        <f t="shared" si="6"/>
        <v>0</v>
      </c>
      <c r="J129" s="29"/>
    </row>
    <row r="130" spans="1:10" x14ac:dyDescent="0.25">
      <c r="A130" s="38">
        <f>Données!A130</f>
        <v>5627</v>
      </c>
      <c r="B130" s="170" t="str">
        <f>Données!B130</f>
        <v>Chavannes-près-Renens</v>
      </c>
      <c r="C130" s="351">
        <f>VPI!R130</f>
        <v>194013.68774193546</v>
      </c>
      <c r="D130" s="208">
        <f>Effort!I130-IF(PCS!I136&lt;0, Effort!D130, 0)</f>
        <v>-27.51185418513197</v>
      </c>
      <c r="E130" s="512">
        <f>IF(PCS!I136&lt;0, 0, PCS!F136/Aide!C130)</f>
        <v>5.4883492365566928</v>
      </c>
      <c r="F130" s="512">
        <f>Effort!G130</f>
        <v>-9.7759294492211701</v>
      </c>
      <c r="G130" s="378">
        <f t="shared" si="4"/>
        <v>-12.247575499354106</v>
      </c>
      <c r="H130" s="225">
        <f t="shared" si="5"/>
        <v>-4.2475754993541059</v>
      </c>
      <c r="I130" s="42">
        <f t="shared" si="6"/>
        <v>824087.78659198305</v>
      </c>
      <c r="J130" s="29"/>
    </row>
    <row r="131" spans="1:10" x14ac:dyDescent="0.25">
      <c r="A131" s="38">
        <f>Données!A131</f>
        <v>5628</v>
      </c>
      <c r="B131" s="170" t="str">
        <f>Données!B131</f>
        <v>Chigny</v>
      </c>
      <c r="C131" s="351">
        <f>VPI!R131</f>
        <v>25790.655967741935</v>
      </c>
      <c r="D131" s="208">
        <f>Effort!I131-IF(PCS!I137&lt;0, Effort!D131, 0)</f>
        <v>33.61503497648448</v>
      </c>
      <c r="E131" s="512">
        <f>IF(PCS!I137&lt;0, 0, PCS!F137/Aide!C131)</f>
        <v>1.0543335940741778</v>
      </c>
      <c r="F131" s="512">
        <f>Effort!G131</f>
        <v>0</v>
      </c>
      <c r="G131" s="378">
        <f t="shared" si="4"/>
        <v>34.66936857055866</v>
      </c>
      <c r="H131" s="225">
        <f t="shared" si="5"/>
        <v>0</v>
      </c>
      <c r="I131" s="42">
        <f t="shared" si="6"/>
        <v>0</v>
      </c>
      <c r="J131" s="29"/>
    </row>
    <row r="132" spans="1:10" x14ac:dyDescent="0.25">
      <c r="A132" s="38">
        <f>Données!A132</f>
        <v>5629</v>
      </c>
      <c r="B132" s="170" t="str">
        <f>Données!B132</f>
        <v>Clarmont</v>
      </c>
      <c r="C132" s="351">
        <f>VPI!R132</f>
        <v>9947.9383673469401</v>
      </c>
      <c r="D132" s="208">
        <f>Effort!I132-IF(PCS!I138&lt;0, Effort!D132, 0)</f>
        <v>23.967800994318086</v>
      </c>
      <c r="E132" s="512">
        <f>IF(PCS!I138&lt;0, 0, PCS!F138/Aide!C132)</f>
        <v>1.3606864558420042</v>
      </c>
      <c r="F132" s="512">
        <f>Effort!G132</f>
        <v>-4.91050185395813</v>
      </c>
      <c r="G132" s="378">
        <f t="shared" si="4"/>
        <v>30.238989304118221</v>
      </c>
      <c r="H132" s="225">
        <f t="shared" si="5"/>
        <v>0</v>
      </c>
      <c r="I132" s="42">
        <f t="shared" si="6"/>
        <v>0</v>
      </c>
      <c r="J132" s="29"/>
    </row>
    <row r="133" spans="1:10" x14ac:dyDescent="0.25">
      <c r="A133" s="38">
        <f>Données!A133</f>
        <v>5631</v>
      </c>
      <c r="B133" s="170" t="str">
        <f>Données!B133</f>
        <v>Denens</v>
      </c>
      <c r="C133" s="351">
        <f>VPI!R133</f>
        <v>43289.846911764696</v>
      </c>
      <c r="D133" s="208">
        <f>Effort!I133-IF(PCS!I139&lt;0, Effort!D133, 0)</f>
        <v>32.529380296611016</v>
      </c>
      <c r="E133" s="512">
        <f>IF(PCS!I139&lt;0, 0, PCS!F139/Aide!C133)</f>
        <v>6.2468442207982902</v>
      </c>
      <c r="F133" s="512">
        <f>Effort!G133</f>
        <v>0</v>
      </c>
      <c r="G133" s="378">
        <f t="shared" si="4"/>
        <v>38.776224517409304</v>
      </c>
      <c r="H133" s="225">
        <f t="shared" si="5"/>
        <v>0</v>
      </c>
      <c r="I133" s="42">
        <f t="shared" si="6"/>
        <v>0</v>
      </c>
      <c r="J133" s="29"/>
    </row>
    <row r="134" spans="1:10" x14ac:dyDescent="0.25">
      <c r="A134" s="38">
        <f>Données!A134</f>
        <v>5632</v>
      </c>
      <c r="B134" s="170" t="str">
        <f>Données!B134</f>
        <v>Denges</v>
      </c>
      <c r="C134" s="351">
        <f>VPI!R134</f>
        <v>80504.673548387087</v>
      </c>
      <c r="D134" s="208">
        <f>Effort!I134-IF(PCS!I140&lt;0, Effort!D134, 0)</f>
        <v>25.134568536825633</v>
      </c>
      <c r="E134" s="512">
        <f>IF(PCS!I140&lt;0, 0, PCS!F140/Aide!C134)</f>
        <v>2.9594738975843393</v>
      </c>
      <c r="F134" s="512">
        <f>Effort!G134</f>
        <v>-1.3094017286626141</v>
      </c>
      <c r="G134" s="378">
        <f t="shared" si="4"/>
        <v>29.403444163072585</v>
      </c>
      <c r="H134" s="225">
        <f t="shared" si="5"/>
        <v>0</v>
      </c>
      <c r="I134" s="42">
        <f t="shared" si="6"/>
        <v>0</v>
      </c>
      <c r="J134" s="29"/>
    </row>
    <row r="135" spans="1:10" x14ac:dyDescent="0.25">
      <c r="A135" s="38">
        <f>Données!A135</f>
        <v>5633</v>
      </c>
      <c r="B135" s="170" t="str">
        <f>Données!B135</f>
        <v>Echandens</v>
      </c>
      <c r="C135" s="351">
        <f>VPI!R135</f>
        <v>168819.8966942149</v>
      </c>
      <c r="D135" s="208">
        <f>Effort!I135-IF(PCS!I141&lt;0, Effort!D135, 0)</f>
        <v>26.732497499701456</v>
      </c>
      <c r="E135" s="512">
        <f>IF(PCS!I141&lt;0, 0, PCS!F141/Aide!C135)</f>
        <v>1.9244181305741368</v>
      </c>
      <c r="F135" s="512">
        <f>Effort!G135</f>
        <v>-3.5758603201147281</v>
      </c>
      <c r="G135" s="378">
        <f t="shared" ref="G135:G198" si="7">D135+E135-F135</f>
        <v>32.23277595039032</v>
      </c>
      <c r="H135" s="225">
        <f t="shared" ref="H135:H198" si="8">IF(G135&lt;H$5,G135-H$5,0)</f>
        <v>0</v>
      </c>
      <c r="I135" s="42">
        <f t="shared" ref="I135:I198" si="9">-H135*C135</f>
        <v>0</v>
      </c>
      <c r="J135" s="29"/>
    </row>
    <row r="136" spans="1:10" x14ac:dyDescent="0.25">
      <c r="A136" s="38">
        <f>Données!A136</f>
        <v>5634</v>
      </c>
      <c r="B136" s="170" t="str">
        <f>Données!B136</f>
        <v>Echichens</v>
      </c>
      <c r="C136" s="351">
        <f>VPI!R136</f>
        <v>152560.86727272728</v>
      </c>
      <c r="D136" s="208">
        <f>Effort!I136-IF(PCS!I142&lt;0, Effort!D136, 0)</f>
        <v>25.259608204456427</v>
      </c>
      <c r="E136" s="512">
        <f>IF(PCS!I142&lt;0, 0, PCS!F142/Aide!C136)</f>
        <v>3.5491757793434862</v>
      </c>
      <c r="F136" s="512">
        <f>Effort!G136</f>
        <v>-0.82233110368574536</v>
      </c>
      <c r="G136" s="378">
        <f t="shared" si="7"/>
        <v>29.631115087485657</v>
      </c>
      <c r="H136" s="225">
        <f t="shared" si="8"/>
        <v>0</v>
      </c>
      <c r="I136" s="42">
        <f t="shared" si="9"/>
        <v>0</v>
      </c>
      <c r="J136" s="29"/>
    </row>
    <row r="137" spans="1:10" x14ac:dyDescent="0.25">
      <c r="A137" s="38">
        <f>Données!A137</f>
        <v>5635</v>
      </c>
      <c r="B137" s="170" t="str">
        <f>Données!B137</f>
        <v>Ecublens</v>
      </c>
      <c r="C137" s="351">
        <f>VPI!R137</f>
        <v>655936.21421333333</v>
      </c>
      <c r="D137" s="208">
        <f>Effort!I137-IF(PCS!I143&lt;0, Effort!D137, 0)</f>
        <v>15.929609076286551</v>
      </c>
      <c r="E137" s="512">
        <f>IF(PCS!I143&lt;0, 0, PCS!F143/Aide!C137)</f>
        <v>3.2241052547103171</v>
      </c>
      <c r="F137" s="512">
        <f>Effort!G137</f>
        <v>-3.903365005987125</v>
      </c>
      <c r="G137" s="378">
        <f t="shared" si="7"/>
        <v>23.057079336983996</v>
      </c>
      <c r="H137" s="225">
        <f t="shared" si="8"/>
        <v>0</v>
      </c>
      <c r="I137" s="42">
        <f t="shared" si="9"/>
        <v>0</v>
      </c>
      <c r="J137" s="29"/>
    </row>
    <row r="138" spans="1:10" x14ac:dyDescent="0.25">
      <c r="A138" s="38">
        <f>Données!A138</f>
        <v>5636</v>
      </c>
      <c r="B138" s="170" t="str">
        <f>Données!B138</f>
        <v>Etoy</v>
      </c>
      <c r="C138" s="351">
        <f>VPI!R138</f>
        <v>186941.23816666668</v>
      </c>
      <c r="D138" s="208">
        <f>Effort!I138-IF(PCS!I144&lt;0, Effort!D138, 0)</f>
        <v>31.212795523037094</v>
      </c>
      <c r="E138" s="512">
        <f>IF(PCS!I144&lt;0, 0, PCS!F144/Aide!C138)</f>
        <v>5.936714263176901</v>
      </c>
      <c r="F138" s="512">
        <f>Effort!G138</f>
        <v>0</v>
      </c>
      <c r="G138" s="378">
        <f t="shared" si="7"/>
        <v>37.149509786213997</v>
      </c>
      <c r="H138" s="225">
        <f t="shared" si="8"/>
        <v>0</v>
      </c>
      <c r="I138" s="42">
        <f t="shared" si="9"/>
        <v>0</v>
      </c>
      <c r="J138" s="29"/>
    </row>
    <row r="139" spans="1:10" x14ac:dyDescent="0.25">
      <c r="A139" s="38">
        <f>Données!A139</f>
        <v>5637</v>
      </c>
      <c r="B139" s="170" t="str">
        <f>Données!B139</f>
        <v>Lavigny</v>
      </c>
      <c r="C139" s="351">
        <f>VPI!R139</f>
        <v>37899.400821917814</v>
      </c>
      <c r="D139" s="208">
        <f>Effort!I139-IF(PCS!I145&lt;0, Effort!D139, 0)</f>
        <v>18.96278987318847</v>
      </c>
      <c r="E139" s="512">
        <f>IF(PCS!I145&lt;0, 0, PCS!F145/Aide!C139)</f>
        <v>6.4310853130702972</v>
      </c>
      <c r="F139" s="512">
        <f>Effort!G139</f>
        <v>-3.0238102076330931</v>
      </c>
      <c r="G139" s="378">
        <f t="shared" si="7"/>
        <v>28.417685393891862</v>
      </c>
      <c r="H139" s="225">
        <f t="shared" si="8"/>
        <v>0</v>
      </c>
      <c r="I139" s="42">
        <f t="shared" si="9"/>
        <v>0</v>
      </c>
      <c r="J139" s="29"/>
    </row>
    <row r="140" spans="1:10" x14ac:dyDescent="0.25">
      <c r="A140" s="38">
        <f>Données!A140</f>
        <v>5638</v>
      </c>
      <c r="B140" s="170" t="str">
        <f>Données!B140</f>
        <v>Lonay</v>
      </c>
      <c r="C140" s="351">
        <f>VPI!R140</f>
        <v>174116.12454545454</v>
      </c>
      <c r="D140" s="208">
        <f>Effort!I140-IF(PCS!I146&lt;0, Effort!D140, 0)</f>
        <v>28.651645876073569</v>
      </c>
      <c r="E140" s="512">
        <f>IF(PCS!I146&lt;0, 0, PCS!F146/Aide!C140)</f>
        <v>12.778044599879546</v>
      </c>
      <c r="F140" s="512">
        <f>Effort!G140</f>
        <v>-2.1200937230308319</v>
      </c>
      <c r="G140" s="378">
        <f t="shared" si="7"/>
        <v>43.54978419898395</v>
      </c>
      <c r="H140" s="225">
        <f t="shared" si="8"/>
        <v>0</v>
      </c>
      <c r="I140" s="42">
        <f t="shared" si="9"/>
        <v>0</v>
      </c>
      <c r="J140" s="29"/>
    </row>
    <row r="141" spans="1:10" x14ac:dyDescent="0.25">
      <c r="A141" s="38">
        <f>Données!A141</f>
        <v>5639</v>
      </c>
      <c r="B141" s="170" t="str">
        <f>Données!B141</f>
        <v>Lully</v>
      </c>
      <c r="C141" s="351">
        <f>VPI!R141</f>
        <v>53706.334426229514</v>
      </c>
      <c r="D141" s="208">
        <f>Effort!I141-IF(PCS!I147&lt;0, Effort!D141, 0)</f>
        <v>33.860595523964875</v>
      </c>
      <c r="E141" s="512">
        <f>IF(PCS!I147&lt;0, 0, PCS!F147/Aide!C141)</f>
        <v>1.7990472824526238</v>
      </c>
      <c r="F141" s="512">
        <f>Effort!G141</f>
        <v>0</v>
      </c>
      <c r="G141" s="378">
        <f t="shared" si="7"/>
        <v>35.659642806417502</v>
      </c>
      <c r="H141" s="225">
        <f t="shared" si="8"/>
        <v>0</v>
      </c>
      <c r="I141" s="42">
        <f t="shared" si="9"/>
        <v>0</v>
      </c>
      <c r="J141" s="29"/>
    </row>
    <row r="142" spans="1:10" x14ac:dyDescent="0.25">
      <c r="A142" s="38">
        <f>Données!A142</f>
        <v>5640</v>
      </c>
      <c r="B142" s="170" t="str">
        <f>Données!B142</f>
        <v>Lussy-sur-Morges</v>
      </c>
      <c r="C142" s="351">
        <f>VPI!R142</f>
        <v>70525.081395348854</v>
      </c>
      <c r="D142" s="208">
        <f>Effort!I142-IF(PCS!I148&lt;0, Effort!D142, 0)</f>
        <v>41.174229512211667</v>
      </c>
      <c r="E142" s="512">
        <f>IF(PCS!I148&lt;0, 0, PCS!F148/Aide!C142)</f>
        <v>5.3157044640394284</v>
      </c>
      <c r="F142" s="512">
        <f>Effort!G142</f>
        <v>0</v>
      </c>
      <c r="G142" s="378">
        <f t="shared" si="7"/>
        <v>46.489933976251095</v>
      </c>
      <c r="H142" s="225">
        <f t="shared" si="8"/>
        <v>0</v>
      </c>
      <c r="I142" s="42">
        <f t="shared" si="9"/>
        <v>0</v>
      </c>
      <c r="J142" s="29"/>
    </row>
    <row r="143" spans="1:10" x14ac:dyDescent="0.25">
      <c r="A143" s="38">
        <f>Données!A143</f>
        <v>5642</v>
      </c>
      <c r="B143" s="170" t="str">
        <f>Données!B143</f>
        <v>Morges</v>
      </c>
      <c r="C143" s="351">
        <f>VPI!R143</f>
        <v>838094.10597014928</v>
      </c>
      <c r="D143" s="208">
        <f>Effort!I143-IF(PCS!I149&lt;0, Effort!D143, 0)</f>
        <v>16.844006933396638</v>
      </c>
      <c r="E143" s="512">
        <f>IF(PCS!I149&lt;0, 0, PCS!F149/Aide!C143)</f>
        <v>3.7319437014527832</v>
      </c>
      <c r="F143" s="512">
        <f>Effort!G143</f>
        <v>-1.11400093083623</v>
      </c>
      <c r="G143" s="378">
        <f t="shared" si="7"/>
        <v>21.68995156568565</v>
      </c>
      <c r="H143" s="225">
        <f t="shared" si="8"/>
        <v>0</v>
      </c>
      <c r="I143" s="42">
        <f t="shared" si="9"/>
        <v>0</v>
      </c>
      <c r="J143" s="29"/>
    </row>
    <row r="144" spans="1:10" x14ac:dyDescent="0.25">
      <c r="A144" s="38">
        <f>Données!A144</f>
        <v>5643</v>
      </c>
      <c r="B144" s="170" t="str">
        <f>Données!B144</f>
        <v>Préverenges</v>
      </c>
      <c r="C144" s="351">
        <f>VPI!R144</f>
        <v>257720.44144</v>
      </c>
      <c r="D144" s="208">
        <f>Effort!I144-IF(PCS!I150&lt;0, Effort!D144, 0)</f>
        <v>24.557926095717011</v>
      </c>
      <c r="E144" s="512">
        <f>IF(PCS!I150&lt;0, 0, PCS!F150/Aide!C144)</f>
        <v>1.9443709711193486</v>
      </c>
      <c r="F144" s="512">
        <f>Effort!G144</f>
        <v>0</v>
      </c>
      <c r="G144" s="378">
        <f t="shared" si="7"/>
        <v>26.502297066836359</v>
      </c>
      <c r="H144" s="225">
        <f t="shared" si="8"/>
        <v>0</v>
      </c>
      <c r="I144" s="42">
        <f t="shared" si="9"/>
        <v>0</v>
      </c>
      <c r="J144" s="29"/>
    </row>
    <row r="145" spans="1:10" x14ac:dyDescent="0.25">
      <c r="A145" s="38">
        <f>Données!A145</f>
        <v>5645</v>
      </c>
      <c r="B145" s="170" t="str">
        <f>Données!B145</f>
        <v>Romanel-sur-Morges</v>
      </c>
      <c r="C145" s="351">
        <f>VPI!R145</f>
        <v>26576.594107142857</v>
      </c>
      <c r="D145" s="208">
        <f>Effort!I145-IF(PCS!I151&lt;0, Effort!D145, 0)</f>
        <v>31.488342762814831</v>
      </c>
      <c r="E145" s="512">
        <f>IF(PCS!I151&lt;0, 0, PCS!F151/Aide!C145)</f>
        <v>4.266169116437962</v>
      </c>
      <c r="F145" s="512">
        <f>Effort!G145</f>
        <v>-1.0956458753478794E-2</v>
      </c>
      <c r="G145" s="378">
        <f t="shared" si="7"/>
        <v>35.765468338006272</v>
      </c>
      <c r="H145" s="225">
        <f t="shared" si="8"/>
        <v>0</v>
      </c>
      <c r="I145" s="42">
        <f t="shared" si="9"/>
        <v>0</v>
      </c>
      <c r="J145" s="29"/>
    </row>
    <row r="146" spans="1:10" x14ac:dyDescent="0.25">
      <c r="A146" s="38">
        <f>Données!A146</f>
        <v>5646</v>
      </c>
      <c r="B146" s="170" t="str">
        <f>Données!B146</f>
        <v>Saint-Prex</v>
      </c>
      <c r="C146" s="351">
        <f>VPI!R146</f>
        <v>527362.62542372884</v>
      </c>
      <c r="D146" s="208">
        <f>Effort!I146-IF(PCS!I152&lt;0, Effort!D146, 0)</f>
        <v>36.201014765511232</v>
      </c>
      <c r="E146" s="512">
        <f>IF(PCS!I152&lt;0, 0, PCS!F152/Aide!C146)</f>
        <v>3.6389413327462781</v>
      </c>
      <c r="F146" s="512">
        <f>Effort!G146</f>
        <v>0</v>
      </c>
      <c r="G146" s="378">
        <f t="shared" si="7"/>
        <v>39.83995609825751</v>
      </c>
      <c r="H146" s="225">
        <f t="shared" si="8"/>
        <v>0</v>
      </c>
      <c r="I146" s="42">
        <f t="shared" si="9"/>
        <v>0</v>
      </c>
      <c r="J146" s="29"/>
    </row>
    <row r="147" spans="1:10" x14ac:dyDescent="0.25">
      <c r="A147" s="38">
        <f>Données!A147</f>
        <v>5648</v>
      </c>
      <c r="B147" s="170" t="str">
        <f>Données!B147</f>
        <v>Saint-Sulpice</v>
      </c>
      <c r="C147" s="351">
        <f>VPI!R147</f>
        <v>394357.66704545449</v>
      </c>
      <c r="D147" s="208">
        <f>Effort!I147-IF(PCS!I153&lt;0, Effort!D147, 0)</f>
        <v>33.79083405301138</v>
      </c>
      <c r="E147" s="512">
        <f>IF(PCS!I153&lt;0, 0, PCS!F153/Aide!C147)</f>
        <v>3.8115449136855455</v>
      </c>
      <c r="F147" s="512">
        <f>Effort!G147</f>
        <v>0</v>
      </c>
      <c r="G147" s="378">
        <f t="shared" si="7"/>
        <v>37.602378966696925</v>
      </c>
      <c r="H147" s="225">
        <f t="shared" si="8"/>
        <v>0</v>
      </c>
      <c r="I147" s="42">
        <f t="shared" si="9"/>
        <v>0</v>
      </c>
      <c r="J147" s="29"/>
    </row>
    <row r="148" spans="1:10" x14ac:dyDescent="0.25">
      <c r="A148" s="38">
        <f>Données!A148</f>
        <v>5649</v>
      </c>
      <c r="B148" s="170" t="str">
        <f>Données!B148</f>
        <v>Tolochenaz</v>
      </c>
      <c r="C148" s="351">
        <f>VPI!R148</f>
        <v>155562.29718749996</v>
      </c>
      <c r="D148" s="208">
        <f>Effort!I148-IF(PCS!I154&lt;0, Effort!D148, 0)</f>
        <v>35.911752500886301</v>
      </c>
      <c r="E148" s="512">
        <f>IF(PCS!I154&lt;0, 0, PCS!F154/Aide!C148)</f>
        <v>2.2188269988323071</v>
      </c>
      <c r="F148" s="512">
        <f>Effort!G148</f>
        <v>-1.2958263057277486</v>
      </c>
      <c r="G148" s="378">
        <f t="shared" si="7"/>
        <v>39.426405805446358</v>
      </c>
      <c r="H148" s="225">
        <f t="shared" si="8"/>
        <v>0</v>
      </c>
      <c r="I148" s="42">
        <f t="shared" si="9"/>
        <v>0</v>
      </c>
      <c r="J148" s="29"/>
    </row>
    <row r="149" spans="1:10" x14ac:dyDescent="0.25">
      <c r="A149" s="38">
        <f>Données!A149</f>
        <v>5650</v>
      </c>
      <c r="B149" s="170" t="str">
        <f>Données!B149</f>
        <v>Vaux-sur-Morges</v>
      </c>
      <c r="C149" s="351">
        <f>VPI!R149</f>
        <v>83125.210178571419</v>
      </c>
      <c r="D149" s="208">
        <f>Effort!I149-IF(PCS!I155&lt;0, Effort!D149, 0)</f>
        <v>59.131360249931419</v>
      </c>
      <c r="E149" s="512">
        <f>IF(PCS!I155&lt;0, 0, PCS!F155/Aide!C149)</f>
        <v>7.602174582686394</v>
      </c>
      <c r="F149" s="512">
        <f>Effort!G149</f>
        <v>0</v>
      </c>
      <c r="G149" s="378">
        <f t="shared" si="7"/>
        <v>66.733534832617806</v>
      </c>
      <c r="H149" s="225">
        <f t="shared" si="8"/>
        <v>0</v>
      </c>
      <c r="I149" s="42">
        <f t="shared" si="9"/>
        <v>0</v>
      </c>
      <c r="J149" s="29"/>
    </row>
    <row r="150" spans="1:10" x14ac:dyDescent="0.25">
      <c r="A150" s="38">
        <f>Données!A150</f>
        <v>5651</v>
      </c>
      <c r="B150" s="170" t="str">
        <f>Données!B150</f>
        <v>Villars-Sainte-Croix</v>
      </c>
      <c r="C150" s="351">
        <f>VPI!R150</f>
        <v>57448.170743801653</v>
      </c>
      <c r="D150" s="208">
        <f>Effort!I150-IF(PCS!I156&lt;0, Effort!D150, 0)</f>
        <v>32.49835661325389</v>
      </c>
      <c r="E150" s="512">
        <f>IF(PCS!I156&lt;0, 0, PCS!F156/Aide!C150)</f>
        <v>2.5368182853015226</v>
      </c>
      <c r="F150" s="512">
        <f>Effort!G150</f>
        <v>0</v>
      </c>
      <c r="G150" s="378">
        <f t="shared" si="7"/>
        <v>35.035174898555411</v>
      </c>
      <c r="H150" s="225">
        <f t="shared" si="8"/>
        <v>0</v>
      </c>
      <c r="I150" s="42">
        <f t="shared" si="9"/>
        <v>0</v>
      </c>
      <c r="J150" s="29"/>
    </row>
    <row r="151" spans="1:10" x14ac:dyDescent="0.25">
      <c r="A151" s="38">
        <f>Données!A151</f>
        <v>5652</v>
      </c>
      <c r="B151" s="170" t="str">
        <f>Données!B151</f>
        <v>Villars-sous-Yens</v>
      </c>
      <c r="C151" s="351">
        <f>VPI!R151</f>
        <v>25907.601491228066</v>
      </c>
      <c r="D151" s="208">
        <f>Effort!I151-IF(PCS!I157&lt;0, Effort!D151, 0)</f>
        <v>24.197701103427747</v>
      </c>
      <c r="E151" s="512">
        <f>IF(PCS!I157&lt;0, 0, PCS!F157/Aide!C151)</f>
        <v>1.1766556240384332</v>
      </c>
      <c r="F151" s="512">
        <f>Effort!G151</f>
        <v>-1.0093713639020478</v>
      </c>
      <c r="G151" s="378">
        <f t="shared" si="7"/>
        <v>26.383728091368226</v>
      </c>
      <c r="H151" s="225">
        <f t="shared" si="8"/>
        <v>0</v>
      </c>
      <c r="I151" s="42">
        <f t="shared" si="9"/>
        <v>0</v>
      </c>
      <c r="J151" s="29"/>
    </row>
    <row r="152" spans="1:10" x14ac:dyDescent="0.25">
      <c r="A152" s="38">
        <f>Données!A152</f>
        <v>5653</v>
      </c>
      <c r="B152" s="170" t="str">
        <f>Données!B152</f>
        <v>Vufflens-le-Château</v>
      </c>
      <c r="C152" s="351">
        <f>VPI!R152</f>
        <v>67686.262735042736</v>
      </c>
      <c r="D152" s="208">
        <f>Effort!I152-IF(PCS!I158&lt;0, Effort!D152, 0)</f>
        <v>36.263701440119178</v>
      </c>
      <c r="E152" s="512">
        <f>IF(PCS!I158&lt;0, 0, PCS!F158/Aide!C152)</f>
        <v>2.4617801052521764</v>
      </c>
      <c r="F152" s="512">
        <f>Effort!G152</f>
        <v>0</v>
      </c>
      <c r="G152" s="378">
        <f t="shared" si="7"/>
        <v>38.725481545371352</v>
      </c>
      <c r="H152" s="225">
        <f t="shared" si="8"/>
        <v>0</v>
      </c>
      <c r="I152" s="42">
        <f t="shared" si="9"/>
        <v>0</v>
      </c>
      <c r="J152" s="29"/>
    </row>
    <row r="153" spans="1:10" x14ac:dyDescent="0.25">
      <c r="A153" s="38">
        <f>Données!A153</f>
        <v>5654</v>
      </c>
      <c r="B153" s="170" t="str">
        <f>Données!B153</f>
        <v>Vullierens</v>
      </c>
      <c r="C153" s="351">
        <f>VPI!R153</f>
        <v>20663.918947368424</v>
      </c>
      <c r="D153" s="208">
        <f>Effort!I153-IF(PCS!I159&lt;0, Effort!D153, 0)</f>
        <v>16.628679365928797</v>
      </c>
      <c r="E153" s="512">
        <f>IF(PCS!I159&lt;0, 0, PCS!F159/Aide!C153)</f>
        <v>4.1853563798949223</v>
      </c>
      <c r="F153" s="512">
        <f>Effort!G153</f>
        <v>-4.950318793658286</v>
      </c>
      <c r="G153" s="378">
        <f t="shared" si="7"/>
        <v>25.764354539482007</v>
      </c>
      <c r="H153" s="225">
        <f t="shared" si="8"/>
        <v>0</v>
      </c>
      <c r="I153" s="42">
        <f t="shared" si="9"/>
        <v>0</v>
      </c>
      <c r="J153" s="29"/>
    </row>
    <row r="154" spans="1:10" x14ac:dyDescent="0.25">
      <c r="A154" s="38">
        <f>Données!A154</f>
        <v>5655</v>
      </c>
      <c r="B154" s="170" t="str">
        <f>Données!B154</f>
        <v>Yens</v>
      </c>
      <c r="C154" s="351">
        <f>VPI!R154</f>
        <v>73733.325734265731</v>
      </c>
      <c r="D154" s="208">
        <f>Effort!I154-IF(PCS!I160&lt;0, Effort!D154, 0)</f>
        <v>28.145046226083728</v>
      </c>
      <c r="E154" s="512">
        <f>IF(PCS!I160&lt;0, 0, PCS!F160/Aide!C154)</f>
        <v>1.0665361858681814</v>
      </c>
      <c r="F154" s="512">
        <f>Effort!G154</f>
        <v>0</v>
      </c>
      <c r="G154" s="378">
        <f t="shared" si="7"/>
        <v>29.211582411951909</v>
      </c>
      <c r="H154" s="225">
        <f t="shared" si="8"/>
        <v>0</v>
      </c>
      <c r="I154" s="42">
        <f t="shared" si="9"/>
        <v>0</v>
      </c>
      <c r="J154" s="29"/>
    </row>
    <row r="155" spans="1:10" x14ac:dyDescent="0.25">
      <c r="A155" s="38">
        <f>Données!A155</f>
        <v>5656</v>
      </c>
      <c r="B155" s="170" t="str">
        <f>Données!B155</f>
        <v>Hautemorges</v>
      </c>
      <c r="C155" s="351">
        <f>VPI!R155</f>
        <v>172159.8076957982</v>
      </c>
      <c r="D155" s="208">
        <f>Effort!I155-IF(PCS!I161&lt;0, Effort!D155, 0)</f>
        <v>8.5594870329840695</v>
      </c>
      <c r="E155" s="512">
        <f>IF(PCS!I161&lt;0, 0, PCS!F161/Aide!C155)</f>
        <v>4.602665660501545</v>
      </c>
      <c r="F155" s="512">
        <f>Effort!G155</f>
        <v>-11.463497633202394</v>
      </c>
      <c r="G155" s="378">
        <f t="shared" si="7"/>
        <v>24.62565032668801</v>
      </c>
      <c r="H155" s="225">
        <f t="shared" si="8"/>
        <v>0</v>
      </c>
      <c r="I155" s="42">
        <f t="shared" si="9"/>
        <v>0</v>
      </c>
      <c r="J155" s="29"/>
    </row>
    <row r="156" spans="1:10" x14ac:dyDescent="0.25">
      <c r="A156" s="38">
        <f>Données!A156</f>
        <v>5661</v>
      </c>
      <c r="B156" s="170" t="str">
        <f>Données!B156</f>
        <v>Boulens</v>
      </c>
      <c r="C156" s="351">
        <f>VPI!R156</f>
        <v>11226.317902097902</v>
      </c>
      <c r="D156" s="208">
        <f>Effort!I156-IF(PCS!I162&lt;0, Effort!D156, 0)</f>
        <v>14.23679605562821</v>
      </c>
      <c r="E156" s="512">
        <f>IF(PCS!I162&lt;0, 0, PCS!F162/Aide!C156)</f>
        <v>2.6454230370984027</v>
      </c>
      <c r="F156" s="512">
        <f>Effort!G156</f>
        <v>-1.5460638396491222</v>
      </c>
      <c r="G156" s="378">
        <f t="shared" si="7"/>
        <v>18.428282932375733</v>
      </c>
      <c r="H156" s="225">
        <f t="shared" si="8"/>
        <v>0</v>
      </c>
      <c r="I156" s="42">
        <f t="shared" si="9"/>
        <v>0</v>
      </c>
      <c r="J156" s="29"/>
    </row>
    <row r="157" spans="1:10" x14ac:dyDescent="0.25">
      <c r="A157" s="38">
        <f>Données!A157</f>
        <v>5663</v>
      </c>
      <c r="B157" s="170" t="str">
        <f>Données!B157</f>
        <v>Bussy-sur-Moudon</v>
      </c>
      <c r="C157" s="351">
        <f>VPI!R157</f>
        <v>5263.613630573248</v>
      </c>
      <c r="D157" s="208">
        <f>Effort!I157-IF(PCS!I163&lt;0, Effort!D157, 0)</f>
        <v>-4.1766322635509923</v>
      </c>
      <c r="E157" s="512">
        <f>IF(PCS!I163&lt;0, 0, PCS!F163/Aide!C157)</f>
        <v>2.3961057716590872</v>
      </c>
      <c r="F157" s="512">
        <f>Effort!G157</f>
        <v>-2.0779105352703016</v>
      </c>
      <c r="G157" s="378">
        <f t="shared" si="7"/>
        <v>0.29738404337839652</v>
      </c>
      <c r="H157" s="225">
        <f t="shared" si="8"/>
        <v>0</v>
      </c>
      <c r="I157" s="42">
        <f t="shared" si="9"/>
        <v>0</v>
      </c>
      <c r="J157" s="29"/>
    </row>
    <row r="158" spans="1:10" x14ac:dyDescent="0.25">
      <c r="A158" s="38">
        <f>Données!A158</f>
        <v>5665</v>
      </c>
      <c r="B158" s="170" t="str">
        <f>Données!B158</f>
        <v>Chavannes-sur-Moudon</v>
      </c>
      <c r="C158" s="351">
        <f>VPI!R158</f>
        <v>4920.7560000000012</v>
      </c>
      <c r="D158" s="208">
        <f>Effort!I158-IF(PCS!I164&lt;0, Effort!D158, 0)</f>
        <v>2.876418863630672</v>
      </c>
      <c r="E158" s="512">
        <f>IF(PCS!I164&lt;0, 0, PCS!F164/Aide!C158)</f>
        <v>1.0849349165046993</v>
      </c>
      <c r="F158" s="512">
        <f>Effort!G158</f>
        <v>-0.52171129802005867</v>
      </c>
      <c r="G158" s="378">
        <f t="shared" si="7"/>
        <v>4.4830650781554304</v>
      </c>
      <c r="H158" s="225">
        <f t="shared" si="8"/>
        <v>0</v>
      </c>
      <c r="I158" s="42">
        <f t="shared" si="9"/>
        <v>0</v>
      </c>
      <c r="J158" s="29"/>
    </row>
    <row r="159" spans="1:10" x14ac:dyDescent="0.25">
      <c r="A159" s="38">
        <f>Données!A159</f>
        <v>5669</v>
      </c>
      <c r="B159" s="170" t="str">
        <f>Données!B159</f>
        <v>Curtilles</v>
      </c>
      <c r="C159" s="351">
        <f>VPI!R159</f>
        <v>9337.6116438356166</v>
      </c>
      <c r="D159" s="208">
        <f>Effort!I159-IF(PCS!I165&lt;0, Effort!D159, 0)</f>
        <v>16.819696191576554</v>
      </c>
      <c r="E159" s="512">
        <f>IF(PCS!I165&lt;0, 0, PCS!F165/Aide!C159)</f>
        <v>4.7998970946268047</v>
      </c>
      <c r="F159" s="512">
        <f>Effort!G159</f>
        <v>-6.4342081549261182E-3</v>
      </c>
      <c r="G159" s="378">
        <f t="shared" si="7"/>
        <v>21.626027494358283</v>
      </c>
      <c r="H159" s="225">
        <f t="shared" si="8"/>
        <v>0</v>
      </c>
      <c r="I159" s="42">
        <f t="shared" si="9"/>
        <v>0</v>
      </c>
      <c r="J159" s="29"/>
    </row>
    <row r="160" spans="1:10" x14ac:dyDescent="0.25">
      <c r="A160" s="38">
        <f>Données!A160</f>
        <v>5671</v>
      </c>
      <c r="B160" s="170" t="str">
        <f>Données!B160</f>
        <v>Dompierre</v>
      </c>
      <c r="C160" s="351">
        <f>VPI!R160</f>
        <v>6463.499743589743</v>
      </c>
      <c r="D160" s="208">
        <f>Effort!I160-IF(PCS!I166&lt;0, Effort!D160, 0)</f>
        <v>7.0291652322730283</v>
      </c>
      <c r="E160" s="512">
        <f>IF(PCS!I166&lt;0, 0, PCS!F166/Aide!C160)</f>
        <v>8.2607406386847106</v>
      </c>
      <c r="F160" s="512">
        <f>Effort!G160</f>
        <v>0</v>
      </c>
      <c r="G160" s="378">
        <f t="shared" si="7"/>
        <v>15.289905870957739</v>
      </c>
      <c r="H160" s="225">
        <f t="shared" si="8"/>
        <v>0</v>
      </c>
      <c r="I160" s="42">
        <f t="shared" si="9"/>
        <v>0</v>
      </c>
      <c r="J160" s="29"/>
    </row>
    <row r="161" spans="1:10" x14ac:dyDescent="0.25">
      <c r="A161" s="38">
        <f>Données!A161</f>
        <v>5673</v>
      </c>
      <c r="B161" s="170" t="str">
        <f>Données!B161</f>
        <v>Hermenches</v>
      </c>
      <c r="C161" s="351">
        <f>VPI!R161</f>
        <v>10227.21768707483</v>
      </c>
      <c r="D161" s="208">
        <f>Effort!I161-IF(PCS!I167&lt;0, Effort!D161, 0)</f>
        <v>-10.012392006116219</v>
      </c>
      <c r="E161" s="512">
        <f>IF(PCS!I167&lt;0, 0, PCS!F167/Aide!C161)</f>
        <v>0.51473285903095711</v>
      </c>
      <c r="F161" s="512">
        <f>Effort!G161</f>
        <v>-21.362411292795468</v>
      </c>
      <c r="G161" s="378">
        <f t="shared" si="7"/>
        <v>11.864752145710206</v>
      </c>
      <c r="H161" s="225">
        <f t="shared" si="8"/>
        <v>0</v>
      </c>
      <c r="I161" s="42">
        <f t="shared" si="9"/>
        <v>0</v>
      </c>
      <c r="J161" s="29"/>
    </row>
    <row r="162" spans="1:10" x14ac:dyDescent="0.25">
      <c r="A162" s="38">
        <f>Données!A162</f>
        <v>5674</v>
      </c>
      <c r="B162" s="170" t="str">
        <f>Données!B162</f>
        <v>Lovatens</v>
      </c>
      <c r="C162" s="351">
        <f>VPI!R162</f>
        <v>4222.7066666666669</v>
      </c>
      <c r="D162" s="208">
        <f>Effort!I162-IF(PCS!I168&lt;0, Effort!D162, 0)</f>
        <v>6.6566227566229159</v>
      </c>
      <c r="E162" s="512">
        <f>IF(PCS!I168&lt;0, 0, PCS!F168/Aide!C162)</f>
        <v>4.4999455325652109</v>
      </c>
      <c r="F162" s="512">
        <f>Effort!G162</f>
        <v>-6.0873302431615732</v>
      </c>
      <c r="G162" s="378">
        <f t="shared" si="7"/>
        <v>17.2438985323497</v>
      </c>
      <c r="H162" s="225">
        <f t="shared" si="8"/>
        <v>0</v>
      </c>
      <c r="I162" s="42">
        <f t="shared" si="9"/>
        <v>0</v>
      </c>
      <c r="J162" s="29"/>
    </row>
    <row r="163" spans="1:10" x14ac:dyDescent="0.25">
      <c r="A163" s="38">
        <f>Données!A163</f>
        <v>5675</v>
      </c>
      <c r="B163" s="170" t="str">
        <f>Données!B163</f>
        <v>Lucens</v>
      </c>
      <c r="C163" s="351">
        <f>VPI!R163</f>
        <v>105149.82705723906</v>
      </c>
      <c r="D163" s="208">
        <f>Effort!I163-IF(PCS!I169&lt;0, Effort!D163, 0)</f>
        <v>-5.963523731756279</v>
      </c>
      <c r="E163" s="512">
        <f>IF(PCS!I169&lt;0, 0, PCS!F169/Aide!C163)</f>
        <v>5.0141850420067042</v>
      </c>
      <c r="F163" s="512">
        <f>Effort!G163</f>
        <v>-5.0184275373968577</v>
      </c>
      <c r="G163" s="378">
        <f t="shared" si="7"/>
        <v>4.0690888476472828</v>
      </c>
      <c r="H163" s="225">
        <f t="shared" si="8"/>
        <v>0</v>
      </c>
      <c r="I163" s="42">
        <f t="shared" si="9"/>
        <v>0</v>
      </c>
      <c r="J163" s="29"/>
    </row>
    <row r="164" spans="1:10" x14ac:dyDescent="0.25">
      <c r="A164" s="38">
        <f>Données!A164</f>
        <v>5678</v>
      </c>
      <c r="B164" s="170" t="str">
        <f>Données!B164</f>
        <v>Moudon</v>
      </c>
      <c r="C164" s="351">
        <f>VPI!R164</f>
        <v>124814.5703448276</v>
      </c>
      <c r="D164" s="208">
        <f>Effort!I164-IF(PCS!I170&lt;0, Effort!D164, 0)</f>
        <v>-27.726426304742514</v>
      </c>
      <c r="E164" s="512">
        <f>IF(PCS!I170&lt;0, 0, PCS!F170/Aide!C164)</f>
        <v>7.4941891192334094</v>
      </c>
      <c r="F164" s="512">
        <f>Effort!G164</f>
        <v>-10.698122616951101</v>
      </c>
      <c r="G164" s="378">
        <f t="shared" si="7"/>
        <v>-9.5341145685580049</v>
      </c>
      <c r="H164" s="225">
        <f t="shared" si="8"/>
        <v>-1.5341145685580049</v>
      </c>
      <c r="I164" s="42">
        <f t="shared" si="9"/>
        <v>191479.85073430795</v>
      </c>
      <c r="J164" s="29"/>
    </row>
    <row r="165" spans="1:10" x14ac:dyDescent="0.25">
      <c r="A165" s="38">
        <f>Données!A165</f>
        <v>5680</v>
      </c>
      <c r="B165" s="170" t="str">
        <f>Données!B165</f>
        <v>Ogens</v>
      </c>
      <c r="C165" s="351">
        <f>VPI!R165</f>
        <v>8501.7127777777787</v>
      </c>
      <c r="D165" s="208">
        <f>Effort!I165-IF(PCS!I171&lt;0, Effort!D165, 0)</f>
        <v>5.2571192453064359</v>
      </c>
      <c r="E165" s="512">
        <f>IF(PCS!I171&lt;0, 0, PCS!F171/Aide!C165)</f>
        <v>2.9515905389783215</v>
      </c>
      <c r="F165" s="512">
        <f>Effort!G165</f>
        <v>-2.163850888739216</v>
      </c>
      <c r="G165" s="378">
        <f t="shared" si="7"/>
        <v>10.372560673023973</v>
      </c>
      <c r="H165" s="225">
        <f t="shared" si="8"/>
        <v>0</v>
      </c>
      <c r="I165" s="42">
        <f t="shared" si="9"/>
        <v>0</v>
      </c>
      <c r="J165" s="29"/>
    </row>
    <row r="166" spans="1:10" x14ac:dyDescent="0.25">
      <c r="A166" s="38">
        <f>Données!A166</f>
        <v>5683</v>
      </c>
      <c r="B166" s="170" t="str">
        <f>Données!B166</f>
        <v>Prévonloup</v>
      </c>
      <c r="C166" s="351">
        <f>VPI!R166</f>
        <v>5386.3598620689654</v>
      </c>
      <c r="D166" s="208">
        <f>Effort!I166-IF(PCS!I172&lt;0, Effort!D166, 0)</f>
        <v>7.6477323551855712</v>
      </c>
      <c r="E166" s="512">
        <f>IF(PCS!I172&lt;0, 0, PCS!F172/Aide!C166)</f>
        <v>3.9811766293244064</v>
      </c>
      <c r="F166" s="512">
        <f>Effort!G166</f>
        <v>0</v>
      </c>
      <c r="G166" s="378">
        <f t="shared" si="7"/>
        <v>11.628908984509977</v>
      </c>
      <c r="H166" s="225">
        <f t="shared" si="8"/>
        <v>0</v>
      </c>
      <c r="I166" s="42">
        <f t="shared" si="9"/>
        <v>0</v>
      </c>
      <c r="J166" s="29"/>
    </row>
    <row r="167" spans="1:10" x14ac:dyDescent="0.25">
      <c r="A167" s="38">
        <f>Données!A167</f>
        <v>5684</v>
      </c>
      <c r="B167" s="170" t="str">
        <f>Données!B167</f>
        <v>Rossenges</v>
      </c>
      <c r="C167" s="351">
        <f>VPI!R167</f>
        <v>3253.4312666666665</v>
      </c>
      <c r="D167" s="208">
        <f>Effort!I167-IF(PCS!I173&lt;0, Effort!D167, 0)</f>
        <v>19.968454175444691</v>
      </c>
      <c r="E167" s="512">
        <f>IF(PCS!I173&lt;0, 0, PCS!F173/Aide!C167)</f>
        <v>0</v>
      </c>
      <c r="F167" s="512">
        <f>Effort!G167</f>
        <v>0</v>
      </c>
      <c r="G167" s="378">
        <f t="shared" si="7"/>
        <v>19.968454175444691</v>
      </c>
      <c r="H167" s="225">
        <f t="shared" si="8"/>
        <v>0</v>
      </c>
      <c r="I167" s="42">
        <f t="shared" si="9"/>
        <v>0</v>
      </c>
      <c r="J167" s="29"/>
    </row>
    <row r="168" spans="1:10" x14ac:dyDescent="0.25">
      <c r="A168" s="38">
        <f>Données!A168</f>
        <v>5688</v>
      </c>
      <c r="B168" s="170" t="str">
        <f>Données!B168</f>
        <v>Syens</v>
      </c>
      <c r="C168" s="351">
        <f>VPI!R168</f>
        <v>6192.4015384615377</v>
      </c>
      <c r="D168" s="208">
        <f>Effort!I168-IF(PCS!I174&lt;0, Effort!D168, 0)</f>
        <v>20.546775524762577</v>
      </c>
      <c r="E168" s="512">
        <f>IF(PCS!I174&lt;0, 0, PCS!F174/Aide!C168)</f>
        <v>2.0977483322613</v>
      </c>
      <c r="F168" s="512">
        <f>Effort!G168</f>
        <v>-3.9174283942529082</v>
      </c>
      <c r="G168" s="378">
        <f t="shared" si="7"/>
        <v>26.561952251276786</v>
      </c>
      <c r="H168" s="225">
        <f t="shared" si="8"/>
        <v>0</v>
      </c>
      <c r="I168" s="42">
        <f t="shared" si="9"/>
        <v>0</v>
      </c>
      <c r="J168" s="29"/>
    </row>
    <row r="169" spans="1:10" x14ac:dyDescent="0.25">
      <c r="A169" s="38">
        <f>Données!A169</f>
        <v>5690</v>
      </c>
      <c r="B169" s="170" t="str">
        <f>Données!B169</f>
        <v>Villars-le-Comte</v>
      </c>
      <c r="C169" s="351">
        <f>VPI!R169</f>
        <v>3509.9673809523806</v>
      </c>
      <c r="D169" s="208">
        <f>Effort!I169-IF(PCS!I175&lt;0, Effort!D169, 0)</f>
        <v>5.1299921827278894</v>
      </c>
      <c r="E169" s="512">
        <f>IF(PCS!I175&lt;0, 0, PCS!F175/Aide!C169)</f>
        <v>2.7656239920286874</v>
      </c>
      <c r="F169" s="512">
        <f>Effort!G169</f>
        <v>-5.9772480588104786</v>
      </c>
      <c r="G169" s="378">
        <f t="shared" si="7"/>
        <v>13.872864233567055</v>
      </c>
      <c r="H169" s="225">
        <f t="shared" si="8"/>
        <v>0</v>
      </c>
      <c r="I169" s="42">
        <f t="shared" si="9"/>
        <v>0</v>
      </c>
      <c r="J169" s="29"/>
    </row>
    <row r="170" spans="1:10" x14ac:dyDescent="0.25">
      <c r="A170" s="38">
        <f>Données!A170</f>
        <v>5692</v>
      </c>
      <c r="B170" s="170" t="str">
        <f>Données!B170</f>
        <v>Vucherens</v>
      </c>
      <c r="C170" s="351">
        <f>VPI!R170</f>
        <v>18792.58012987013</v>
      </c>
      <c r="D170" s="208">
        <f>Effort!I170-IF(PCS!I176&lt;0, Effort!D170, 0)</f>
        <v>9.481639825064736</v>
      </c>
      <c r="E170" s="512">
        <f>IF(PCS!I176&lt;0, 0, PCS!F176/Aide!C170)</f>
        <v>5.3370856639626911</v>
      </c>
      <c r="F170" s="512">
        <f>Effort!G170</f>
        <v>-4.2640110440935493</v>
      </c>
      <c r="G170" s="378">
        <f t="shared" si="7"/>
        <v>19.082736533120976</v>
      </c>
      <c r="H170" s="225">
        <f t="shared" si="8"/>
        <v>0</v>
      </c>
      <c r="I170" s="42">
        <f t="shared" si="9"/>
        <v>0</v>
      </c>
      <c r="J170" s="29"/>
    </row>
    <row r="171" spans="1:10" x14ac:dyDescent="0.25">
      <c r="A171" s="38">
        <f>Données!A171</f>
        <v>5693</v>
      </c>
      <c r="B171" s="170" t="str">
        <f>Données!B171</f>
        <v>Montanaire</v>
      </c>
      <c r="C171" s="351">
        <f>VPI!R171</f>
        <v>75687.075428571436</v>
      </c>
      <c r="D171" s="208">
        <f>Effort!I171-IF(PCS!I177&lt;0, Effort!D171, 0)</f>
        <v>0.56912251163086225</v>
      </c>
      <c r="E171" s="512">
        <f>IF(PCS!I177&lt;0, 0, PCS!F177/Aide!C171)</f>
        <v>3.4580602238621871</v>
      </c>
      <c r="F171" s="512">
        <f>Effort!G171</f>
        <v>-6.5224014544336386</v>
      </c>
      <c r="G171" s="378">
        <f t="shared" si="7"/>
        <v>10.549584189926687</v>
      </c>
      <c r="H171" s="225">
        <f t="shared" si="8"/>
        <v>0</v>
      </c>
      <c r="I171" s="42">
        <f t="shared" si="9"/>
        <v>0</v>
      </c>
      <c r="J171" s="29"/>
    </row>
    <row r="172" spans="1:10" x14ac:dyDescent="0.25">
      <c r="A172" s="38">
        <f>Données!A172</f>
        <v>5701</v>
      </c>
      <c r="B172" s="170" t="str">
        <f>Données!B172</f>
        <v>Arnex-sur-Nyon</v>
      </c>
      <c r="C172" s="351">
        <f>VPI!R172</f>
        <v>14488.632285714286</v>
      </c>
      <c r="D172" s="208">
        <f>Effort!I172-IF(PCS!I178&lt;0, Effort!D172, 0)</f>
        <v>34.214302587639096</v>
      </c>
      <c r="E172" s="512">
        <f>IF(PCS!I178&lt;0, 0, PCS!F178/Aide!C172)</f>
        <v>5.638585712507262</v>
      </c>
      <c r="F172" s="512">
        <f>Effort!G172</f>
        <v>0</v>
      </c>
      <c r="G172" s="378">
        <f t="shared" si="7"/>
        <v>39.852888300146361</v>
      </c>
      <c r="H172" s="225">
        <f t="shared" si="8"/>
        <v>0</v>
      </c>
      <c r="I172" s="42">
        <f t="shared" si="9"/>
        <v>0</v>
      </c>
      <c r="J172" s="29"/>
    </row>
    <row r="173" spans="1:10" x14ac:dyDescent="0.25">
      <c r="A173" s="38">
        <f>Données!A173</f>
        <v>5702</v>
      </c>
      <c r="B173" s="170" t="str">
        <f>Données!B173</f>
        <v>Arzier-Le Muids</v>
      </c>
      <c r="C173" s="351">
        <f>VPI!R173</f>
        <v>174855.39411458338</v>
      </c>
      <c r="D173" s="208">
        <f>Effort!I173-IF(PCS!I179&lt;0, Effort!D173, 0)</f>
        <v>27.191186491337398</v>
      </c>
      <c r="E173" s="512">
        <f>IF(PCS!I179&lt;0, 0, PCS!F179/Aide!C173)</f>
        <v>4.3257873960944933</v>
      </c>
      <c r="F173" s="512">
        <f>Effort!G173</f>
        <v>-2.6781856332506786</v>
      </c>
      <c r="G173" s="378">
        <f t="shared" si="7"/>
        <v>34.195159520682573</v>
      </c>
      <c r="H173" s="225">
        <f t="shared" si="8"/>
        <v>0</v>
      </c>
      <c r="I173" s="42">
        <f t="shared" si="9"/>
        <v>0</v>
      </c>
      <c r="J173" s="29"/>
    </row>
    <row r="174" spans="1:10" x14ac:dyDescent="0.25">
      <c r="A174" s="38">
        <f>Données!A174</f>
        <v>5703</v>
      </c>
      <c r="B174" s="170" t="str">
        <f>Données!B174</f>
        <v>Bassins</v>
      </c>
      <c r="C174" s="351">
        <f>VPI!R174</f>
        <v>66798.778167487675</v>
      </c>
      <c r="D174" s="208">
        <f>Effort!I174-IF(PCS!I180&lt;0, Effort!D174, 0)</f>
        <v>26.002017649144221</v>
      </c>
      <c r="E174" s="512">
        <f>IF(PCS!I180&lt;0, 0, PCS!F180/Aide!C174)</f>
        <v>3.7259398574020466</v>
      </c>
      <c r="F174" s="512">
        <f>Effort!G174</f>
        <v>0</v>
      </c>
      <c r="G174" s="378">
        <f t="shared" si="7"/>
        <v>29.727957506546268</v>
      </c>
      <c r="H174" s="225">
        <f t="shared" si="8"/>
        <v>0</v>
      </c>
      <c r="I174" s="42">
        <f t="shared" si="9"/>
        <v>0</v>
      </c>
      <c r="J174" s="29"/>
    </row>
    <row r="175" spans="1:10" x14ac:dyDescent="0.25">
      <c r="A175" s="38">
        <f>Données!A175</f>
        <v>5704</v>
      </c>
      <c r="B175" s="170" t="str">
        <f>Données!B175</f>
        <v>Begnins</v>
      </c>
      <c r="C175" s="351">
        <f>VPI!R175</f>
        <v>146339.67776000002</v>
      </c>
      <c r="D175" s="208">
        <f>Effort!I175-IF(PCS!I181&lt;0, Effort!D175, 0)</f>
        <v>35.094538502506502</v>
      </c>
      <c r="E175" s="512">
        <f>IF(PCS!I181&lt;0, 0, PCS!F181/Aide!C175)</f>
        <v>2.1855683290798025</v>
      </c>
      <c r="F175" s="512">
        <f>Effort!G175</f>
        <v>0</v>
      </c>
      <c r="G175" s="378">
        <f t="shared" si="7"/>
        <v>37.280106831586302</v>
      </c>
      <c r="H175" s="225">
        <f t="shared" si="8"/>
        <v>0</v>
      </c>
      <c r="I175" s="42">
        <f t="shared" si="9"/>
        <v>0</v>
      </c>
      <c r="J175" s="29"/>
    </row>
    <row r="176" spans="1:10" x14ac:dyDescent="0.25">
      <c r="A176" s="38">
        <f>Données!A176</f>
        <v>5705</v>
      </c>
      <c r="B176" s="170" t="str">
        <f>Données!B176</f>
        <v>Bogis-Bossey</v>
      </c>
      <c r="C176" s="351">
        <f>VPI!R176</f>
        <v>51950.537852349</v>
      </c>
      <c r="D176" s="208">
        <f>Effort!I176-IF(PCS!I182&lt;0, Effort!D176, 0)</f>
        <v>32.586714508175007</v>
      </c>
      <c r="E176" s="512">
        <f>IF(PCS!I182&lt;0, 0, PCS!F182/Aide!C176)</f>
        <v>5.5095452681065575</v>
      </c>
      <c r="F176" s="512">
        <f>Effort!G176</f>
        <v>0</v>
      </c>
      <c r="G176" s="378">
        <f t="shared" si="7"/>
        <v>38.096259776281563</v>
      </c>
      <c r="H176" s="225">
        <f t="shared" si="8"/>
        <v>0</v>
      </c>
      <c r="I176" s="42">
        <f t="shared" si="9"/>
        <v>0</v>
      </c>
      <c r="J176" s="29"/>
    </row>
    <row r="177" spans="1:10" x14ac:dyDescent="0.25">
      <c r="A177" s="38">
        <f>Données!A177</f>
        <v>5706</v>
      </c>
      <c r="B177" s="170" t="str">
        <f>Données!B177</f>
        <v>Borex</v>
      </c>
      <c r="C177" s="351">
        <f>VPI!R177</f>
        <v>71207.729649122819</v>
      </c>
      <c r="D177" s="208">
        <f>Effort!I177-IF(PCS!I183&lt;0, Effort!D177, 0)</f>
        <v>32.121816323060955</v>
      </c>
      <c r="E177" s="512">
        <f>IF(PCS!I183&lt;0, 0, PCS!F183/Aide!C177)</f>
        <v>2.2896958771667348</v>
      </c>
      <c r="F177" s="512">
        <f>Effort!G177</f>
        <v>0</v>
      </c>
      <c r="G177" s="378">
        <f t="shared" si="7"/>
        <v>34.411512200227691</v>
      </c>
      <c r="H177" s="225">
        <f t="shared" si="8"/>
        <v>0</v>
      </c>
      <c r="I177" s="42">
        <f t="shared" si="9"/>
        <v>0</v>
      </c>
      <c r="J177" s="29"/>
    </row>
    <row r="178" spans="1:10" x14ac:dyDescent="0.25">
      <c r="A178" s="38">
        <f>Données!A178</f>
        <v>5707</v>
      </c>
      <c r="B178" s="170" t="str">
        <f>Données!B178</f>
        <v>Chavannes-de-Bogis</v>
      </c>
      <c r="C178" s="351">
        <f>VPI!R178</f>
        <v>88004.58971264369</v>
      </c>
      <c r="D178" s="208">
        <f>Effort!I178-IF(PCS!I184&lt;0, Effort!D178, 0)</f>
        <v>33.109162981631222</v>
      </c>
      <c r="E178" s="512">
        <f>IF(PCS!I184&lt;0, 0, PCS!F184/Aide!C178)</f>
        <v>7.2307343523536343</v>
      </c>
      <c r="F178" s="512">
        <f>Effort!G178</f>
        <v>0</v>
      </c>
      <c r="G178" s="378">
        <f t="shared" si="7"/>
        <v>40.339897333984858</v>
      </c>
      <c r="H178" s="225">
        <f t="shared" si="8"/>
        <v>0</v>
      </c>
      <c r="I178" s="42">
        <f t="shared" si="9"/>
        <v>0</v>
      </c>
      <c r="J178" s="29"/>
    </row>
    <row r="179" spans="1:10" x14ac:dyDescent="0.25">
      <c r="A179" s="38">
        <f>Données!A179</f>
        <v>5708</v>
      </c>
      <c r="B179" s="170" t="str">
        <f>Données!B179</f>
        <v>Chavannes-des-Bois</v>
      </c>
      <c r="C179" s="351">
        <f>VPI!R179</f>
        <v>66993.89235294117</v>
      </c>
      <c r="D179" s="208">
        <f>Effort!I179-IF(PCS!I185&lt;0, Effort!D179, 0)</f>
        <v>34.775272233245133</v>
      </c>
      <c r="E179" s="512">
        <f>IF(PCS!I185&lt;0, 0, PCS!F185/Aide!C179)</f>
        <v>2.1639558459486259</v>
      </c>
      <c r="F179" s="512">
        <f>Effort!G179</f>
        <v>0</v>
      </c>
      <c r="G179" s="378">
        <f t="shared" si="7"/>
        <v>36.939228079193761</v>
      </c>
      <c r="H179" s="225">
        <f t="shared" si="8"/>
        <v>0</v>
      </c>
      <c r="I179" s="42">
        <f t="shared" si="9"/>
        <v>0</v>
      </c>
      <c r="J179" s="29"/>
    </row>
    <row r="180" spans="1:10" x14ac:dyDescent="0.25">
      <c r="A180" s="38">
        <f>Données!A180</f>
        <v>5709</v>
      </c>
      <c r="B180" s="170" t="str">
        <f>Données!B180</f>
        <v>Chéserex</v>
      </c>
      <c r="C180" s="351">
        <f>VPI!R180</f>
        <v>88341.005087719284</v>
      </c>
      <c r="D180" s="208">
        <f>Effort!I180-IF(PCS!I186&lt;0, Effort!D180, 0)</f>
        <v>34.039111914020786</v>
      </c>
      <c r="E180" s="512">
        <f>IF(PCS!I186&lt;0, 0, PCS!F186/Aide!C180)</f>
        <v>10.548179739122521</v>
      </c>
      <c r="F180" s="512">
        <f>Effort!G180</f>
        <v>0</v>
      </c>
      <c r="G180" s="378">
        <f t="shared" si="7"/>
        <v>44.587291653143311</v>
      </c>
      <c r="H180" s="225">
        <f t="shared" si="8"/>
        <v>0</v>
      </c>
      <c r="I180" s="42">
        <f t="shared" si="9"/>
        <v>0</v>
      </c>
      <c r="J180" s="29"/>
    </row>
    <row r="181" spans="1:10" x14ac:dyDescent="0.25">
      <c r="A181" s="38">
        <f>Données!A181</f>
        <v>5710</v>
      </c>
      <c r="B181" s="170" t="str">
        <f>Données!B181</f>
        <v>Coinsins</v>
      </c>
      <c r="C181" s="351">
        <f>VPI!R181</f>
        <v>43388.780196078442</v>
      </c>
      <c r="D181" s="208">
        <f>Effort!I181-IF(PCS!I187&lt;0, Effort!D181, 0)</f>
        <v>37.412203084558897</v>
      </c>
      <c r="E181" s="512">
        <f>IF(PCS!I187&lt;0, 0, PCS!F187/Aide!C181)</f>
        <v>2.1458049656905289</v>
      </c>
      <c r="F181" s="512">
        <f>Effort!G181</f>
        <v>0</v>
      </c>
      <c r="G181" s="378">
        <f t="shared" si="7"/>
        <v>39.558008050249427</v>
      </c>
      <c r="H181" s="225">
        <f t="shared" si="8"/>
        <v>0</v>
      </c>
      <c r="I181" s="42">
        <f t="shared" si="9"/>
        <v>0</v>
      </c>
      <c r="J181" s="29"/>
    </row>
    <row r="182" spans="1:10" x14ac:dyDescent="0.25">
      <c r="A182" s="38">
        <f>Données!A182</f>
        <v>5711</v>
      </c>
      <c r="B182" s="170" t="str">
        <f>Données!B182</f>
        <v>Commugny</v>
      </c>
      <c r="C182" s="351">
        <f>VPI!R182</f>
        <v>286267.46263340261</v>
      </c>
      <c r="D182" s="208">
        <f>Effort!I182-IF(PCS!I188&lt;0, Effort!D182, 0)</f>
        <v>38.090903758697252</v>
      </c>
      <c r="E182" s="512">
        <f>IF(PCS!I188&lt;0, 0, PCS!F188/Aide!C182)</f>
        <v>3.8537861231291517</v>
      </c>
      <c r="F182" s="512">
        <f>Effort!G182</f>
        <v>0</v>
      </c>
      <c r="G182" s="378">
        <f t="shared" si="7"/>
        <v>41.944689881826406</v>
      </c>
      <c r="H182" s="225">
        <f t="shared" si="8"/>
        <v>0</v>
      </c>
      <c r="I182" s="42">
        <f t="shared" si="9"/>
        <v>0</v>
      </c>
      <c r="J182" s="29"/>
    </row>
    <row r="183" spans="1:10" x14ac:dyDescent="0.25">
      <c r="A183" s="38">
        <f>Données!A183</f>
        <v>5712</v>
      </c>
      <c r="B183" s="170" t="str">
        <f>Données!B183</f>
        <v>Coppet</v>
      </c>
      <c r="C183" s="351">
        <f>VPI!R183</f>
        <v>333743.32396226411</v>
      </c>
      <c r="D183" s="208">
        <f>Effort!I183-IF(PCS!I189&lt;0, Effort!D183, 0)</f>
        <v>39.220881530283933</v>
      </c>
      <c r="E183" s="512">
        <f>IF(PCS!I189&lt;0, 0, PCS!F189/Aide!C183)</f>
        <v>3.1996189086938571</v>
      </c>
      <c r="F183" s="512">
        <f>Effort!G183</f>
        <v>0</v>
      </c>
      <c r="G183" s="378">
        <f t="shared" si="7"/>
        <v>42.42050043897779</v>
      </c>
      <c r="H183" s="225">
        <f t="shared" si="8"/>
        <v>0</v>
      </c>
      <c r="I183" s="42">
        <f t="shared" si="9"/>
        <v>0</v>
      </c>
      <c r="J183" s="29"/>
    </row>
    <row r="184" spans="1:10" x14ac:dyDescent="0.25">
      <c r="A184" s="38">
        <f>Données!A184</f>
        <v>5713</v>
      </c>
      <c r="B184" s="170" t="str">
        <f>Données!B184</f>
        <v>Crans</v>
      </c>
      <c r="C184" s="351">
        <f>VPI!R184</f>
        <v>302501.76750000002</v>
      </c>
      <c r="D184" s="208">
        <f>Effort!I184-IF(PCS!I190&lt;0, Effort!D184, 0)</f>
        <v>43.800586380400361</v>
      </c>
      <c r="E184" s="512">
        <f>IF(PCS!I190&lt;0, 0, PCS!F190/Aide!C184)</f>
        <v>5.4713912043505664</v>
      </c>
      <c r="F184" s="512">
        <f>Effort!G184</f>
        <v>0</v>
      </c>
      <c r="G184" s="378">
        <f t="shared" si="7"/>
        <v>49.271977584750928</v>
      </c>
      <c r="H184" s="225">
        <f t="shared" si="8"/>
        <v>0</v>
      </c>
      <c r="I184" s="42">
        <f t="shared" si="9"/>
        <v>0</v>
      </c>
      <c r="J184" s="29"/>
    </row>
    <row r="185" spans="1:10" x14ac:dyDescent="0.25">
      <c r="A185" s="38">
        <f>Données!A185</f>
        <v>5714</v>
      </c>
      <c r="B185" s="170" t="str">
        <f>Données!B185</f>
        <v>Crassier</v>
      </c>
      <c r="C185" s="351">
        <f>VPI!R185</f>
        <v>62133.653235294114</v>
      </c>
      <c r="D185" s="208">
        <f>Effort!I185-IF(PCS!I191&lt;0, Effort!D185, 0)</f>
        <v>29.288828675533949</v>
      </c>
      <c r="E185" s="512">
        <f>IF(PCS!I191&lt;0, 0, PCS!F191/Aide!C185)</f>
        <v>5.6493579038518682</v>
      </c>
      <c r="F185" s="512">
        <f>Effort!G185</f>
        <v>0</v>
      </c>
      <c r="G185" s="378">
        <f t="shared" si="7"/>
        <v>34.938186579385814</v>
      </c>
      <c r="H185" s="225">
        <f t="shared" si="8"/>
        <v>0</v>
      </c>
      <c r="I185" s="42">
        <f t="shared" si="9"/>
        <v>0</v>
      </c>
      <c r="J185" s="29"/>
    </row>
    <row r="186" spans="1:10" x14ac:dyDescent="0.25">
      <c r="A186" s="38">
        <f>Données!A186</f>
        <v>5715</v>
      </c>
      <c r="B186" s="170" t="str">
        <f>Données!B186</f>
        <v>Duillier</v>
      </c>
      <c r="C186" s="351">
        <f>VPI!R186</f>
        <v>70392.808484848487</v>
      </c>
      <c r="D186" s="208">
        <f>Effort!I186-IF(PCS!I192&lt;0, Effort!D186, 0)</f>
        <v>32.711642654110122</v>
      </c>
      <c r="E186" s="512">
        <f>IF(PCS!I192&lt;0, 0, PCS!F192/Aide!C186)</f>
        <v>6.5771899142176489</v>
      </c>
      <c r="F186" s="512">
        <f>Effort!G186</f>
        <v>0</v>
      </c>
      <c r="G186" s="378">
        <f t="shared" si="7"/>
        <v>39.28883256832777</v>
      </c>
      <c r="H186" s="225">
        <f t="shared" si="8"/>
        <v>0</v>
      </c>
      <c r="I186" s="42">
        <f t="shared" si="9"/>
        <v>0</v>
      </c>
      <c r="J186" s="29"/>
    </row>
    <row r="187" spans="1:10" x14ac:dyDescent="0.25">
      <c r="A187" s="38">
        <f>Données!A187</f>
        <v>5716</v>
      </c>
      <c r="B187" s="170" t="str">
        <f>Données!B187</f>
        <v>Eysins</v>
      </c>
      <c r="C187" s="351">
        <f>VPI!R187</f>
        <v>203469.72924369748</v>
      </c>
      <c r="D187" s="208">
        <f>Effort!I187-IF(PCS!I193&lt;0, Effort!D187, 0)</f>
        <v>43.480661549341704</v>
      </c>
      <c r="E187" s="512">
        <f>IF(PCS!I193&lt;0, 0, PCS!F193/Aide!C187)</f>
        <v>1.0955146046959439</v>
      </c>
      <c r="F187" s="512">
        <f>Effort!G187</f>
        <v>0</v>
      </c>
      <c r="G187" s="378">
        <f t="shared" si="7"/>
        <v>44.576176154037647</v>
      </c>
      <c r="H187" s="225">
        <f t="shared" si="8"/>
        <v>0</v>
      </c>
      <c r="I187" s="42">
        <f t="shared" si="9"/>
        <v>0</v>
      </c>
      <c r="J187" s="29"/>
    </row>
    <row r="188" spans="1:10" x14ac:dyDescent="0.25">
      <c r="A188" s="38">
        <f>Données!A188</f>
        <v>5717</v>
      </c>
      <c r="B188" s="170" t="str">
        <f>Données!B188</f>
        <v>Founex</v>
      </c>
      <c r="C188" s="351">
        <f>VPI!R188</f>
        <v>390717.85842105263</v>
      </c>
      <c r="D188" s="208">
        <f>Effort!I188-IF(PCS!I194&lt;0, Effort!D188, 0)</f>
        <v>39.303120830195375</v>
      </c>
      <c r="E188" s="512">
        <f>IF(PCS!I194&lt;0, 0, PCS!F194/Aide!C188)</f>
        <v>2.2871583183100523</v>
      </c>
      <c r="F188" s="512">
        <f>Effort!G188</f>
        <v>0</v>
      </c>
      <c r="G188" s="378">
        <f t="shared" si="7"/>
        <v>41.590279148505431</v>
      </c>
      <c r="H188" s="225">
        <f t="shared" si="8"/>
        <v>0</v>
      </c>
      <c r="I188" s="42">
        <f t="shared" si="9"/>
        <v>0</v>
      </c>
      <c r="J188" s="29"/>
    </row>
    <row r="189" spans="1:10" x14ac:dyDescent="0.25">
      <c r="A189" s="38">
        <f>Données!A189</f>
        <v>5718</v>
      </c>
      <c r="B189" s="170" t="str">
        <f>Données!B189</f>
        <v>Genolier</v>
      </c>
      <c r="C189" s="351">
        <f>VPI!R189</f>
        <v>192258.25363636363</v>
      </c>
      <c r="D189" s="208">
        <f>Effort!I189-IF(PCS!I195&lt;0, Effort!D189, 0)</f>
        <v>38.351972843767683</v>
      </c>
      <c r="E189" s="512">
        <f>IF(PCS!I195&lt;0, 0, PCS!F195/Aide!C189)</f>
        <v>3.5571775050735615</v>
      </c>
      <c r="F189" s="512">
        <f>Effort!G189</f>
        <v>0</v>
      </c>
      <c r="G189" s="378">
        <f t="shared" si="7"/>
        <v>41.909150348841244</v>
      </c>
      <c r="H189" s="225">
        <f t="shared" si="8"/>
        <v>0</v>
      </c>
      <c r="I189" s="42">
        <f t="shared" si="9"/>
        <v>0</v>
      </c>
      <c r="J189" s="29"/>
    </row>
    <row r="190" spans="1:10" x14ac:dyDescent="0.25">
      <c r="A190" s="38">
        <f>Données!A190</f>
        <v>5719</v>
      </c>
      <c r="B190" s="170" t="str">
        <f>Données!B190</f>
        <v>Gingins</v>
      </c>
      <c r="C190" s="351">
        <f>VPI!R190</f>
        <v>151290.43366666668</v>
      </c>
      <c r="D190" s="208">
        <f>Effort!I190-IF(PCS!I196&lt;0, Effort!D190, 0)</f>
        <v>44.377644435565514</v>
      </c>
      <c r="E190" s="512">
        <f>IF(PCS!I196&lt;0, 0, PCS!F196/Aide!C190)</f>
        <v>2.6544790722513647</v>
      </c>
      <c r="F190" s="512">
        <f>Effort!G190</f>
        <v>0</v>
      </c>
      <c r="G190" s="378">
        <f t="shared" si="7"/>
        <v>47.032123507816877</v>
      </c>
      <c r="H190" s="225">
        <f t="shared" si="8"/>
        <v>0</v>
      </c>
      <c r="I190" s="42">
        <f t="shared" si="9"/>
        <v>0</v>
      </c>
      <c r="J190" s="29"/>
    </row>
    <row r="191" spans="1:10" x14ac:dyDescent="0.25">
      <c r="A191" s="38">
        <f>Données!A191</f>
        <v>5720</v>
      </c>
      <c r="B191" s="170" t="str">
        <f>Données!B191</f>
        <v>Givrins</v>
      </c>
      <c r="C191" s="351">
        <f>VPI!R191</f>
        <v>74789.584809286913</v>
      </c>
      <c r="D191" s="208">
        <f>Effort!I191-IF(PCS!I197&lt;0, Effort!D191, 0)</f>
        <v>36.005188126374563</v>
      </c>
      <c r="E191" s="512">
        <f>IF(PCS!I197&lt;0, 0, PCS!F197/Aide!C191)</f>
        <v>3.6272237062387642</v>
      </c>
      <c r="F191" s="512">
        <f>Effort!G191</f>
        <v>-0.61235212777044268</v>
      </c>
      <c r="G191" s="378">
        <f t="shared" si="7"/>
        <v>40.244763960383771</v>
      </c>
      <c r="H191" s="225">
        <f t="shared" si="8"/>
        <v>0</v>
      </c>
      <c r="I191" s="42">
        <f t="shared" si="9"/>
        <v>0</v>
      </c>
      <c r="J191" s="29"/>
    </row>
    <row r="192" spans="1:10" x14ac:dyDescent="0.25">
      <c r="A192" s="38">
        <f>Données!A192</f>
        <v>5721</v>
      </c>
      <c r="B192" s="170" t="str">
        <f>Données!B192</f>
        <v>Gland</v>
      </c>
      <c r="C192" s="351">
        <f>VPI!R192</f>
        <v>722641.89508196723</v>
      </c>
      <c r="D192" s="208">
        <f>Effort!I192-IF(PCS!I198&lt;0, Effort!D192, 0)</f>
        <v>21.86470528127883</v>
      </c>
      <c r="E192" s="512">
        <f>IF(PCS!I198&lt;0, 0, PCS!F198/Aide!C192)</f>
        <v>3.4951237773358192</v>
      </c>
      <c r="F192" s="512">
        <f>Effort!G192</f>
        <v>0</v>
      </c>
      <c r="G192" s="378">
        <f t="shared" si="7"/>
        <v>25.35982905861465</v>
      </c>
      <c r="H192" s="225">
        <f t="shared" si="8"/>
        <v>0</v>
      </c>
      <c r="I192" s="42">
        <f t="shared" si="9"/>
        <v>0</v>
      </c>
      <c r="J192" s="29"/>
    </row>
    <row r="193" spans="1:10" x14ac:dyDescent="0.25">
      <c r="A193" s="38">
        <f>Données!A193</f>
        <v>5722</v>
      </c>
      <c r="B193" s="170" t="str">
        <f>Données!B193</f>
        <v>Grens</v>
      </c>
      <c r="C193" s="351">
        <f>VPI!R193</f>
        <v>22316.235806451619</v>
      </c>
      <c r="D193" s="208">
        <f>Effort!I193-IF(PCS!I199&lt;0, Effort!D193, 0)</f>
        <v>31.376243486280565</v>
      </c>
      <c r="E193" s="512">
        <f>IF(PCS!I199&lt;0, 0, PCS!F199/Aide!C193)</f>
        <v>0.55454401482987969</v>
      </c>
      <c r="F193" s="512">
        <f>Effort!G193</f>
        <v>0</v>
      </c>
      <c r="G193" s="378">
        <f t="shared" si="7"/>
        <v>31.930787501110444</v>
      </c>
      <c r="H193" s="225">
        <f t="shared" si="8"/>
        <v>0</v>
      </c>
      <c r="I193" s="42">
        <f t="shared" si="9"/>
        <v>0</v>
      </c>
      <c r="J193" s="29"/>
    </row>
    <row r="194" spans="1:10" x14ac:dyDescent="0.25">
      <c r="A194" s="38">
        <f>Données!A194</f>
        <v>5723</v>
      </c>
      <c r="B194" s="170" t="str">
        <f>Données!B194</f>
        <v>Mies</v>
      </c>
      <c r="C194" s="351">
        <f>VPI!R194</f>
        <v>245963.39999999997</v>
      </c>
      <c r="D194" s="208">
        <f>Effort!I194-IF(PCS!I200&lt;0, Effort!D194, 0)</f>
        <v>40.792027091144277</v>
      </c>
      <c r="E194" s="512">
        <f>IF(PCS!I200&lt;0, 0, PCS!F200/Aide!C194)</f>
        <v>6.8081796519319555</v>
      </c>
      <c r="F194" s="512">
        <f>Effort!G194</f>
        <v>0</v>
      </c>
      <c r="G194" s="378">
        <f t="shared" si="7"/>
        <v>47.600206743076235</v>
      </c>
      <c r="H194" s="225">
        <f t="shared" si="8"/>
        <v>0</v>
      </c>
      <c r="I194" s="42">
        <f t="shared" si="9"/>
        <v>0</v>
      </c>
      <c r="J194" s="29"/>
    </row>
    <row r="195" spans="1:10" x14ac:dyDescent="0.25">
      <c r="A195" s="38">
        <f>Données!A195</f>
        <v>5724</v>
      </c>
      <c r="B195" s="170" t="str">
        <f>Données!B195</f>
        <v>Nyon</v>
      </c>
      <c r="C195" s="351">
        <f>VPI!R195</f>
        <v>1461398.290765027</v>
      </c>
      <c r="D195" s="208">
        <f>Effort!I195-IF(PCS!I201&lt;0, Effort!D195, 0)</f>
        <v>23.365236448205081</v>
      </c>
      <c r="E195" s="512">
        <f>IF(PCS!I201&lt;0, 0, PCS!F201/Aide!C195)</f>
        <v>4.6418195695636699</v>
      </c>
      <c r="F195" s="512">
        <f>Effort!G195</f>
        <v>-0.55745463817627006</v>
      </c>
      <c r="G195" s="378">
        <f t="shared" si="7"/>
        <v>28.564510655945021</v>
      </c>
      <c r="H195" s="225">
        <f t="shared" si="8"/>
        <v>0</v>
      </c>
      <c r="I195" s="42">
        <f t="shared" si="9"/>
        <v>0</v>
      </c>
      <c r="J195" s="29"/>
    </row>
    <row r="196" spans="1:10" x14ac:dyDescent="0.25">
      <c r="A196" s="38">
        <f>Données!A196</f>
        <v>5725</v>
      </c>
      <c r="B196" s="170" t="str">
        <f>Données!B196</f>
        <v>Prangins</v>
      </c>
      <c r="C196" s="351">
        <f>VPI!R196</f>
        <v>354965.57820779225</v>
      </c>
      <c r="D196" s="208">
        <f>Effort!I196-IF(PCS!I202&lt;0, Effort!D196, 0)</f>
        <v>35.86261057971484</v>
      </c>
      <c r="E196" s="512">
        <f>IF(PCS!I202&lt;0, 0, PCS!F202/Aide!C196)</f>
        <v>2.9579263721885893</v>
      </c>
      <c r="F196" s="512">
        <f>Effort!G196</f>
        <v>0</v>
      </c>
      <c r="G196" s="378">
        <f t="shared" si="7"/>
        <v>38.820536951903428</v>
      </c>
      <c r="H196" s="225">
        <f t="shared" si="8"/>
        <v>0</v>
      </c>
      <c r="I196" s="42">
        <f t="shared" si="9"/>
        <v>0</v>
      </c>
      <c r="J196" s="29"/>
    </row>
    <row r="197" spans="1:10" x14ac:dyDescent="0.25">
      <c r="A197" s="38">
        <f>Données!A197</f>
        <v>5726</v>
      </c>
      <c r="B197" s="170" t="str">
        <f>Données!B197</f>
        <v>La Rippe</v>
      </c>
      <c r="C197" s="351">
        <f>VPI!R197</f>
        <v>70364.194375000006</v>
      </c>
      <c r="D197" s="208">
        <f>Effort!I197-IF(PCS!I203&lt;0, Effort!D197, 0)</f>
        <v>32.240894069327979</v>
      </c>
      <c r="E197" s="512">
        <f>IF(PCS!I203&lt;0, 0, PCS!F203/Aide!C197)</f>
        <v>3.507054151502889</v>
      </c>
      <c r="F197" s="512">
        <f>Effort!G197</f>
        <v>0</v>
      </c>
      <c r="G197" s="378">
        <f t="shared" si="7"/>
        <v>35.747948220830871</v>
      </c>
      <c r="H197" s="225">
        <f t="shared" si="8"/>
        <v>0</v>
      </c>
      <c r="I197" s="42">
        <f t="shared" si="9"/>
        <v>0</v>
      </c>
      <c r="J197" s="29"/>
    </row>
    <row r="198" spans="1:10" x14ac:dyDescent="0.25">
      <c r="A198" s="38">
        <f>Données!A198</f>
        <v>5727</v>
      </c>
      <c r="B198" s="170" t="str">
        <f>Données!B198</f>
        <v>Saint-Cergue</v>
      </c>
      <c r="C198" s="351">
        <f>VPI!R198</f>
        <v>106171.3535858586</v>
      </c>
      <c r="D198" s="208">
        <f>Effort!I198-IF(PCS!I204&lt;0, Effort!D198, 0)</f>
        <v>16.105926985715527</v>
      </c>
      <c r="E198" s="512">
        <f>IF(PCS!I204&lt;0, 0, PCS!F204/Aide!C198)</f>
        <v>6.9374693372855862</v>
      </c>
      <c r="F198" s="512">
        <f>Effort!G198</f>
        <v>-4.4395648861562238</v>
      </c>
      <c r="G198" s="378">
        <f t="shared" si="7"/>
        <v>27.482961209157335</v>
      </c>
      <c r="H198" s="225">
        <f t="shared" si="8"/>
        <v>0</v>
      </c>
      <c r="I198" s="42">
        <f t="shared" si="9"/>
        <v>0</v>
      </c>
      <c r="J198" s="29"/>
    </row>
    <row r="199" spans="1:10" x14ac:dyDescent="0.25">
      <c r="A199" s="38">
        <f>Données!A199</f>
        <v>5728</v>
      </c>
      <c r="B199" s="170" t="str">
        <f>Données!B199</f>
        <v>Signy-Avenex</v>
      </c>
      <c r="C199" s="351">
        <f>VPI!R199</f>
        <v>56428.273965517248</v>
      </c>
      <c r="D199" s="208">
        <f>Effort!I199-IF(PCS!I205&lt;0, Effort!D199, 0)</f>
        <v>40.36196574781809</v>
      </c>
      <c r="E199" s="512">
        <f>IF(PCS!I205&lt;0, 0, PCS!F205/Aide!C199)</f>
        <v>3.1320259788204914</v>
      </c>
      <c r="F199" s="512">
        <f>Effort!G199</f>
        <v>0</v>
      </c>
      <c r="G199" s="378">
        <f t="shared" ref="G199:G262" si="10">D199+E199-F199</f>
        <v>43.493991726638583</v>
      </c>
      <c r="H199" s="225">
        <f t="shared" ref="H199:H262" si="11">IF(G199&lt;H$5,G199-H$5,0)</f>
        <v>0</v>
      </c>
      <c r="I199" s="42">
        <f t="shared" ref="I199:I262" si="12">-H199*C199</f>
        <v>0</v>
      </c>
      <c r="J199" s="29"/>
    </row>
    <row r="200" spans="1:10" x14ac:dyDescent="0.25">
      <c r="A200" s="38">
        <f>Données!A200</f>
        <v>5729</v>
      </c>
      <c r="B200" s="170" t="str">
        <f>Données!B200</f>
        <v>Tannay</v>
      </c>
      <c r="C200" s="351">
        <f>VPI!R200</f>
        <v>161668.92523415975</v>
      </c>
      <c r="D200" s="208">
        <f>Effort!I200-IF(PCS!I206&lt;0, Effort!D200, 0)</f>
        <v>40.229881663908074</v>
      </c>
      <c r="E200" s="512">
        <f>IF(PCS!I206&lt;0, 0, PCS!F206/Aide!C200)</f>
        <v>3.9098582122969439</v>
      </c>
      <c r="F200" s="512">
        <f>Effort!G200</f>
        <v>0</v>
      </c>
      <c r="G200" s="378">
        <f t="shared" si="10"/>
        <v>44.13973987620502</v>
      </c>
      <c r="H200" s="225">
        <f t="shared" si="11"/>
        <v>0</v>
      </c>
      <c r="I200" s="42">
        <f t="shared" si="12"/>
        <v>0</v>
      </c>
      <c r="J200" s="29"/>
    </row>
    <row r="201" spans="1:10" x14ac:dyDescent="0.25">
      <c r="A201" s="38">
        <f>Données!A201</f>
        <v>5730</v>
      </c>
      <c r="B201" s="170" t="str">
        <f>Données!B201</f>
        <v>Trélex</v>
      </c>
      <c r="C201" s="351">
        <f>VPI!R201</f>
        <v>125084.29905905908</v>
      </c>
      <c r="D201" s="208">
        <f>Effort!I201-IF(PCS!I207&lt;0, Effort!D201, 0)</f>
        <v>37.491357922467557</v>
      </c>
      <c r="E201" s="512">
        <f>IF(PCS!I207&lt;0, 0, PCS!F207/Aide!C201)</f>
        <v>6.2538750337534523</v>
      </c>
      <c r="F201" s="512">
        <f>Effort!G201</f>
        <v>0</v>
      </c>
      <c r="G201" s="378">
        <f t="shared" si="10"/>
        <v>43.74523295622101</v>
      </c>
      <c r="H201" s="225">
        <f t="shared" si="11"/>
        <v>0</v>
      </c>
      <c r="I201" s="42">
        <f t="shared" si="12"/>
        <v>0</v>
      </c>
      <c r="J201" s="29"/>
    </row>
    <row r="202" spans="1:10" x14ac:dyDescent="0.25">
      <c r="A202" s="38">
        <f>Données!A202</f>
        <v>5731</v>
      </c>
      <c r="B202" s="170" t="str">
        <f>Données!B202</f>
        <v>Le Vaud</v>
      </c>
      <c r="C202" s="351">
        <f>VPI!R202</f>
        <v>69594.777477477473</v>
      </c>
      <c r="D202" s="208">
        <f>Effort!I202-IF(PCS!I208&lt;0, Effort!D202, 0)</f>
        <v>26.550613019018044</v>
      </c>
      <c r="E202" s="512">
        <f>IF(PCS!I208&lt;0, 0, PCS!F208/Aide!C202)</f>
        <v>1.9483898780175377</v>
      </c>
      <c r="F202" s="512">
        <f>Effort!G202</f>
        <v>-2.2231601384918047</v>
      </c>
      <c r="G202" s="378">
        <f t="shared" si="10"/>
        <v>30.722163035527387</v>
      </c>
      <c r="H202" s="225">
        <f t="shared" si="11"/>
        <v>0</v>
      </c>
      <c r="I202" s="42">
        <f t="shared" si="12"/>
        <v>0</v>
      </c>
      <c r="J202" s="29"/>
    </row>
    <row r="203" spans="1:10" x14ac:dyDescent="0.25">
      <c r="A203" s="38">
        <f>Données!A203</f>
        <v>5732</v>
      </c>
      <c r="B203" s="170" t="str">
        <f>Données!B203</f>
        <v>Vich</v>
      </c>
      <c r="C203" s="351">
        <f>VPI!R203</f>
        <v>86531.798253968242</v>
      </c>
      <c r="D203" s="208">
        <f>Effort!I203-IF(PCS!I209&lt;0, Effort!D203, 0)</f>
        <v>36.051247489918573</v>
      </c>
      <c r="E203" s="512">
        <f>IF(PCS!I209&lt;0, 0, PCS!F209/Aide!C203)</f>
        <v>1.5275373639185681</v>
      </c>
      <c r="F203" s="512">
        <f>Effort!G203</f>
        <v>0</v>
      </c>
      <c r="G203" s="378">
        <f t="shared" si="10"/>
        <v>37.578784853837142</v>
      </c>
      <c r="H203" s="225">
        <f t="shared" si="11"/>
        <v>0</v>
      </c>
      <c r="I203" s="42">
        <f t="shared" si="12"/>
        <v>0</v>
      </c>
      <c r="J203" s="29"/>
    </row>
    <row r="204" spans="1:10" x14ac:dyDescent="0.25">
      <c r="A204" s="38">
        <f>Données!A204</f>
        <v>5741</v>
      </c>
      <c r="B204" s="170" t="str">
        <f>Données!B204</f>
        <v>L'Abergement</v>
      </c>
      <c r="C204" s="351">
        <f>VPI!R204</f>
        <v>8987.1447119341574</v>
      </c>
      <c r="D204" s="208">
        <f>Effort!I204-IF(PCS!I210&lt;0, Effort!D204, 0)</f>
        <v>6.9309014394719171</v>
      </c>
      <c r="E204" s="512">
        <f>IF(PCS!I210&lt;0, 0, PCS!F210/Aide!C204)</f>
        <v>3.486418212270749</v>
      </c>
      <c r="F204" s="512">
        <f>Effort!G204</f>
        <v>-12.100341841612615</v>
      </c>
      <c r="G204" s="378">
        <f t="shared" si="10"/>
        <v>22.517661493355281</v>
      </c>
      <c r="H204" s="225">
        <f t="shared" si="11"/>
        <v>0</v>
      </c>
      <c r="I204" s="42">
        <f t="shared" si="12"/>
        <v>0</v>
      </c>
      <c r="J204" s="29"/>
    </row>
    <row r="205" spans="1:10" x14ac:dyDescent="0.25">
      <c r="A205" s="38">
        <f>Données!A205</f>
        <v>5742</v>
      </c>
      <c r="B205" s="170" t="str">
        <f>Données!B205</f>
        <v>Agiez</v>
      </c>
      <c r="C205" s="351">
        <f>VPI!R205</f>
        <v>10159.753552631579</v>
      </c>
      <c r="D205" s="208">
        <f>Effort!I205-IF(PCS!I211&lt;0, Effort!D205, 0)</f>
        <v>4.3566760137156066</v>
      </c>
      <c r="E205" s="512">
        <f>IF(PCS!I211&lt;0, 0, PCS!F211/Aide!C205)</f>
        <v>0.22259988771225764</v>
      </c>
      <c r="F205" s="512">
        <f>Effort!G205</f>
        <v>-5.1064883858623435</v>
      </c>
      <c r="G205" s="378">
        <f t="shared" si="10"/>
        <v>9.6857642872902083</v>
      </c>
      <c r="H205" s="225">
        <f t="shared" si="11"/>
        <v>0</v>
      </c>
      <c r="I205" s="42">
        <f t="shared" si="12"/>
        <v>0</v>
      </c>
      <c r="J205" s="29"/>
    </row>
    <row r="206" spans="1:10" x14ac:dyDescent="0.25">
      <c r="A206" s="38">
        <f>Données!A206</f>
        <v>5743</v>
      </c>
      <c r="B206" s="170" t="str">
        <f>Données!B206</f>
        <v>Arnex-sur-Orbe</v>
      </c>
      <c r="C206" s="351">
        <f>VPI!R206</f>
        <v>18533.004577464792</v>
      </c>
      <c r="D206" s="208">
        <f>Effort!I206-IF(PCS!I212&lt;0, Effort!D206, 0)</f>
        <v>7.426654309744233</v>
      </c>
      <c r="E206" s="512">
        <f>IF(PCS!I212&lt;0, 0, PCS!F212/Aide!C206)</f>
        <v>2.5467845649481098</v>
      </c>
      <c r="F206" s="512">
        <f>Effort!G206</f>
        <v>-5.4205308219350483</v>
      </c>
      <c r="G206" s="378">
        <f t="shared" si="10"/>
        <v>15.393969696627391</v>
      </c>
      <c r="H206" s="225">
        <f t="shared" si="11"/>
        <v>0</v>
      </c>
      <c r="I206" s="42">
        <f t="shared" si="12"/>
        <v>0</v>
      </c>
      <c r="J206" s="29"/>
    </row>
    <row r="207" spans="1:10" x14ac:dyDescent="0.25">
      <c r="A207" s="38">
        <f>Données!A207</f>
        <v>5744</v>
      </c>
      <c r="B207" s="170" t="str">
        <f>Données!B207</f>
        <v>Ballaigues</v>
      </c>
      <c r="C207" s="351">
        <f>VPI!R207</f>
        <v>49180.794769230772</v>
      </c>
      <c r="D207" s="208">
        <f>Effort!I207-IF(PCS!I213&lt;0, Effort!D207, 0)</f>
        <v>17.610422224242825</v>
      </c>
      <c r="E207" s="512">
        <f>IF(PCS!I213&lt;0, 0, PCS!F213/Aide!C207)</f>
        <v>12.115062450612758</v>
      </c>
      <c r="F207" s="512">
        <f>Effort!G207</f>
        <v>-8.0525617197927719</v>
      </c>
      <c r="G207" s="378">
        <f t="shared" si="10"/>
        <v>37.778046394648356</v>
      </c>
      <c r="H207" s="225">
        <f t="shared" si="11"/>
        <v>0</v>
      </c>
      <c r="I207" s="42">
        <f t="shared" si="12"/>
        <v>0</v>
      </c>
      <c r="J207" s="29"/>
    </row>
    <row r="208" spans="1:10" x14ac:dyDescent="0.25">
      <c r="A208" s="38">
        <f>Données!A208</f>
        <v>5745</v>
      </c>
      <c r="B208" s="170" t="str">
        <f>Données!B208</f>
        <v>Baulmes</v>
      </c>
      <c r="C208" s="351">
        <f>VPI!R208</f>
        <v>28469.206405228757</v>
      </c>
      <c r="D208" s="208">
        <f>Effort!I208-IF(PCS!I214&lt;0, Effort!D208, 0)</f>
        <v>-10.448120368536198</v>
      </c>
      <c r="E208" s="512">
        <f>IF(PCS!I214&lt;0, 0, PCS!F214/Aide!C208)</f>
        <v>5.9729285242306229</v>
      </c>
      <c r="F208" s="512">
        <f>Effort!G208</f>
        <v>-15.348561197843996</v>
      </c>
      <c r="G208" s="378">
        <f t="shared" si="10"/>
        <v>10.87336935353842</v>
      </c>
      <c r="H208" s="225">
        <f t="shared" si="11"/>
        <v>0</v>
      </c>
      <c r="I208" s="42">
        <f t="shared" si="12"/>
        <v>0</v>
      </c>
      <c r="J208" s="29"/>
    </row>
    <row r="209" spans="1:10" x14ac:dyDescent="0.25">
      <c r="A209" s="38">
        <f>Données!A209</f>
        <v>5746</v>
      </c>
      <c r="B209" s="170" t="str">
        <f>Données!B209</f>
        <v>Bavois</v>
      </c>
      <c r="C209" s="351">
        <f>VPI!R209</f>
        <v>27466.739977168949</v>
      </c>
      <c r="D209" s="208">
        <f>Effort!I209-IF(PCS!I215&lt;0, Effort!D209, 0)</f>
        <v>5.4111913653948935</v>
      </c>
      <c r="E209" s="512">
        <f>IF(PCS!I215&lt;0, 0, PCS!F215/Aide!C209)</f>
        <v>6.1869681345967882</v>
      </c>
      <c r="F209" s="512">
        <f>Effort!G209</f>
        <v>-6.9240654446866756</v>
      </c>
      <c r="G209" s="378">
        <f t="shared" si="10"/>
        <v>18.522224944678356</v>
      </c>
      <c r="H209" s="225">
        <f t="shared" si="11"/>
        <v>0</v>
      </c>
      <c r="I209" s="42">
        <f t="shared" si="12"/>
        <v>0</v>
      </c>
      <c r="J209" s="29"/>
    </row>
    <row r="210" spans="1:10" x14ac:dyDescent="0.25">
      <c r="A210" s="38">
        <f>Données!A210</f>
        <v>5747</v>
      </c>
      <c r="B210" s="170" t="str">
        <f>Données!B210</f>
        <v>Bofflens</v>
      </c>
      <c r="C210" s="351">
        <f>VPI!R210</f>
        <v>5807.8631884057959</v>
      </c>
      <c r="D210" s="208">
        <f>Effort!I210-IF(PCS!I216&lt;0, Effort!D210, 0)</f>
        <v>10.04474783243321</v>
      </c>
      <c r="E210" s="512">
        <f>IF(PCS!I216&lt;0, 0, PCS!F216/Aide!C210)</f>
        <v>3.1126766271094349E-2</v>
      </c>
      <c r="F210" s="512">
        <f>Effort!G210</f>
        <v>-4.0372973861323862</v>
      </c>
      <c r="G210" s="378">
        <f t="shared" si="10"/>
        <v>14.11317198483669</v>
      </c>
      <c r="H210" s="225">
        <f t="shared" si="11"/>
        <v>0</v>
      </c>
      <c r="I210" s="42">
        <f t="shared" si="12"/>
        <v>0</v>
      </c>
      <c r="J210" s="29"/>
    </row>
    <row r="211" spans="1:10" x14ac:dyDescent="0.25">
      <c r="A211" s="38">
        <f>Données!A211</f>
        <v>5748</v>
      </c>
      <c r="B211" s="170" t="str">
        <f>Données!B211</f>
        <v>Bretonnières</v>
      </c>
      <c r="C211" s="351">
        <f>VPI!R211</f>
        <v>6643.1211820330973</v>
      </c>
      <c r="D211" s="208">
        <f>Effort!I211-IF(PCS!I217&lt;0, Effort!D211, 0)</f>
        <v>-0.12305950330109638</v>
      </c>
      <c r="E211" s="512">
        <f>IF(PCS!I217&lt;0, 0, PCS!F217/Aide!C211)</f>
        <v>2.5420520772182815</v>
      </c>
      <c r="F211" s="512">
        <f>Effort!G211</f>
        <v>-8.6783036660122441</v>
      </c>
      <c r="G211" s="378">
        <f t="shared" si="10"/>
        <v>11.097296239929429</v>
      </c>
      <c r="H211" s="225">
        <f t="shared" si="11"/>
        <v>0</v>
      </c>
      <c r="I211" s="42">
        <f t="shared" si="12"/>
        <v>0</v>
      </c>
      <c r="J211" s="29"/>
    </row>
    <row r="212" spans="1:10" x14ac:dyDescent="0.25">
      <c r="A212" s="38">
        <f>Données!A212</f>
        <v>5749</v>
      </c>
      <c r="B212" s="170" t="str">
        <f>Données!B212</f>
        <v>Chavornay</v>
      </c>
      <c r="C212" s="351">
        <f>VPI!R212</f>
        <v>153319.43815602834</v>
      </c>
      <c r="D212" s="208">
        <f>Effort!I212-IF(PCS!I218&lt;0, Effort!D212, 0)</f>
        <v>0.62076580331592623</v>
      </c>
      <c r="E212" s="512">
        <f>IF(PCS!I218&lt;0, 0, PCS!F218/Aide!C212)</f>
        <v>3.1046855553669661</v>
      </c>
      <c r="F212" s="512">
        <f>Effort!G212</f>
        <v>-4.1351510941594247</v>
      </c>
      <c r="G212" s="378">
        <f t="shared" si="10"/>
        <v>7.8606024528423166</v>
      </c>
      <c r="H212" s="225">
        <f t="shared" si="11"/>
        <v>0</v>
      </c>
      <c r="I212" s="42">
        <f t="shared" si="12"/>
        <v>0</v>
      </c>
      <c r="J212" s="29"/>
    </row>
    <row r="213" spans="1:10" x14ac:dyDescent="0.25">
      <c r="A213" s="38">
        <f>Données!A213</f>
        <v>5750</v>
      </c>
      <c r="B213" s="170" t="str">
        <f>Données!B213</f>
        <v>Les Clées</v>
      </c>
      <c r="C213" s="351">
        <f>VPI!R213</f>
        <v>4819.7572916666668</v>
      </c>
      <c r="D213" s="208">
        <f>Effort!I213-IF(PCS!I219&lt;0, Effort!D213, 0)</f>
        <v>-3.0975783241782473</v>
      </c>
      <c r="E213" s="512">
        <f>IF(PCS!I219&lt;0, 0, PCS!F219/Aide!C213)</f>
        <v>4.680103921207996</v>
      </c>
      <c r="F213" s="512">
        <f>Effort!G213</f>
        <v>-9.4906518135962479</v>
      </c>
      <c r="G213" s="378">
        <f t="shared" si="10"/>
        <v>11.073177410625997</v>
      </c>
      <c r="H213" s="225">
        <f t="shared" si="11"/>
        <v>0</v>
      </c>
      <c r="I213" s="42">
        <f t="shared" si="12"/>
        <v>0</v>
      </c>
      <c r="J213" s="29"/>
    </row>
    <row r="214" spans="1:10" x14ac:dyDescent="0.25">
      <c r="A214" s="38">
        <f>Données!A214</f>
        <v>5752</v>
      </c>
      <c r="B214" s="170" t="str">
        <f>Données!B214</f>
        <v>Croy</v>
      </c>
      <c r="C214" s="351">
        <f>VPI!R214</f>
        <v>9670.8161776061788</v>
      </c>
      <c r="D214" s="208">
        <f>Effort!I214-IF(PCS!I220&lt;0, Effort!D214, 0)</f>
        <v>6.3609618111159349</v>
      </c>
      <c r="E214" s="512">
        <f>IF(PCS!I220&lt;0, 0, PCS!F220/Aide!C214)</f>
        <v>1.9851189028341165</v>
      </c>
      <c r="F214" s="512">
        <f>Effort!G214</f>
        <v>0</v>
      </c>
      <c r="G214" s="378">
        <f t="shared" si="10"/>
        <v>8.3460807139500517</v>
      </c>
      <c r="H214" s="225">
        <f t="shared" si="11"/>
        <v>0</v>
      </c>
      <c r="I214" s="42">
        <f t="shared" si="12"/>
        <v>0</v>
      </c>
      <c r="J214" s="29"/>
    </row>
    <row r="215" spans="1:10" x14ac:dyDescent="0.25">
      <c r="A215" s="38">
        <f>Données!A215</f>
        <v>5754</v>
      </c>
      <c r="B215" s="170" t="str">
        <f>Données!B215</f>
        <v>Juriens</v>
      </c>
      <c r="C215" s="351">
        <f>VPI!R215</f>
        <v>9073.5155696202528</v>
      </c>
      <c r="D215" s="208">
        <f>Effort!I215-IF(PCS!I221&lt;0, Effort!D215, 0)</f>
        <v>1.8081612078708318</v>
      </c>
      <c r="E215" s="512">
        <f>IF(PCS!I221&lt;0, 0, PCS!F221/Aide!C215)</f>
        <v>7.174712987539908</v>
      </c>
      <c r="F215" s="512">
        <f>Effort!G215</f>
        <v>-4.3153637203382287</v>
      </c>
      <c r="G215" s="378">
        <f t="shared" si="10"/>
        <v>13.29823791574897</v>
      </c>
      <c r="H215" s="225">
        <f t="shared" si="11"/>
        <v>0</v>
      </c>
      <c r="I215" s="42">
        <f t="shared" si="12"/>
        <v>0</v>
      </c>
      <c r="J215" s="29"/>
    </row>
    <row r="216" spans="1:10" x14ac:dyDescent="0.25">
      <c r="A216" s="38">
        <f>Données!A216</f>
        <v>5755</v>
      </c>
      <c r="B216" s="170" t="str">
        <f>Données!B216</f>
        <v>Lignerolle</v>
      </c>
      <c r="C216" s="351">
        <f>VPI!R216</f>
        <v>10745.60797088262</v>
      </c>
      <c r="D216" s="208">
        <f>Effort!I216-IF(PCS!I222&lt;0, Effort!D216, 0)</f>
        <v>-20.294100681619295</v>
      </c>
      <c r="E216" s="512">
        <f>IF(PCS!I222&lt;0, 0, PCS!F222/Aide!C216)</f>
        <v>3.4113104720857512</v>
      </c>
      <c r="F216" s="512">
        <f>Effort!G216</f>
        <v>-27.062721530930389</v>
      </c>
      <c r="G216" s="378">
        <f t="shared" si="10"/>
        <v>10.179931321396847</v>
      </c>
      <c r="H216" s="225">
        <f t="shared" si="11"/>
        <v>0</v>
      </c>
      <c r="I216" s="42">
        <f t="shared" si="12"/>
        <v>0</v>
      </c>
      <c r="J216" s="29"/>
    </row>
    <row r="217" spans="1:10" x14ac:dyDescent="0.25">
      <c r="A217" s="38">
        <f>Données!A217</f>
        <v>5756</v>
      </c>
      <c r="B217" s="170" t="str">
        <f>Données!B217</f>
        <v>Montcherand</v>
      </c>
      <c r="C217" s="351">
        <f>VPI!R217</f>
        <v>17738.051111111108</v>
      </c>
      <c r="D217" s="208">
        <f>Effort!I217-IF(PCS!I223&lt;0, Effort!D217, 0)</f>
        <v>18.961368247143746</v>
      </c>
      <c r="E217" s="512">
        <f>IF(PCS!I223&lt;0, 0, PCS!F223/Aide!C217)</f>
        <v>1.6895362298977357</v>
      </c>
      <c r="F217" s="512">
        <f>Effort!G217</f>
        <v>-1.9783144784915003</v>
      </c>
      <c r="G217" s="378">
        <f t="shared" si="10"/>
        <v>22.629218955532984</v>
      </c>
      <c r="H217" s="225">
        <f t="shared" si="11"/>
        <v>0</v>
      </c>
      <c r="I217" s="42">
        <f t="shared" si="12"/>
        <v>0</v>
      </c>
      <c r="J217" s="29"/>
    </row>
    <row r="218" spans="1:10" x14ac:dyDescent="0.25">
      <c r="A218" s="38">
        <f>Données!A218</f>
        <v>5757</v>
      </c>
      <c r="B218" s="170" t="str">
        <f>Données!B218</f>
        <v>Orbe</v>
      </c>
      <c r="C218" s="351">
        <f>VPI!R218</f>
        <v>216123.53284768213</v>
      </c>
      <c r="D218" s="208">
        <f>Effort!I218-IF(PCS!I224&lt;0, Effort!D218, 0)</f>
        <v>-8.778589766976264</v>
      </c>
      <c r="E218" s="512">
        <f>IF(PCS!I224&lt;0, 0, PCS!F224/Aide!C218)</f>
        <v>7.7070687446791108</v>
      </c>
      <c r="F218" s="512">
        <f>Effort!G218</f>
        <v>-9.2127822763159184</v>
      </c>
      <c r="G218" s="378">
        <f t="shared" si="10"/>
        <v>8.1412612540187652</v>
      </c>
      <c r="H218" s="225">
        <f t="shared" si="11"/>
        <v>0</v>
      </c>
      <c r="I218" s="42">
        <f t="shared" si="12"/>
        <v>0</v>
      </c>
      <c r="J218" s="29"/>
    </row>
    <row r="219" spans="1:10" x14ac:dyDescent="0.25">
      <c r="A219" s="38">
        <f>Données!A219</f>
        <v>5758</v>
      </c>
      <c r="B219" s="170" t="str">
        <f>Données!B219</f>
        <v>La Praz</v>
      </c>
      <c r="C219" s="351">
        <f>VPI!R219</f>
        <v>4771.6656626506028</v>
      </c>
      <c r="D219" s="208">
        <f>Effort!I219-IF(PCS!I225&lt;0, Effort!D219, 0)</f>
        <v>-4.1212489376406829</v>
      </c>
      <c r="E219" s="512">
        <f>IF(PCS!I225&lt;0, 0, PCS!F225/Aide!C219)</f>
        <v>4.5868029211087284</v>
      </c>
      <c r="F219" s="512">
        <f>Effort!G219</f>
        <v>-8.3808273360632182</v>
      </c>
      <c r="G219" s="378">
        <f t="shared" si="10"/>
        <v>8.8463813195312646</v>
      </c>
      <c r="H219" s="225">
        <f t="shared" si="11"/>
        <v>0</v>
      </c>
      <c r="I219" s="42">
        <f t="shared" si="12"/>
        <v>0</v>
      </c>
      <c r="J219" s="29"/>
    </row>
    <row r="220" spans="1:10" x14ac:dyDescent="0.25">
      <c r="A220" s="38">
        <f>Données!A220</f>
        <v>5759</v>
      </c>
      <c r="B220" s="170" t="str">
        <f>Données!B220</f>
        <v>Premier</v>
      </c>
      <c r="C220" s="351">
        <f>VPI!R220</f>
        <v>5899.9776100628924</v>
      </c>
      <c r="D220" s="208">
        <f>Effort!I220-IF(PCS!I226&lt;0, Effort!D220, 0)</f>
        <v>-7.7863720537225412</v>
      </c>
      <c r="E220" s="512">
        <f>IF(PCS!I226&lt;0, 0, PCS!F226/Aide!C220)</f>
        <v>0.22427119007082044</v>
      </c>
      <c r="F220" s="512">
        <f>Effort!G220</f>
        <v>-12.346979250875318</v>
      </c>
      <c r="G220" s="378">
        <f t="shared" si="10"/>
        <v>4.7848783872235972</v>
      </c>
      <c r="H220" s="225">
        <f t="shared" si="11"/>
        <v>0</v>
      </c>
      <c r="I220" s="42">
        <f t="shared" si="12"/>
        <v>0</v>
      </c>
      <c r="J220" s="29"/>
    </row>
    <row r="221" spans="1:10" x14ac:dyDescent="0.25">
      <c r="A221" s="38">
        <f>Données!A221</f>
        <v>5760</v>
      </c>
      <c r="B221" s="170" t="str">
        <f>Données!B221</f>
        <v>Rances</v>
      </c>
      <c r="C221" s="351">
        <f>VPI!R221</f>
        <v>14480.898997821349</v>
      </c>
      <c r="D221" s="208">
        <f>Effort!I221-IF(PCS!I227&lt;0, Effort!D221, 0)</f>
        <v>2.3636359781937699</v>
      </c>
      <c r="E221" s="512">
        <f>IF(PCS!I227&lt;0, 0, PCS!F227/Aide!C221)</f>
        <v>3.8887661607523305</v>
      </c>
      <c r="F221" s="512">
        <f>Effort!G221</f>
        <v>-8.8064582028983214</v>
      </c>
      <c r="G221" s="378">
        <f t="shared" si="10"/>
        <v>15.058860341844422</v>
      </c>
      <c r="H221" s="225">
        <f t="shared" si="11"/>
        <v>0</v>
      </c>
      <c r="I221" s="42">
        <f t="shared" si="12"/>
        <v>0</v>
      </c>
      <c r="J221" s="29"/>
    </row>
    <row r="222" spans="1:10" x14ac:dyDescent="0.25">
      <c r="A222" s="38">
        <f>Données!A222</f>
        <v>5761</v>
      </c>
      <c r="B222" s="170" t="str">
        <f>Données!B222</f>
        <v>Romainmôtier-Envy</v>
      </c>
      <c r="C222" s="351">
        <f>VPI!R222</f>
        <v>12913.442693602694</v>
      </c>
      <c r="D222" s="208">
        <f>Effort!I222-IF(PCS!I228&lt;0, Effort!D222, 0)</f>
        <v>-14.183289238497121</v>
      </c>
      <c r="E222" s="512">
        <f>IF(PCS!I228&lt;0, 0, PCS!F228/Aide!C222)</f>
        <v>7.3855541285863024</v>
      </c>
      <c r="F222" s="512">
        <f>Effort!G222</f>
        <v>-13.256709762067482</v>
      </c>
      <c r="G222" s="378">
        <f t="shared" si="10"/>
        <v>6.4589746521566633</v>
      </c>
      <c r="H222" s="225">
        <f t="shared" si="11"/>
        <v>0</v>
      </c>
      <c r="I222" s="42">
        <f t="shared" si="12"/>
        <v>0</v>
      </c>
      <c r="J222" s="29"/>
    </row>
    <row r="223" spans="1:10" x14ac:dyDescent="0.25">
      <c r="A223" s="38">
        <f>Données!A223</f>
        <v>5762</v>
      </c>
      <c r="B223" s="170" t="str">
        <f>Données!B223</f>
        <v>Sergey</v>
      </c>
      <c r="C223" s="351">
        <f>VPI!R223</f>
        <v>3849.5166666666673</v>
      </c>
      <c r="D223" s="208">
        <f>Effort!I223-IF(PCS!I229&lt;0, Effort!D223, 0)</f>
        <v>2.0144719027427307</v>
      </c>
      <c r="E223" s="512">
        <f>IF(PCS!I229&lt;0, 0, PCS!F229/Aide!C223)</f>
        <v>0.94807226881296769</v>
      </c>
      <c r="F223" s="512">
        <f>Effort!G223</f>
        <v>-6.8676186620831157</v>
      </c>
      <c r="G223" s="378">
        <f t="shared" si="10"/>
        <v>9.8301628336388145</v>
      </c>
      <c r="H223" s="225">
        <f t="shared" si="11"/>
        <v>0</v>
      </c>
      <c r="I223" s="42">
        <f t="shared" si="12"/>
        <v>0</v>
      </c>
      <c r="J223" s="29"/>
    </row>
    <row r="224" spans="1:10" x14ac:dyDescent="0.25">
      <c r="A224" s="38">
        <f>Données!A224</f>
        <v>5763</v>
      </c>
      <c r="B224" s="170" t="str">
        <f>Données!B224</f>
        <v>Valeyres-sous-Rances</v>
      </c>
      <c r="C224" s="351">
        <f>VPI!R224</f>
        <v>22662.54088235294</v>
      </c>
      <c r="D224" s="208">
        <f>Effort!I224-IF(PCS!I230&lt;0, Effort!D224, 0)</f>
        <v>19.808849643857009</v>
      </c>
      <c r="E224" s="512">
        <f>IF(PCS!I230&lt;0, 0, PCS!F230/Aide!C224)</f>
        <v>1.0371562095361848</v>
      </c>
      <c r="F224" s="512">
        <f>Effort!G224</f>
        <v>-3.1534901322458277</v>
      </c>
      <c r="G224" s="378">
        <f t="shared" si="10"/>
        <v>23.999495985639022</v>
      </c>
      <c r="H224" s="225">
        <f t="shared" si="11"/>
        <v>0</v>
      </c>
      <c r="I224" s="42">
        <f t="shared" si="12"/>
        <v>0</v>
      </c>
      <c r="J224" s="29"/>
    </row>
    <row r="225" spans="1:10" x14ac:dyDescent="0.25">
      <c r="A225" s="38">
        <f>Données!A225</f>
        <v>5764</v>
      </c>
      <c r="B225" s="170" t="str">
        <f>Données!B225</f>
        <v>Vallorbe</v>
      </c>
      <c r="C225" s="351">
        <f>VPI!R225</f>
        <v>83671.674265734255</v>
      </c>
      <c r="D225" s="208">
        <f>Effort!I225-IF(PCS!I231&lt;0, Effort!D225, 0)</f>
        <v>-35.206609961572056</v>
      </c>
      <c r="E225" s="512">
        <f>IF(PCS!I231&lt;0, 0, PCS!F231/Aide!C225)</f>
        <v>10.654612900044338</v>
      </c>
      <c r="F225" s="512">
        <f>Effort!G225</f>
        <v>-25.818226032450436</v>
      </c>
      <c r="G225" s="378">
        <f t="shared" si="10"/>
        <v>1.2662289709227181</v>
      </c>
      <c r="H225" s="225">
        <f t="shared" si="11"/>
        <v>0</v>
      </c>
      <c r="I225" s="42">
        <f t="shared" si="12"/>
        <v>0</v>
      </c>
      <c r="J225" s="29"/>
    </row>
    <row r="226" spans="1:10" x14ac:dyDescent="0.25">
      <c r="A226" s="38">
        <f>Données!A226</f>
        <v>5765</v>
      </c>
      <c r="B226" s="170" t="str">
        <f>Données!B226</f>
        <v>Vaulion</v>
      </c>
      <c r="C226" s="351">
        <f>VPI!R226</f>
        <v>10278.622098765432</v>
      </c>
      <c r="D226" s="208">
        <f>Effort!I226-IF(PCS!I232&lt;0, Effort!D226, 0)</f>
        <v>-21.021941699491169</v>
      </c>
      <c r="E226" s="512">
        <f>IF(PCS!I232&lt;0, 0, PCS!F232/Aide!C226)</f>
        <v>4.8561903064804079</v>
      </c>
      <c r="F226" s="512">
        <f>Effort!G226</f>
        <v>-12.894726173786156</v>
      </c>
      <c r="G226" s="378">
        <f t="shared" si="10"/>
        <v>-3.2710252192246063</v>
      </c>
      <c r="H226" s="225">
        <f t="shared" si="11"/>
        <v>0</v>
      </c>
      <c r="I226" s="42">
        <f t="shared" si="12"/>
        <v>0</v>
      </c>
      <c r="J226" s="29"/>
    </row>
    <row r="227" spans="1:10" x14ac:dyDescent="0.25">
      <c r="A227" s="38">
        <f>Données!A227</f>
        <v>5766</v>
      </c>
      <c r="B227" s="170" t="str">
        <f>Données!B227</f>
        <v>Vuiteboeuf</v>
      </c>
      <c r="C227" s="351">
        <f>VPI!R227</f>
        <v>15553.757238095239</v>
      </c>
      <c r="D227" s="208">
        <f>Effort!I227-IF(PCS!I233&lt;0, Effort!D227, 0)</f>
        <v>4.7067381763959766</v>
      </c>
      <c r="E227" s="512">
        <f>IF(PCS!I233&lt;0, 0, PCS!F233/Aide!C227)</f>
        <v>3.3366391287688306</v>
      </c>
      <c r="F227" s="512">
        <f>Effort!G227</f>
        <v>-3.9094823014161801</v>
      </c>
      <c r="G227" s="378">
        <f t="shared" si="10"/>
        <v>11.952859606580986</v>
      </c>
      <c r="H227" s="225">
        <f t="shared" si="11"/>
        <v>0</v>
      </c>
      <c r="I227" s="42">
        <f t="shared" si="12"/>
        <v>0</v>
      </c>
      <c r="J227" s="29"/>
    </row>
    <row r="228" spans="1:10" x14ac:dyDescent="0.25">
      <c r="A228" s="38">
        <f>Données!A228</f>
        <v>5785</v>
      </c>
      <c r="B228" s="170" t="str">
        <f>Données!B228</f>
        <v>Corcelles-le-Jorat</v>
      </c>
      <c r="C228" s="351">
        <f>VPI!R228</f>
        <v>14579.038701298701</v>
      </c>
      <c r="D228" s="208">
        <f>Effort!I228-IF(PCS!I234&lt;0, Effort!D228, 0)</f>
        <v>9.0127790547348887</v>
      </c>
      <c r="E228" s="512">
        <f>IF(PCS!I234&lt;0, 0, PCS!F234/Aide!C228)</f>
        <v>2.6032169045973652</v>
      </c>
      <c r="F228" s="512">
        <f>Effort!G228</f>
        <v>-4.2398706823329473</v>
      </c>
      <c r="G228" s="378">
        <f t="shared" si="10"/>
        <v>15.855866641665202</v>
      </c>
      <c r="H228" s="225">
        <f t="shared" si="11"/>
        <v>0</v>
      </c>
      <c r="I228" s="42">
        <f t="shared" si="12"/>
        <v>0</v>
      </c>
      <c r="J228" s="29"/>
    </row>
    <row r="229" spans="1:10" x14ac:dyDescent="0.25">
      <c r="A229" s="38">
        <f>Données!A229</f>
        <v>5790</v>
      </c>
      <c r="B229" s="170" t="str">
        <f>Données!B229</f>
        <v>Maracon</v>
      </c>
      <c r="C229" s="351">
        <f>VPI!R229</f>
        <v>15171.684832214765</v>
      </c>
      <c r="D229" s="208">
        <f>Effort!I229-IF(PCS!I235&lt;0, Effort!D229, 0)</f>
        <v>4.0345688103235311</v>
      </c>
      <c r="E229" s="512">
        <f>IF(PCS!I235&lt;0, 0, PCS!F235/Aide!C229)</f>
        <v>2.1862917907158947</v>
      </c>
      <c r="F229" s="512">
        <f>Effort!G229</f>
        <v>-7.1429206581330975</v>
      </c>
      <c r="G229" s="378">
        <f t="shared" si="10"/>
        <v>13.363781259172523</v>
      </c>
      <c r="H229" s="225">
        <f t="shared" si="11"/>
        <v>0</v>
      </c>
      <c r="I229" s="42">
        <f t="shared" si="12"/>
        <v>0</v>
      </c>
      <c r="J229" s="29"/>
    </row>
    <row r="230" spans="1:10" x14ac:dyDescent="0.25">
      <c r="A230" s="38">
        <f>Données!A230</f>
        <v>5792</v>
      </c>
      <c r="B230" s="170" t="str">
        <f>Données!B230</f>
        <v>Montpreveyres</v>
      </c>
      <c r="C230" s="351">
        <f>VPI!R230</f>
        <v>20162.237880794706</v>
      </c>
      <c r="D230" s="208">
        <f>Effort!I230-IF(PCS!I236&lt;0, Effort!D230, 0)</f>
        <v>7.4363730850579657</v>
      </c>
      <c r="E230" s="512">
        <f>IF(PCS!I236&lt;0, 0, PCS!F236/Aide!C230)</f>
        <v>4.3403845107570307</v>
      </c>
      <c r="F230" s="512">
        <f>Effort!G230</f>
        <v>-7.2353611527512536</v>
      </c>
      <c r="G230" s="378">
        <f t="shared" si="10"/>
        <v>19.012118748566248</v>
      </c>
      <c r="H230" s="225">
        <f t="shared" si="11"/>
        <v>0</v>
      </c>
      <c r="I230" s="42">
        <f t="shared" si="12"/>
        <v>0</v>
      </c>
      <c r="J230" s="29"/>
    </row>
    <row r="231" spans="1:10" x14ac:dyDescent="0.25">
      <c r="A231" s="38">
        <f>Données!A231</f>
        <v>5798</v>
      </c>
      <c r="B231" s="170" t="str">
        <f>Données!B231</f>
        <v>Ropraz</v>
      </c>
      <c r="C231" s="351">
        <f>VPI!R231</f>
        <v>17442.468645161291</v>
      </c>
      <c r="D231" s="208">
        <f>Effort!I231-IF(PCS!I237&lt;0, Effort!D231, 0)</f>
        <v>13.841315608616277</v>
      </c>
      <c r="E231" s="512">
        <f>IF(PCS!I237&lt;0, 0, PCS!F237/Aide!C231)</f>
        <v>3.9569014801781686</v>
      </c>
      <c r="F231" s="512">
        <f>Effort!G231</f>
        <v>-2.9670363285066808</v>
      </c>
      <c r="G231" s="378">
        <f t="shared" si="10"/>
        <v>20.765253417301125</v>
      </c>
      <c r="H231" s="225">
        <f t="shared" si="11"/>
        <v>0</v>
      </c>
      <c r="I231" s="42">
        <f t="shared" si="12"/>
        <v>0</v>
      </c>
      <c r="J231" s="29"/>
    </row>
    <row r="232" spans="1:10" x14ac:dyDescent="0.25">
      <c r="A232" s="38">
        <f>Données!A232</f>
        <v>5799</v>
      </c>
      <c r="B232" s="170" t="str">
        <f>Données!B232</f>
        <v>Servion</v>
      </c>
      <c r="C232" s="351">
        <f>VPI!R232</f>
        <v>71741.835797101463</v>
      </c>
      <c r="D232" s="208">
        <f>Effort!I232-IF(PCS!I238&lt;0, Effort!D232, 0)</f>
        <v>12.140286998905356</v>
      </c>
      <c r="E232" s="512">
        <f>IF(PCS!I238&lt;0, 0, PCS!F238/Aide!C232)</f>
        <v>3.4727419117711773</v>
      </c>
      <c r="F232" s="512">
        <f>Effort!G232</f>
        <v>-4.7063576149947473</v>
      </c>
      <c r="G232" s="378">
        <f t="shared" si="10"/>
        <v>20.31938652567128</v>
      </c>
      <c r="H232" s="225">
        <f t="shared" si="11"/>
        <v>0</v>
      </c>
      <c r="I232" s="42">
        <f t="shared" si="12"/>
        <v>0</v>
      </c>
      <c r="J232" s="29"/>
    </row>
    <row r="233" spans="1:10" x14ac:dyDescent="0.25">
      <c r="A233" s="38">
        <f>Données!A233</f>
        <v>5803</v>
      </c>
      <c r="B233" s="170" t="str">
        <f>Données!B233</f>
        <v>Vulliens</v>
      </c>
      <c r="C233" s="351">
        <f>VPI!R233</f>
        <v>17996.04157894737</v>
      </c>
      <c r="D233" s="208">
        <f>Effort!I233-IF(PCS!I239&lt;0, Effort!D233, 0)</f>
        <v>8.4818255847183597</v>
      </c>
      <c r="E233" s="512">
        <f>IF(PCS!I239&lt;0, 0, PCS!F239/Aide!C233)</f>
        <v>3.0026386504470763</v>
      </c>
      <c r="F233" s="512">
        <f>Effort!G233</f>
        <v>-3.2625786214564898</v>
      </c>
      <c r="G233" s="378">
        <f t="shared" si="10"/>
        <v>14.747042856621926</v>
      </c>
      <c r="H233" s="225">
        <f t="shared" si="11"/>
        <v>0</v>
      </c>
      <c r="I233" s="42">
        <f t="shared" si="12"/>
        <v>0</v>
      </c>
      <c r="J233" s="29"/>
    </row>
    <row r="234" spans="1:10" x14ac:dyDescent="0.25">
      <c r="A234" s="38">
        <f>Données!A234</f>
        <v>5804</v>
      </c>
      <c r="B234" s="170" t="str">
        <f>Données!B234</f>
        <v>Jorat-Menthue</v>
      </c>
      <c r="C234" s="351">
        <f>VPI!R234</f>
        <v>46853.078156028365</v>
      </c>
      <c r="D234" s="208">
        <f>Effort!I234-IF(PCS!I240&lt;0, Effort!D234, 0)</f>
        <v>0.52325534069048274</v>
      </c>
      <c r="E234" s="512">
        <f>IF(PCS!I240&lt;0, 0, PCS!F240/Aide!C234)</f>
        <v>1.8310108615342275</v>
      </c>
      <c r="F234" s="512">
        <f>Effort!G234</f>
        <v>-11.341788914640095</v>
      </c>
      <c r="G234" s="378">
        <f t="shared" si="10"/>
        <v>13.696055116864805</v>
      </c>
      <c r="H234" s="225">
        <f t="shared" si="11"/>
        <v>0</v>
      </c>
      <c r="I234" s="42">
        <f t="shared" si="12"/>
        <v>0</v>
      </c>
      <c r="J234" s="29"/>
    </row>
    <row r="235" spans="1:10" x14ac:dyDescent="0.25">
      <c r="A235" s="38">
        <f>Données!A235</f>
        <v>5805</v>
      </c>
      <c r="B235" s="170" t="str">
        <f>Données!B235</f>
        <v>Oron</v>
      </c>
      <c r="C235" s="351">
        <f>VPI!R235</f>
        <v>175444.22906111775</v>
      </c>
      <c r="D235" s="208">
        <f>Effort!I235-IF(PCS!I241&lt;0, Effort!D235, 0)</f>
        <v>-0.94378785166440693</v>
      </c>
      <c r="E235" s="512">
        <f>IF(PCS!I241&lt;0, 0, PCS!F241/Aide!C235)</f>
        <v>1.905388577264328</v>
      </c>
      <c r="F235" s="512">
        <f>Effort!G235</f>
        <v>-5.5506791579565071</v>
      </c>
      <c r="G235" s="378">
        <f t="shared" si="10"/>
        <v>6.5122798835564284</v>
      </c>
      <c r="H235" s="225">
        <f t="shared" si="11"/>
        <v>0</v>
      </c>
      <c r="I235" s="42">
        <f t="shared" si="12"/>
        <v>0</v>
      </c>
      <c r="J235" s="29"/>
    </row>
    <row r="236" spans="1:10" x14ac:dyDescent="0.25">
      <c r="A236" s="38">
        <f>Données!A236</f>
        <v>5806</v>
      </c>
      <c r="B236" s="170" t="str">
        <f>Données!B236</f>
        <v>Jorat-Mézières</v>
      </c>
      <c r="C236" s="351">
        <f>VPI!R236</f>
        <v>102069.34178082191</v>
      </c>
      <c r="D236" s="208">
        <f>Effort!I236-IF(PCS!I242&lt;0, Effort!D236, 0)</f>
        <v>9.4820690683956208</v>
      </c>
      <c r="E236" s="512">
        <f>IF(PCS!I242&lt;0, 0, PCS!F242/Aide!C236)</f>
        <v>4.8508657091490166</v>
      </c>
      <c r="F236" s="512">
        <f>Effort!G236</f>
        <v>-4.0161687355182982</v>
      </c>
      <c r="G236" s="378">
        <f t="shared" si="10"/>
        <v>18.349103513062936</v>
      </c>
      <c r="H236" s="225">
        <f t="shared" si="11"/>
        <v>0</v>
      </c>
      <c r="I236" s="42">
        <f t="shared" si="12"/>
        <v>0</v>
      </c>
      <c r="J236" s="29"/>
    </row>
    <row r="237" spans="1:10" x14ac:dyDescent="0.25">
      <c r="A237" s="38">
        <f>Données!A237</f>
        <v>5812</v>
      </c>
      <c r="B237" s="170" t="str">
        <f>Données!B237</f>
        <v>Champtauroz</v>
      </c>
      <c r="C237" s="351">
        <f>VPI!R237</f>
        <v>3351.3333766233759</v>
      </c>
      <c r="D237" s="208">
        <f>Effort!I237-IF(PCS!I243&lt;0, Effort!D237, 0)</f>
        <v>-14.161148597257917</v>
      </c>
      <c r="E237" s="512">
        <f>IF(PCS!I243&lt;0, 0, PCS!F243/Aide!C237)</f>
        <v>2.1202456459760719</v>
      </c>
      <c r="F237" s="512">
        <f>Effort!G237</f>
        <v>-6.0634820403137102</v>
      </c>
      <c r="G237" s="378">
        <f t="shared" si="10"/>
        <v>-5.9774209109681351</v>
      </c>
      <c r="H237" s="225">
        <f t="shared" si="11"/>
        <v>0</v>
      </c>
      <c r="I237" s="42">
        <f t="shared" si="12"/>
        <v>0</v>
      </c>
      <c r="J237" s="29"/>
    </row>
    <row r="238" spans="1:10" x14ac:dyDescent="0.25">
      <c r="A238" s="38">
        <f>Données!A238</f>
        <v>5813</v>
      </c>
      <c r="B238" s="170" t="str">
        <f>Données!B238</f>
        <v>Chevroux</v>
      </c>
      <c r="C238" s="351">
        <f>VPI!R238</f>
        <v>15275.291313868614</v>
      </c>
      <c r="D238" s="208">
        <f>Effort!I238-IF(PCS!I244&lt;0, Effort!D238, 0)</f>
        <v>-5.8662752059055876</v>
      </c>
      <c r="E238" s="512">
        <f>IF(PCS!I244&lt;0, 0, PCS!F244/Aide!C238)</f>
        <v>4.9861438603693982</v>
      </c>
      <c r="F238" s="512">
        <f>Effort!G238</f>
        <v>-22.548899071015839</v>
      </c>
      <c r="G238" s="378">
        <f t="shared" si="10"/>
        <v>21.66876772547965</v>
      </c>
      <c r="H238" s="225">
        <f t="shared" si="11"/>
        <v>0</v>
      </c>
      <c r="I238" s="42">
        <f t="shared" si="12"/>
        <v>0</v>
      </c>
      <c r="J238" s="29"/>
    </row>
    <row r="239" spans="1:10" x14ac:dyDescent="0.25">
      <c r="A239" s="38">
        <f>Données!A239</f>
        <v>5816</v>
      </c>
      <c r="B239" s="170" t="str">
        <f>Données!B239</f>
        <v>Corcelles-près-Payerne</v>
      </c>
      <c r="C239" s="351">
        <f>VPI!R239</f>
        <v>65640.914577685078</v>
      </c>
      <c r="D239" s="208">
        <f>Effort!I239-IF(PCS!I245&lt;0, Effort!D239, 0)</f>
        <v>-3.7272743784657614</v>
      </c>
      <c r="E239" s="512">
        <f>IF(PCS!I245&lt;0, 0, PCS!F245/Aide!C239)</f>
        <v>2.0655010045532105</v>
      </c>
      <c r="F239" s="512">
        <f>Effort!G239</f>
        <v>-5.7449917472979353</v>
      </c>
      <c r="G239" s="378">
        <f t="shared" si="10"/>
        <v>4.0832183733853844</v>
      </c>
      <c r="H239" s="225">
        <f t="shared" si="11"/>
        <v>0</v>
      </c>
      <c r="I239" s="42">
        <f t="shared" si="12"/>
        <v>0</v>
      </c>
      <c r="J239" s="29"/>
    </row>
    <row r="240" spans="1:10" x14ac:dyDescent="0.25">
      <c r="A240" s="38">
        <f>Données!A240</f>
        <v>5817</v>
      </c>
      <c r="B240" s="170" t="str">
        <f>Données!B240</f>
        <v>Grandcour</v>
      </c>
      <c r="C240" s="351">
        <f>VPI!R240</f>
        <v>24621.518775510202</v>
      </c>
      <c r="D240" s="208">
        <f>Effort!I240-IF(PCS!I246&lt;0, Effort!D240, 0)</f>
        <v>0.49441547567201027</v>
      </c>
      <c r="E240" s="512">
        <f>IF(PCS!I246&lt;0, 0, PCS!F246/Aide!C240)</f>
        <v>0.92924872785496537</v>
      </c>
      <c r="F240" s="512">
        <f>Effort!G240</f>
        <v>-6.4214051824684777</v>
      </c>
      <c r="G240" s="378">
        <f t="shared" si="10"/>
        <v>7.845069385995453</v>
      </c>
      <c r="H240" s="225">
        <f t="shared" si="11"/>
        <v>0</v>
      </c>
      <c r="I240" s="42">
        <f t="shared" si="12"/>
        <v>0</v>
      </c>
      <c r="J240" s="29"/>
    </row>
    <row r="241" spans="1:10" x14ac:dyDescent="0.25">
      <c r="A241" s="38">
        <f>Données!A241</f>
        <v>5819</v>
      </c>
      <c r="B241" s="170" t="str">
        <f>Données!B241</f>
        <v>Henniez</v>
      </c>
      <c r="C241" s="351">
        <f>VPI!R241</f>
        <v>10100.670434782607</v>
      </c>
      <c r="D241" s="208">
        <f>Effort!I241-IF(PCS!I247&lt;0, Effort!D241, 0)</f>
        <v>-4.0633909778927197</v>
      </c>
      <c r="E241" s="512">
        <f>IF(PCS!I247&lt;0, 0, PCS!F247/Aide!C241)</f>
        <v>3.2850967878068538</v>
      </c>
      <c r="F241" s="512">
        <f>Effort!G241</f>
        <v>-13.123879077850278</v>
      </c>
      <c r="G241" s="378">
        <f t="shared" si="10"/>
        <v>12.345584887764412</v>
      </c>
      <c r="H241" s="225">
        <f t="shared" si="11"/>
        <v>0</v>
      </c>
      <c r="I241" s="42">
        <f t="shared" si="12"/>
        <v>0</v>
      </c>
      <c r="J241" s="29"/>
    </row>
    <row r="242" spans="1:10" x14ac:dyDescent="0.25">
      <c r="A242" s="38">
        <f>Données!A242</f>
        <v>5821</v>
      </c>
      <c r="B242" s="170" t="str">
        <f>Données!B242</f>
        <v>Missy</v>
      </c>
      <c r="C242" s="351">
        <f>VPI!R242</f>
        <v>8044.3988888888889</v>
      </c>
      <c r="D242" s="208">
        <f>Effort!I242-IF(PCS!I248&lt;0, Effort!D242, 0)</f>
        <v>-1.7111872384180842</v>
      </c>
      <c r="E242" s="512">
        <f>IF(PCS!I248&lt;0, 0, PCS!F248/Aide!C242)</f>
        <v>1.5281284742082102</v>
      </c>
      <c r="F242" s="512">
        <f>Effort!G242</f>
        <v>-3.3613893393595187</v>
      </c>
      <c r="G242" s="378">
        <f t="shared" si="10"/>
        <v>3.1783305751496447</v>
      </c>
      <c r="H242" s="225">
        <f t="shared" si="11"/>
        <v>0</v>
      </c>
      <c r="I242" s="42">
        <f t="shared" si="12"/>
        <v>0</v>
      </c>
      <c r="J242" s="29"/>
    </row>
    <row r="243" spans="1:10" x14ac:dyDescent="0.25">
      <c r="A243" s="38">
        <f>Données!A243</f>
        <v>5822</v>
      </c>
      <c r="B243" s="170" t="str">
        <f>Données!B243</f>
        <v>Payerne</v>
      </c>
      <c r="C243" s="351">
        <f>VPI!R243</f>
        <v>239936.5750684932</v>
      </c>
      <c r="D243" s="208">
        <f>Effort!I243-IF(PCS!I249&lt;0, Effort!D243, 0)</f>
        <v>-19.893770551022005</v>
      </c>
      <c r="E243" s="512">
        <f>IF(PCS!I249&lt;0, 0, PCS!F249/Aide!C243)</f>
        <v>4.752783708254845</v>
      </c>
      <c r="F243" s="512">
        <f>Effort!G243</f>
        <v>-6.7550864186769495</v>
      </c>
      <c r="G243" s="378">
        <f t="shared" si="10"/>
        <v>-8.3859004240902095</v>
      </c>
      <c r="H243" s="225">
        <f t="shared" si="11"/>
        <v>-0.38590042409020953</v>
      </c>
      <c r="I243" s="42">
        <f t="shared" si="12"/>
        <v>92591.626073683918</v>
      </c>
      <c r="J243" s="29"/>
    </row>
    <row r="244" spans="1:10" x14ac:dyDescent="0.25">
      <c r="A244" s="38">
        <f>Données!A244</f>
        <v>5827</v>
      </c>
      <c r="B244" s="170" t="str">
        <f>Données!B244</f>
        <v>Trey</v>
      </c>
      <c r="C244" s="351">
        <f>VPI!R244</f>
        <v>7747.1149999999998</v>
      </c>
      <c r="D244" s="208">
        <f>Effort!I244-IF(PCS!I250&lt;0, Effort!D244, 0)</f>
        <v>-1.7365495070984096</v>
      </c>
      <c r="E244" s="512">
        <f>IF(PCS!I250&lt;0, 0, PCS!F250/Aide!C244)</f>
        <v>7.4468205260926164</v>
      </c>
      <c r="F244" s="512">
        <f>Effort!G244</f>
        <v>-4.3984838226875418</v>
      </c>
      <c r="G244" s="378">
        <f t="shared" si="10"/>
        <v>10.108754841681748</v>
      </c>
      <c r="H244" s="225">
        <f t="shared" si="11"/>
        <v>0</v>
      </c>
      <c r="I244" s="42">
        <f t="shared" si="12"/>
        <v>0</v>
      </c>
      <c r="J244" s="29"/>
    </row>
    <row r="245" spans="1:10" x14ac:dyDescent="0.25">
      <c r="A245" s="38">
        <f>Données!A245</f>
        <v>5828</v>
      </c>
      <c r="B245" s="170" t="str">
        <f>Données!B245</f>
        <v>Treytorrens (Payerne)</v>
      </c>
      <c r="C245" s="351">
        <f>VPI!R245</f>
        <v>2899.2098989898991</v>
      </c>
      <c r="D245" s="208">
        <f>Effort!I245-IF(PCS!I251&lt;0, Effort!D245, 0)</f>
        <v>-2.9638755391986571</v>
      </c>
      <c r="E245" s="512">
        <f>IF(PCS!I251&lt;0, 0, PCS!F251/Aide!C245)</f>
        <v>2.3582373261011758</v>
      </c>
      <c r="F245" s="512">
        <f>Effort!G245</f>
        <v>-7.784358977914497</v>
      </c>
      <c r="G245" s="378">
        <f t="shared" si="10"/>
        <v>7.1787207648170153</v>
      </c>
      <c r="H245" s="225">
        <f t="shared" si="11"/>
        <v>0</v>
      </c>
      <c r="I245" s="42">
        <f t="shared" si="12"/>
        <v>0</v>
      </c>
      <c r="J245" s="29"/>
    </row>
    <row r="246" spans="1:10" x14ac:dyDescent="0.25">
      <c r="A246" s="38">
        <f>Données!A246</f>
        <v>5830</v>
      </c>
      <c r="B246" s="170" t="str">
        <f>Données!B246</f>
        <v>Villarzel</v>
      </c>
      <c r="C246" s="351">
        <f>VPI!R246</f>
        <v>12409.471600000001</v>
      </c>
      <c r="D246" s="208">
        <f>Effort!I246-IF(PCS!I252&lt;0, Effort!D246, 0)</f>
        <v>-4.7040418093000547</v>
      </c>
      <c r="E246" s="512">
        <f>IF(PCS!I252&lt;0, 0, PCS!F252/Aide!C246)</f>
        <v>5.2142405483243941</v>
      </c>
      <c r="F246" s="512">
        <f>Effort!G246</f>
        <v>-10.552710938957302</v>
      </c>
      <c r="G246" s="378">
        <f t="shared" si="10"/>
        <v>11.062909677981642</v>
      </c>
      <c r="H246" s="225">
        <f t="shared" si="11"/>
        <v>0</v>
      </c>
      <c r="I246" s="42">
        <f t="shared" si="12"/>
        <v>0</v>
      </c>
      <c r="J246" s="29"/>
    </row>
    <row r="247" spans="1:10" x14ac:dyDescent="0.25">
      <c r="A247" s="38">
        <f>Données!A247</f>
        <v>5831</v>
      </c>
      <c r="B247" s="170" t="str">
        <f>Données!B247</f>
        <v>Valbroye</v>
      </c>
      <c r="C247" s="351">
        <f>VPI!R247</f>
        <v>81061.421607565018</v>
      </c>
      <c r="D247" s="208">
        <f>Effort!I247-IF(PCS!I253&lt;0, Effort!D247, 0)</f>
        <v>-12.207340354841971</v>
      </c>
      <c r="E247" s="512">
        <f>IF(PCS!I253&lt;0, 0, PCS!F253/Aide!C247)</f>
        <v>5.3330794899315608</v>
      </c>
      <c r="F247" s="512">
        <f>Effort!G247</f>
        <v>-11.990293299567584</v>
      </c>
      <c r="G247" s="378">
        <f t="shared" si="10"/>
        <v>5.1160324346571739</v>
      </c>
      <c r="H247" s="225">
        <f t="shared" si="11"/>
        <v>0</v>
      </c>
      <c r="I247" s="42">
        <f t="shared" si="12"/>
        <v>0</v>
      </c>
      <c r="J247" s="29"/>
    </row>
    <row r="248" spans="1:10" x14ac:dyDescent="0.25">
      <c r="A248" s="38">
        <f>Données!A248</f>
        <v>5841</v>
      </c>
      <c r="B248" s="170" t="str">
        <f>Données!B248</f>
        <v>Château-d'Oex</v>
      </c>
      <c r="C248" s="351">
        <f>VPI!R248</f>
        <v>110850.82306748466</v>
      </c>
      <c r="D248" s="208">
        <f>Effort!I248-IF(PCS!I254&lt;0, Effort!D248, 0)</f>
        <v>-14.136275401312755</v>
      </c>
      <c r="E248" s="512">
        <f>IF(PCS!I254&lt;0, 0, PCS!F254/Aide!C248)</f>
        <v>8.0685642221663585</v>
      </c>
      <c r="F248" s="512">
        <f>Effort!G248</f>
        <v>-21.686912149777708</v>
      </c>
      <c r="G248" s="378">
        <f t="shared" si="10"/>
        <v>15.619200970631312</v>
      </c>
      <c r="H248" s="225">
        <f t="shared" si="11"/>
        <v>0</v>
      </c>
      <c r="I248" s="42">
        <f t="shared" si="12"/>
        <v>0</v>
      </c>
      <c r="J248" s="29"/>
    </row>
    <row r="249" spans="1:10" x14ac:dyDescent="0.25">
      <c r="A249" s="38">
        <f>Données!A249</f>
        <v>5842</v>
      </c>
      <c r="B249" s="170" t="str">
        <f>Données!B249</f>
        <v>Rossinière</v>
      </c>
      <c r="C249" s="351">
        <f>VPI!R249</f>
        <v>14941.466090534977</v>
      </c>
      <c r="D249" s="208">
        <f>Effort!I249-IF(PCS!I255&lt;0, Effort!D249, 0)</f>
        <v>-13.843755316902534</v>
      </c>
      <c r="E249" s="512">
        <f>IF(PCS!I255&lt;0, 0, PCS!F255/Aide!C249)</f>
        <v>2.9167937561098856</v>
      </c>
      <c r="F249" s="512">
        <f>Effort!G249</f>
        <v>-22.516756511732847</v>
      </c>
      <c r="G249" s="378">
        <f t="shared" si="10"/>
        <v>11.589794950940199</v>
      </c>
      <c r="H249" s="225">
        <f t="shared" si="11"/>
        <v>0</v>
      </c>
      <c r="I249" s="42">
        <f t="shared" si="12"/>
        <v>0</v>
      </c>
      <c r="J249" s="29"/>
    </row>
    <row r="250" spans="1:10" x14ac:dyDescent="0.25">
      <c r="A250" s="38">
        <f>Données!A250</f>
        <v>5843</v>
      </c>
      <c r="B250" s="170" t="str">
        <f>Données!B250</f>
        <v>Rougemont</v>
      </c>
      <c r="C250" s="351">
        <f>VPI!R250</f>
        <v>97082.778783783782</v>
      </c>
      <c r="D250" s="208">
        <f>Effort!I250-IF(PCS!I256&lt;0, Effort!D250, 0)</f>
        <v>46.728158900683106</v>
      </c>
      <c r="E250" s="512">
        <f>IF(PCS!I256&lt;0, 0, PCS!F256/Aide!C250)</f>
        <v>11.96414100987819</v>
      </c>
      <c r="F250" s="512">
        <f>Effort!G250</f>
        <v>0</v>
      </c>
      <c r="G250" s="378">
        <f t="shared" si="10"/>
        <v>58.692299910561296</v>
      </c>
      <c r="H250" s="225">
        <f t="shared" si="11"/>
        <v>0</v>
      </c>
      <c r="I250" s="42">
        <f t="shared" si="12"/>
        <v>0</v>
      </c>
      <c r="J250" s="29"/>
    </row>
    <row r="251" spans="1:10" x14ac:dyDescent="0.25">
      <c r="A251" s="38">
        <f>Données!A251</f>
        <v>5851</v>
      </c>
      <c r="B251" s="170" t="str">
        <f>Données!B251</f>
        <v>Allaman</v>
      </c>
      <c r="C251" s="351">
        <f>VPI!R251</f>
        <v>24871.551151515156</v>
      </c>
      <c r="D251" s="208">
        <f>Effort!I251-IF(PCS!I257&lt;0, Effort!D251, 0)</f>
        <v>31.129488692210174</v>
      </c>
      <c r="E251" s="512">
        <f>IF(PCS!I257&lt;0, 0, PCS!F257/Aide!C251)</f>
        <v>2.1590551257889157</v>
      </c>
      <c r="F251" s="512">
        <f>Effort!G251</f>
        <v>-0.70359275078197181</v>
      </c>
      <c r="G251" s="378">
        <f t="shared" si="10"/>
        <v>33.992136568781063</v>
      </c>
      <c r="H251" s="225">
        <f t="shared" si="11"/>
        <v>0</v>
      </c>
      <c r="I251" s="42">
        <f t="shared" si="12"/>
        <v>0</v>
      </c>
      <c r="J251" s="29"/>
    </row>
    <row r="252" spans="1:10" x14ac:dyDescent="0.25">
      <c r="A252" s="38">
        <f>Données!A252</f>
        <v>5852</v>
      </c>
      <c r="B252" s="170" t="str">
        <f>Données!B252</f>
        <v>Bursinel</v>
      </c>
      <c r="C252" s="351">
        <f>VPI!R252</f>
        <v>34636.180913978496</v>
      </c>
      <c r="D252" s="208">
        <f>Effort!I252-IF(PCS!I258&lt;0, Effort!D252, 0)</f>
        <v>34.516322845836534</v>
      </c>
      <c r="E252" s="512">
        <f>IF(PCS!I258&lt;0, 0, PCS!F258/Aide!C252)</f>
        <v>4.9252489881513597</v>
      </c>
      <c r="F252" s="512">
        <f>Effort!G252</f>
        <v>0</v>
      </c>
      <c r="G252" s="378">
        <f t="shared" si="10"/>
        <v>39.441571833987894</v>
      </c>
      <c r="H252" s="225">
        <f t="shared" si="11"/>
        <v>0</v>
      </c>
      <c r="I252" s="42">
        <f t="shared" si="12"/>
        <v>0</v>
      </c>
      <c r="J252" s="29"/>
    </row>
    <row r="253" spans="1:10" x14ac:dyDescent="0.25">
      <c r="A253" s="38">
        <f>Données!A253</f>
        <v>5853</v>
      </c>
      <c r="B253" s="170" t="str">
        <f>Données!B253</f>
        <v>Bursins</v>
      </c>
      <c r="C253" s="351">
        <f>VPI!R253</f>
        <v>44484.29464788732</v>
      </c>
      <c r="D253" s="208">
        <f>Effort!I253-IF(PCS!I259&lt;0, Effort!D253, 0)</f>
        <v>31.948164145430798</v>
      </c>
      <c r="E253" s="512">
        <f>IF(PCS!I259&lt;0, 0, PCS!F259/Aide!C253)</f>
        <v>6.425302958323396</v>
      </c>
      <c r="F253" s="512">
        <f>Effort!G253</f>
        <v>-0.16058541718214644</v>
      </c>
      <c r="G253" s="378">
        <f t="shared" si="10"/>
        <v>38.534052520936342</v>
      </c>
      <c r="H253" s="225">
        <f t="shared" si="11"/>
        <v>0</v>
      </c>
      <c r="I253" s="42">
        <f t="shared" si="12"/>
        <v>0</v>
      </c>
      <c r="J253" s="29"/>
    </row>
    <row r="254" spans="1:10" x14ac:dyDescent="0.25">
      <c r="A254" s="38">
        <f>Données!A254</f>
        <v>5854</v>
      </c>
      <c r="B254" s="170" t="str">
        <f>Données!B254</f>
        <v>Burtigny</v>
      </c>
      <c r="C254" s="351">
        <f>VPI!R254</f>
        <v>15255.605208333331</v>
      </c>
      <c r="D254" s="208">
        <f>Effort!I254-IF(PCS!I260&lt;0, Effort!D254, 0)</f>
        <v>15.334295396779694</v>
      </c>
      <c r="E254" s="512">
        <f>IF(PCS!I260&lt;0, 0, PCS!F260/Aide!C254)</f>
        <v>2.3175114665845844</v>
      </c>
      <c r="F254" s="512">
        <f>Effort!G254</f>
        <v>-5.271401150301247</v>
      </c>
      <c r="G254" s="378">
        <f t="shared" si="10"/>
        <v>22.923208013665526</v>
      </c>
      <c r="H254" s="225">
        <f t="shared" si="11"/>
        <v>0</v>
      </c>
      <c r="I254" s="42">
        <f t="shared" si="12"/>
        <v>0</v>
      </c>
      <c r="J254" s="29"/>
    </row>
    <row r="255" spans="1:10" x14ac:dyDescent="0.25">
      <c r="A255" s="38">
        <f>Données!A255</f>
        <v>5855</v>
      </c>
      <c r="B255" s="170" t="str">
        <f>Données!B255</f>
        <v>Dully</v>
      </c>
      <c r="C255" s="351">
        <f>VPI!R255</f>
        <v>93677.895510204093</v>
      </c>
      <c r="D255" s="208">
        <f>Effort!I255-IF(PCS!I261&lt;0, Effort!D255, 0)</f>
        <v>45.0827404922738</v>
      </c>
      <c r="E255" s="512">
        <f>IF(PCS!I261&lt;0, 0, PCS!F261/Aide!C255)</f>
        <v>3.5673188235062212</v>
      </c>
      <c r="F255" s="512">
        <f>Effort!G255</f>
        <v>0</v>
      </c>
      <c r="G255" s="378">
        <f t="shared" si="10"/>
        <v>48.65005931578002</v>
      </c>
      <c r="H255" s="225">
        <f t="shared" si="11"/>
        <v>0</v>
      </c>
      <c r="I255" s="42">
        <f t="shared" si="12"/>
        <v>0</v>
      </c>
      <c r="J255" s="29"/>
    </row>
    <row r="256" spans="1:10" x14ac:dyDescent="0.25">
      <c r="A256" s="38">
        <f>Données!A256</f>
        <v>5856</v>
      </c>
      <c r="B256" s="170" t="str">
        <f>Données!B256</f>
        <v>Essertines-sur-Rolle</v>
      </c>
      <c r="C256" s="351">
        <f>VPI!R256</f>
        <v>42059.84630422209</v>
      </c>
      <c r="D256" s="208">
        <f>Effort!I256-IF(PCS!I262&lt;0, Effort!D256, 0)</f>
        <v>31.551598793280832</v>
      </c>
      <c r="E256" s="512">
        <f>IF(PCS!I262&lt;0, 0, PCS!F262/Aide!C256)</f>
        <v>5.5837579220165834</v>
      </c>
      <c r="F256" s="512">
        <f>Effort!G256</f>
        <v>0</v>
      </c>
      <c r="G256" s="378">
        <f t="shared" si="10"/>
        <v>37.135356715297412</v>
      </c>
      <c r="H256" s="225">
        <f t="shared" si="11"/>
        <v>0</v>
      </c>
      <c r="I256" s="42">
        <f t="shared" si="12"/>
        <v>0</v>
      </c>
      <c r="J256" s="29"/>
    </row>
    <row r="257" spans="1:10" x14ac:dyDescent="0.25">
      <c r="A257" s="38">
        <f>Données!A257</f>
        <v>5857</v>
      </c>
      <c r="B257" s="170" t="str">
        <f>Données!B257</f>
        <v>Gilly</v>
      </c>
      <c r="C257" s="351">
        <f>VPI!R257</f>
        <v>88865.056589147294</v>
      </c>
      <c r="D257" s="208">
        <f>Effort!I257-IF(PCS!I263&lt;0, Effort!D257, 0)</f>
        <v>32.083074832273851</v>
      </c>
      <c r="E257" s="512">
        <f>IF(PCS!I263&lt;0, 0, PCS!F263/Aide!C257)</f>
        <v>2.7656062960299099</v>
      </c>
      <c r="F257" s="512">
        <f>Effort!G257</f>
        <v>0</v>
      </c>
      <c r="G257" s="378">
        <f t="shared" si="10"/>
        <v>34.84868112830376</v>
      </c>
      <c r="H257" s="225">
        <f t="shared" si="11"/>
        <v>0</v>
      </c>
      <c r="I257" s="42">
        <f t="shared" si="12"/>
        <v>0</v>
      </c>
      <c r="J257" s="29"/>
    </row>
    <row r="258" spans="1:10" x14ac:dyDescent="0.25">
      <c r="A258" s="38">
        <f>Données!A258</f>
        <v>5858</v>
      </c>
      <c r="B258" s="170" t="str">
        <f>Données!B258</f>
        <v>Luins</v>
      </c>
      <c r="C258" s="351">
        <f>VPI!R258</f>
        <v>38252.553447293445</v>
      </c>
      <c r="D258" s="208">
        <f>Effort!I258-IF(PCS!I264&lt;0, Effort!D258, 0)</f>
        <v>32.621769674610874</v>
      </c>
      <c r="E258" s="512">
        <f>IF(PCS!I264&lt;0, 0, PCS!F264/Aide!C258)</f>
        <v>1.4164874006295598</v>
      </c>
      <c r="F258" s="512">
        <f>Effort!G258</f>
        <v>0</v>
      </c>
      <c r="G258" s="378">
        <f t="shared" si="10"/>
        <v>34.038257075240438</v>
      </c>
      <c r="H258" s="225">
        <f t="shared" si="11"/>
        <v>0</v>
      </c>
      <c r="I258" s="42">
        <f t="shared" si="12"/>
        <v>0</v>
      </c>
      <c r="J258" s="29"/>
    </row>
    <row r="259" spans="1:10" x14ac:dyDescent="0.25">
      <c r="A259" s="38">
        <f>Données!A259</f>
        <v>5859</v>
      </c>
      <c r="B259" s="170" t="str">
        <f>Données!B259</f>
        <v>Mont-sur-Rolle</v>
      </c>
      <c r="C259" s="351">
        <f>VPI!R259</f>
        <v>160904.56204724411</v>
      </c>
      <c r="D259" s="208">
        <f>Effort!I259-IF(PCS!I265&lt;0, Effort!D259, 0)</f>
        <v>29.738680732115526</v>
      </c>
      <c r="E259" s="512">
        <f>IF(PCS!I265&lt;0, 0, PCS!F265/Aide!C259)</f>
        <v>5.4168764322796807</v>
      </c>
      <c r="F259" s="512">
        <f>Effort!G259</f>
        <v>0</v>
      </c>
      <c r="G259" s="378">
        <f t="shared" si="10"/>
        <v>35.155557164395205</v>
      </c>
      <c r="H259" s="225">
        <f t="shared" si="11"/>
        <v>0</v>
      </c>
      <c r="I259" s="42">
        <f t="shared" si="12"/>
        <v>0</v>
      </c>
      <c r="J259" s="29"/>
    </row>
    <row r="260" spans="1:10" x14ac:dyDescent="0.25">
      <c r="A260" s="38">
        <f>Données!A260</f>
        <v>5860</v>
      </c>
      <c r="B260" s="170" t="str">
        <f>Données!B260</f>
        <v>Perroy</v>
      </c>
      <c r="C260" s="351">
        <f>VPI!R260</f>
        <v>124238.0950558843</v>
      </c>
      <c r="D260" s="208">
        <f>Effort!I260-IF(PCS!I266&lt;0, Effort!D260, 0)</f>
        <v>36.781223717822627</v>
      </c>
      <c r="E260" s="512">
        <f>IF(PCS!I266&lt;0, 0, PCS!F266/Aide!C260)</f>
        <v>4.123121171244474</v>
      </c>
      <c r="F260" s="512">
        <f>Effort!G260</f>
        <v>0</v>
      </c>
      <c r="G260" s="378">
        <f t="shared" si="10"/>
        <v>40.904344889067104</v>
      </c>
      <c r="H260" s="225">
        <f t="shared" si="11"/>
        <v>0</v>
      </c>
      <c r="I260" s="42">
        <f t="shared" si="12"/>
        <v>0</v>
      </c>
      <c r="J260" s="29"/>
    </row>
    <row r="261" spans="1:10" x14ac:dyDescent="0.25">
      <c r="A261" s="38">
        <f>Données!A261</f>
        <v>5861</v>
      </c>
      <c r="B261" s="170" t="str">
        <f>Données!B261</f>
        <v>Rolle</v>
      </c>
      <c r="C261" s="351">
        <f>VPI!R261</f>
        <v>872601.81815126061</v>
      </c>
      <c r="D261" s="208">
        <f>Effort!I261-IF(PCS!I267&lt;0, Effort!D261, 0)</f>
        <v>44.873634381568664</v>
      </c>
      <c r="E261" s="512">
        <f>IF(PCS!I267&lt;0, 0, PCS!F267/Aide!C261)</f>
        <v>1.33257006897324</v>
      </c>
      <c r="F261" s="512">
        <f>Effort!G261</f>
        <v>0</v>
      </c>
      <c r="G261" s="378">
        <f t="shared" si="10"/>
        <v>46.206204450541904</v>
      </c>
      <c r="H261" s="225">
        <f t="shared" si="11"/>
        <v>0</v>
      </c>
      <c r="I261" s="42">
        <f t="shared" si="12"/>
        <v>0</v>
      </c>
      <c r="J261" s="29"/>
    </row>
    <row r="262" spans="1:10" x14ac:dyDescent="0.25">
      <c r="A262" s="38">
        <f>Données!A262</f>
        <v>5862</v>
      </c>
      <c r="B262" s="170" t="str">
        <f>Données!B262</f>
        <v>Tartegnin</v>
      </c>
      <c r="C262" s="351">
        <f>VPI!R262</f>
        <v>7890.9322784810111</v>
      </c>
      <c r="D262" s="208">
        <f>Effort!I262-IF(PCS!I268&lt;0, Effort!D262, 0)</f>
        <v>16.467349770010834</v>
      </c>
      <c r="E262" s="512">
        <f>IF(PCS!I268&lt;0, 0, PCS!F268/Aide!C262)</f>
        <v>2.2855594704801776</v>
      </c>
      <c r="F262" s="512">
        <f>Effort!G262</f>
        <v>0</v>
      </c>
      <c r="G262" s="378">
        <f t="shared" si="10"/>
        <v>18.752909240491011</v>
      </c>
      <c r="H262" s="225">
        <f t="shared" si="11"/>
        <v>0</v>
      </c>
      <c r="I262" s="42">
        <f t="shared" si="12"/>
        <v>0</v>
      </c>
      <c r="J262" s="29"/>
    </row>
    <row r="263" spans="1:10" x14ac:dyDescent="0.25">
      <c r="A263" s="38">
        <f>Données!A263</f>
        <v>5863</v>
      </c>
      <c r="B263" s="170" t="str">
        <f>Données!B263</f>
        <v>Vinzel</v>
      </c>
      <c r="C263" s="351">
        <f>VPI!R263</f>
        <v>21422.979701492532</v>
      </c>
      <c r="D263" s="208">
        <f>Effort!I263-IF(PCS!I269&lt;0, Effort!D263, 0)</f>
        <v>32.15120373225465</v>
      </c>
      <c r="E263" s="512">
        <f>IF(PCS!I269&lt;0, 0, PCS!F269/Aide!C263)</f>
        <v>4.8847749686617741</v>
      </c>
      <c r="F263" s="512">
        <f>Effort!G263</f>
        <v>0</v>
      </c>
      <c r="G263" s="378">
        <f t="shared" ref="G263:G305" si="13">D263+E263-F263</f>
        <v>37.035978700916424</v>
      </c>
      <c r="H263" s="225">
        <f t="shared" ref="H263:H305" si="14">IF(G263&lt;H$5,G263-H$5,0)</f>
        <v>0</v>
      </c>
      <c r="I263" s="42">
        <f t="shared" ref="I263:I305" si="15">-H263*C263</f>
        <v>0</v>
      </c>
      <c r="J263" s="29"/>
    </row>
    <row r="264" spans="1:10" x14ac:dyDescent="0.25">
      <c r="A264" s="38">
        <f>Données!A264</f>
        <v>5871</v>
      </c>
      <c r="B264" s="170" t="str">
        <f>Données!B264</f>
        <v>L'Abbaye</v>
      </c>
      <c r="C264" s="351">
        <f>VPI!R264</f>
        <v>52131.58544752092</v>
      </c>
      <c r="D264" s="208">
        <f>Effort!I264-IF(PCS!I270&lt;0, Effort!D264, 0)</f>
        <v>8.297980958929271</v>
      </c>
      <c r="E264" s="512">
        <f>IF(PCS!I270&lt;0, 0, PCS!F270/Aide!C264)</f>
        <v>9.3220400037365465</v>
      </c>
      <c r="F264" s="512">
        <f>Effort!G264</f>
        <v>-7.9926782149052977</v>
      </c>
      <c r="G264" s="378">
        <f t="shared" si="13"/>
        <v>25.612699177571116</v>
      </c>
      <c r="H264" s="225">
        <f t="shared" si="14"/>
        <v>0</v>
      </c>
      <c r="I264" s="42">
        <f t="shared" si="15"/>
        <v>0</v>
      </c>
      <c r="J264" s="29"/>
    </row>
    <row r="265" spans="1:10" x14ac:dyDescent="0.25">
      <c r="A265" s="38">
        <f>Données!A265</f>
        <v>5872</v>
      </c>
      <c r="B265" s="170" t="str">
        <f>Données!B265</f>
        <v>Le Chenit</v>
      </c>
      <c r="C265" s="351">
        <f>VPI!R265</f>
        <v>198940.06926406932</v>
      </c>
      <c r="D265" s="208">
        <f>Effort!I265-IF(PCS!I271&lt;0, Effort!D265, 0)</f>
        <v>13.184388063939963</v>
      </c>
      <c r="E265" s="512">
        <f>IF(PCS!I271&lt;0, 0, PCS!F271/Aide!C265)</f>
        <v>14.396209373981883</v>
      </c>
      <c r="F265" s="512">
        <f>Effort!G265</f>
        <v>-8.6314375420681806</v>
      </c>
      <c r="G265" s="378">
        <f t="shared" si="13"/>
        <v>36.212034979990023</v>
      </c>
      <c r="H265" s="225">
        <f t="shared" si="14"/>
        <v>0</v>
      </c>
      <c r="I265" s="42">
        <f t="shared" si="15"/>
        <v>0</v>
      </c>
      <c r="J265" s="29"/>
    </row>
    <row r="266" spans="1:10" x14ac:dyDescent="0.25">
      <c r="A266" s="38">
        <f>Données!A266</f>
        <v>5873</v>
      </c>
      <c r="B266" s="170" t="str">
        <f>Données!B266</f>
        <v>Le Lieu</v>
      </c>
      <c r="C266" s="351">
        <f>VPI!R266</f>
        <v>31463.219535714288</v>
      </c>
      <c r="D266" s="208">
        <f>Effort!I266-IF(PCS!I272&lt;0, Effort!D266, 0)</f>
        <v>-0.6935154028693411</v>
      </c>
      <c r="E266" s="512">
        <f>IF(PCS!I272&lt;0, 0, PCS!F272/Aide!C266)</f>
        <v>11.852998532991151</v>
      </c>
      <c r="F266" s="512">
        <f>Effort!G266</f>
        <v>-22.357677583994224</v>
      </c>
      <c r="G266" s="378">
        <f t="shared" si="13"/>
        <v>33.517160714116031</v>
      </c>
      <c r="H266" s="225">
        <f t="shared" si="14"/>
        <v>0</v>
      </c>
      <c r="I266" s="42">
        <f t="shared" si="15"/>
        <v>0</v>
      </c>
      <c r="J266" s="29"/>
    </row>
    <row r="267" spans="1:10" x14ac:dyDescent="0.25">
      <c r="A267" s="38">
        <f>Données!A267</f>
        <v>5882</v>
      </c>
      <c r="B267" s="170" t="str">
        <f>Données!B267</f>
        <v>Chardonne</v>
      </c>
      <c r="C267" s="351">
        <f>VPI!R267</f>
        <v>186940.3105882353</v>
      </c>
      <c r="D267" s="208">
        <f>Effort!I267-IF(PCS!I273&lt;0, Effort!D267, 0)</f>
        <v>28.738248642504971</v>
      </c>
      <c r="E267" s="512">
        <f>IF(PCS!I273&lt;0, 0, PCS!F273/Aide!C267)</f>
        <v>3.9275508994805661</v>
      </c>
      <c r="F267" s="512">
        <f>Effort!G267</f>
        <v>-1.6925583651539127</v>
      </c>
      <c r="G267" s="378">
        <f t="shared" si="13"/>
        <v>34.35835790713945</v>
      </c>
      <c r="H267" s="225">
        <f t="shared" si="14"/>
        <v>0</v>
      </c>
      <c r="I267" s="42">
        <f t="shared" si="15"/>
        <v>0</v>
      </c>
      <c r="J267" s="29"/>
    </row>
    <row r="268" spans="1:10" x14ac:dyDescent="0.25">
      <c r="A268" s="38">
        <f>Données!A268</f>
        <v>5883</v>
      </c>
      <c r="B268" s="170" t="str">
        <f>Données!B268</f>
        <v>Corseaux</v>
      </c>
      <c r="C268" s="351">
        <f>VPI!R268</f>
        <v>193091.18148148147</v>
      </c>
      <c r="D268" s="208">
        <f>Effort!I268-IF(PCS!I274&lt;0, Effort!D268, 0)</f>
        <v>37.468587232161568</v>
      </c>
      <c r="E268" s="512">
        <f>IF(PCS!I274&lt;0, 0, PCS!F274/Aide!C268)</f>
        <v>8.0401309013114695</v>
      </c>
      <c r="F268" s="512">
        <f>Effort!G268</f>
        <v>0</v>
      </c>
      <c r="G268" s="378">
        <f t="shared" si="13"/>
        <v>45.508718133473039</v>
      </c>
      <c r="H268" s="225">
        <f t="shared" si="14"/>
        <v>0</v>
      </c>
      <c r="I268" s="42">
        <f t="shared" si="15"/>
        <v>0</v>
      </c>
      <c r="J268" s="29"/>
    </row>
    <row r="269" spans="1:10" x14ac:dyDescent="0.25">
      <c r="A269" s="38">
        <f>Données!A269</f>
        <v>5884</v>
      </c>
      <c r="B269" s="170" t="str">
        <f>Données!B269</f>
        <v>Corsier-sur-Vevey</v>
      </c>
      <c r="C269" s="351">
        <f>VPI!R269</f>
        <v>148804.11322997417</v>
      </c>
      <c r="D269" s="208">
        <f>Effort!I269-IF(PCS!I275&lt;0, Effort!D269, 0)</f>
        <v>14.19756909508336</v>
      </c>
      <c r="E269" s="512">
        <f>IF(PCS!I275&lt;0, 0, PCS!F275/Aide!C269)</f>
        <v>3.7446678919340295</v>
      </c>
      <c r="F269" s="512">
        <f>Effort!G269</f>
        <v>-9.1731340014141338</v>
      </c>
      <c r="G269" s="378">
        <f t="shared" si="13"/>
        <v>27.115370988431522</v>
      </c>
      <c r="H269" s="225">
        <f t="shared" si="14"/>
        <v>0</v>
      </c>
      <c r="I269" s="42">
        <f t="shared" si="15"/>
        <v>0</v>
      </c>
      <c r="J269" s="29"/>
    </row>
    <row r="270" spans="1:10" x14ac:dyDescent="0.25">
      <c r="A270" s="38">
        <f>Données!A270</f>
        <v>5885</v>
      </c>
      <c r="B270" s="170" t="str">
        <f>Données!B270</f>
        <v>Jongny</v>
      </c>
      <c r="C270" s="351">
        <f>VPI!R270</f>
        <v>97074.6993764988</v>
      </c>
      <c r="D270" s="208">
        <f>Effort!I270-IF(PCS!I276&lt;0, Effort!D270, 0)</f>
        <v>28.38196322642289</v>
      </c>
      <c r="E270" s="512">
        <f>IF(PCS!I276&lt;0, 0, PCS!F276/Aide!C270)</f>
        <v>5.988157405931962</v>
      </c>
      <c r="F270" s="512">
        <f>Effort!G270</f>
        <v>-0.77941064177350705</v>
      </c>
      <c r="G270" s="378">
        <f t="shared" si="13"/>
        <v>35.149531274128364</v>
      </c>
      <c r="H270" s="225">
        <f t="shared" si="14"/>
        <v>0</v>
      </c>
      <c r="I270" s="42">
        <f t="shared" si="15"/>
        <v>0</v>
      </c>
      <c r="J270" s="29"/>
    </row>
    <row r="271" spans="1:10" x14ac:dyDescent="0.25">
      <c r="A271" s="38">
        <f>Données!A271</f>
        <v>5886</v>
      </c>
      <c r="B271" s="170" t="str">
        <f>Données!B271</f>
        <v>Montreux</v>
      </c>
      <c r="C271" s="351">
        <f>VPI!R271</f>
        <v>1173967.402</v>
      </c>
      <c r="D271" s="208">
        <f>Effort!I271-IF(PCS!I277&lt;0, Effort!D271, 0)</f>
        <v>6.6630887539400359</v>
      </c>
      <c r="E271" s="512">
        <f>IF(PCS!I277&lt;0, 0, PCS!F277/Aide!C271)</f>
        <v>10.249732692322235</v>
      </c>
      <c r="F271" s="512">
        <f>Effort!G271</f>
        <v>-5.5034446339763017</v>
      </c>
      <c r="G271" s="378">
        <f t="shared" si="13"/>
        <v>22.416266080238572</v>
      </c>
      <c r="H271" s="225">
        <f t="shared" si="14"/>
        <v>0</v>
      </c>
      <c r="I271" s="42">
        <f t="shared" si="15"/>
        <v>0</v>
      </c>
      <c r="J271" s="29"/>
    </row>
    <row r="272" spans="1:10" x14ac:dyDescent="0.25">
      <c r="A272" s="38">
        <f>Données!A272</f>
        <v>5889</v>
      </c>
      <c r="B272" s="170" t="str">
        <f>Données!B272</f>
        <v>La Tour-de-Peilz</v>
      </c>
      <c r="C272" s="351">
        <f>VPI!R272</f>
        <v>740088.65473958338</v>
      </c>
      <c r="D272" s="208">
        <f>Effort!I272-IF(PCS!I278&lt;0, Effort!D272, 0)</f>
        <v>24.982123706879939</v>
      </c>
      <c r="E272" s="512">
        <f>IF(PCS!I278&lt;0, 0, PCS!F278/Aide!C272)</f>
        <v>2.686450639754228</v>
      </c>
      <c r="F272" s="512">
        <f>Effort!G272</f>
        <v>-0.22264808480340914</v>
      </c>
      <c r="G272" s="378">
        <f t="shared" si="13"/>
        <v>27.891222431437576</v>
      </c>
      <c r="H272" s="225">
        <f t="shared" si="14"/>
        <v>0</v>
      </c>
      <c r="I272" s="42">
        <f t="shared" si="15"/>
        <v>0</v>
      </c>
      <c r="J272" s="29"/>
    </row>
    <row r="273" spans="1:10" x14ac:dyDescent="0.25">
      <c r="A273" s="38">
        <f>Données!A273</f>
        <v>5890</v>
      </c>
      <c r="B273" s="170" t="str">
        <f>Données!B273</f>
        <v>Vevey</v>
      </c>
      <c r="C273" s="351">
        <f>VPI!R273</f>
        <v>968892.58791946329</v>
      </c>
      <c r="D273" s="208">
        <f>Effort!I273-IF(PCS!I279&lt;0, Effort!D273, 0)</f>
        <v>12.863827384148673</v>
      </c>
      <c r="E273" s="512">
        <f>IF(PCS!I279&lt;0, 0, PCS!F279/Aide!C273)</f>
        <v>3.4520955126534836</v>
      </c>
      <c r="F273" s="512">
        <f>Effort!G273</f>
        <v>-3.779553087867789</v>
      </c>
      <c r="G273" s="378">
        <f t="shared" si="13"/>
        <v>20.095475984669946</v>
      </c>
      <c r="H273" s="225">
        <f t="shared" si="14"/>
        <v>0</v>
      </c>
      <c r="I273" s="42">
        <f t="shared" si="15"/>
        <v>0</v>
      </c>
      <c r="J273" s="29"/>
    </row>
    <row r="274" spans="1:10" x14ac:dyDescent="0.25">
      <c r="A274" s="38">
        <f>Données!A274</f>
        <v>5891</v>
      </c>
      <c r="B274" s="170" t="str">
        <f>Données!B274</f>
        <v>Veytaux</v>
      </c>
      <c r="C274" s="351">
        <f>VPI!R274</f>
        <v>39118.814388489205</v>
      </c>
      <c r="D274" s="208">
        <f>Effort!I274-IF(PCS!I280&lt;0, Effort!D274, 0)</f>
        <v>10.765684844538827</v>
      </c>
      <c r="E274" s="512">
        <f>IF(PCS!I280&lt;0, 0, PCS!F280/Aide!C274)</f>
        <v>3.3463626657999965</v>
      </c>
      <c r="F274" s="512">
        <f>Effort!G274</f>
        <v>-14.856387187662483</v>
      </c>
      <c r="G274" s="378">
        <f t="shared" si="13"/>
        <v>28.968434698001303</v>
      </c>
      <c r="H274" s="225">
        <f t="shared" si="14"/>
        <v>0</v>
      </c>
      <c r="I274" s="42">
        <f t="shared" si="15"/>
        <v>0</v>
      </c>
      <c r="J274" s="29"/>
    </row>
    <row r="275" spans="1:10" x14ac:dyDescent="0.25">
      <c r="A275" s="38">
        <f>Données!A275</f>
        <v>5892</v>
      </c>
      <c r="B275" s="170" t="str">
        <f>Données!B275</f>
        <v>Blonay-St-Légier</v>
      </c>
      <c r="C275" s="351">
        <f>VPI!R275</f>
        <v>705287.87938951538</v>
      </c>
      <c r="D275" s="208">
        <f>Effort!I275-IF(PCS!I281&lt;0, Effort!D275, 0)</f>
        <v>21.106259564237963</v>
      </c>
      <c r="E275" s="512">
        <f>IF(PCS!I281&lt;0, 0, PCS!F281/Aide!C275)</f>
        <v>5.4330729649243477</v>
      </c>
      <c r="F275" s="512">
        <f>Effort!G275</f>
        <v>-3.8316152780902937</v>
      </c>
      <c r="G275" s="378">
        <f t="shared" si="13"/>
        <v>30.370947807252602</v>
      </c>
      <c r="H275" s="225">
        <f t="shared" si="14"/>
        <v>0</v>
      </c>
      <c r="I275" s="42">
        <f t="shared" si="15"/>
        <v>0</v>
      </c>
      <c r="J275" s="29"/>
    </row>
    <row r="276" spans="1:10" x14ac:dyDescent="0.25">
      <c r="A276" s="38">
        <f>Données!A276</f>
        <v>5902</v>
      </c>
      <c r="B276" s="170" t="str">
        <f>Données!B276</f>
        <v>Belmont-sur-Yverdon</v>
      </c>
      <c r="C276" s="351">
        <f>VPI!R276</f>
        <v>12109.044285714286</v>
      </c>
      <c r="D276" s="208">
        <f>Effort!I276-IF(PCS!I282&lt;0, Effort!D276, 0)</f>
        <v>5.4339187593953699</v>
      </c>
      <c r="E276" s="512">
        <f>IF(PCS!I282&lt;0, 0, PCS!F282/Aide!C276)</f>
        <v>2.5921347927540817</v>
      </c>
      <c r="F276" s="512">
        <f>Effort!G276</f>
        <v>-9.5371854579534467</v>
      </c>
      <c r="G276" s="378">
        <f t="shared" si="13"/>
        <v>17.563239010102897</v>
      </c>
      <c r="H276" s="225">
        <f t="shared" si="14"/>
        <v>0</v>
      </c>
      <c r="I276" s="42">
        <f t="shared" si="15"/>
        <v>0</v>
      </c>
      <c r="J276" s="29"/>
    </row>
    <row r="277" spans="1:10" x14ac:dyDescent="0.25">
      <c r="A277" s="38">
        <f>Données!A277</f>
        <v>5903</v>
      </c>
      <c r="B277" s="170" t="str">
        <f>Données!B277</f>
        <v>Bioley-Magnoux</v>
      </c>
      <c r="C277" s="351">
        <f>VPI!R277</f>
        <v>6062.5298015873022</v>
      </c>
      <c r="D277" s="208">
        <f>Effort!I277-IF(PCS!I283&lt;0, Effort!D277, 0)</f>
        <v>-15.835046178755629</v>
      </c>
      <c r="E277" s="512">
        <f>IF(PCS!I283&lt;0, 0, PCS!F283/Aide!C277)</f>
        <v>1.7748951926277878</v>
      </c>
      <c r="F277" s="512">
        <f>Effort!G277</f>
        <v>-25.224646945116305</v>
      </c>
      <c r="G277" s="378">
        <f t="shared" si="13"/>
        <v>11.164495958988464</v>
      </c>
      <c r="H277" s="225">
        <f t="shared" si="14"/>
        <v>0</v>
      </c>
      <c r="I277" s="42">
        <f t="shared" si="15"/>
        <v>0</v>
      </c>
      <c r="J277" s="29"/>
    </row>
    <row r="278" spans="1:10" x14ac:dyDescent="0.25">
      <c r="A278" s="38">
        <f>Données!A278</f>
        <v>5904</v>
      </c>
      <c r="B278" s="170" t="str">
        <f>Données!B278</f>
        <v>Chamblon</v>
      </c>
      <c r="C278" s="351">
        <f>VPI!R278</f>
        <v>22177.284545454542</v>
      </c>
      <c r="D278" s="208">
        <f>Effort!I278-IF(PCS!I284&lt;0, Effort!D278, 0)</f>
        <v>25.01286553023311</v>
      </c>
      <c r="E278" s="512">
        <f>IF(PCS!I284&lt;0, 0, PCS!F284/Aide!C278)</f>
        <v>1.4905086748672773</v>
      </c>
      <c r="F278" s="512">
        <f>Effort!G278</f>
        <v>0</v>
      </c>
      <c r="G278" s="378">
        <f t="shared" si="13"/>
        <v>26.503374205100389</v>
      </c>
      <c r="H278" s="225">
        <f t="shared" si="14"/>
        <v>0</v>
      </c>
      <c r="I278" s="42">
        <f t="shared" si="15"/>
        <v>0</v>
      </c>
      <c r="J278" s="29"/>
    </row>
    <row r="279" spans="1:10" s="219" customFormat="1" x14ac:dyDescent="0.25">
      <c r="A279" s="38">
        <f>Données!A279</f>
        <v>5905</v>
      </c>
      <c r="B279" s="170" t="str">
        <f>Données!B279</f>
        <v>Champvent</v>
      </c>
      <c r="C279" s="351">
        <f>VPI!R279</f>
        <v>23290.369714285716</v>
      </c>
      <c r="D279" s="208">
        <f>Effort!I279-IF(PCS!I285&lt;0, Effort!D279, 0)</f>
        <v>17.927373450405142</v>
      </c>
      <c r="E279" s="512">
        <f>IF(PCS!I285&lt;0, 0, PCS!F285/Aide!C279)</f>
        <v>7.5033619965598524</v>
      </c>
      <c r="F279" s="512">
        <f>Effort!G279</f>
        <v>-0.99419866290781012</v>
      </c>
      <c r="G279" s="378">
        <f t="shared" si="13"/>
        <v>26.424934109872805</v>
      </c>
      <c r="H279" s="225">
        <f t="shared" si="14"/>
        <v>0</v>
      </c>
      <c r="I279" s="42">
        <f t="shared" si="15"/>
        <v>0</v>
      </c>
      <c r="J279" s="228"/>
    </row>
    <row r="280" spans="1:10" s="219" customFormat="1" x14ac:dyDescent="0.25">
      <c r="A280" s="38">
        <f>Données!A280</f>
        <v>5907</v>
      </c>
      <c r="B280" s="170" t="str">
        <f>Données!B280</f>
        <v>Chavannes-le-Chêne</v>
      </c>
      <c r="C280" s="351">
        <f>VPI!R280</f>
        <v>7818.3101333333334</v>
      </c>
      <c r="D280" s="208">
        <f>Effort!I280-IF(PCS!I286&lt;0, Effort!D280, 0)</f>
        <v>-4.4078152577405056</v>
      </c>
      <c r="E280" s="512">
        <f>IF(PCS!I286&lt;0, 0, PCS!F286/Aide!C280)</f>
        <v>1.625825118628363</v>
      </c>
      <c r="F280" s="512">
        <f>Effort!G280</f>
        <v>-8.7159060510365016</v>
      </c>
      <c r="G280" s="378">
        <f t="shared" si="13"/>
        <v>5.933915911924359</v>
      </c>
      <c r="H280" s="225">
        <f t="shared" si="14"/>
        <v>0</v>
      </c>
      <c r="I280" s="42">
        <f t="shared" si="15"/>
        <v>0</v>
      </c>
      <c r="J280" s="228"/>
    </row>
    <row r="281" spans="1:10" s="219" customFormat="1" x14ac:dyDescent="0.25">
      <c r="A281" s="38">
        <f>Données!A281</f>
        <v>5908</v>
      </c>
      <c r="B281" s="170" t="str">
        <f>Données!B281</f>
        <v>Chêne-Pâquier</v>
      </c>
      <c r="C281" s="351">
        <f>VPI!R281</f>
        <v>4413.4270886075947</v>
      </c>
      <c r="D281" s="208">
        <f>Effort!I281-IF(PCS!I287&lt;0, Effort!D281, 0)</f>
        <v>4.6531733690831771</v>
      </c>
      <c r="E281" s="512">
        <f>IF(PCS!I287&lt;0, 0, PCS!F287/Aide!C281)</f>
        <v>1.6844245641192641</v>
      </c>
      <c r="F281" s="512">
        <f>Effort!G281</f>
        <v>-6.3515532462874953</v>
      </c>
      <c r="G281" s="378">
        <f t="shared" si="13"/>
        <v>12.689151179489937</v>
      </c>
      <c r="H281" s="225">
        <f t="shared" si="14"/>
        <v>0</v>
      </c>
      <c r="I281" s="42">
        <f t="shared" si="15"/>
        <v>0</v>
      </c>
      <c r="J281" s="228"/>
    </row>
    <row r="282" spans="1:10" s="219" customFormat="1" x14ac:dyDescent="0.25">
      <c r="A282" s="38">
        <f>Données!A282</f>
        <v>5909</v>
      </c>
      <c r="B282" s="170" t="str">
        <f>Données!B282</f>
        <v>Cheseaux-Noréaz</v>
      </c>
      <c r="C282" s="351">
        <f>VPI!R282</f>
        <v>36912.898208955223</v>
      </c>
      <c r="D282" s="208">
        <f>Effort!I282-IF(PCS!I288&lt;0, Effort!D282, 0)</f>
        <v>29.005032126851507</v>
      </c>
      <c r="E282" s="512">
        <f>IF(PCS!I288&lt;0, 0, PCS!F288/Aide!C282)</f>
        <v>3.6549064567157044</v>
      </c>
      <c r="F282" s="512">
        <f>Effort!G282</f>
        <v>-1.1576809955253358</v>
      </c>
      <c r="G282" s="378">
        <f t="shared" si="13"/>
        <v>33.817619579092543</v>
      </c>
      <c r="H282" s="225">
        <f t="shared" si="14"/>
        <v>0</v>
      </c>
      <c r="I282" s="42">
        <f t="shared" si="15"/>
        <v>0</v>
      </c>
      <c r="J282" s="228"/>
    </row>
    <row r="283" spans="1:10" s="219" customFormat="1" x14ac:dyDescent="0.25">
      <c r="A283" s="38">
        <f>Données!A283</f>
        <v>5910</v>
      </c>
      <c r="B283" s="170" t="str">
        <f>Données!B283</f>
        <v>Cronay</v>
      </c>
      <c r="C283" s="351">
        <f>VPI!R283</f>
        <v>10599.974415584415</v>
      </c>
      <c r="D283" s="208">
        <f>Effort!I283-IF(PCS!I289&lt;0, Effort!D283, 0)</f>
        <v>2.7548572783039802</v>
      </c>
      <c r="E283" s="512">
        <f>IF(PCS!I289&lt;0, 0, PCS!F289/Aide!C283)</f>
        <v>2.7246528027027952</v>
      </c>
      <c r="F283" s="512">
        <f>Effort!G283</f>
        <v>-4.8364666446205469</v>
      </c>
      <c r="G283" s="378">
        <f t="shared" si="13"/>
        <v>10.315976725627323</v>
      </c>
      <c r="H283" s="225">
        <f t="shared" si="14"/>
        <v>0</v>
      </c>
      <c r="I283" s="42">
        <f t="shared" si="15"/>
        <v>0</v>
      </c>
      <c r="J283" s="228"/>
    </row>
    <row r="284" spans="1:10" s="219" customFormat="1" x14ac:dyDescent="0.25">
      <c r="A284" s="38">
        <f>Données!A284</f>
        <v>5911</v>
      </c>
      <c r="B284" s="170" t="str">
        <f>Données!B284</f>
        <v>Cuarny</v>
      </c>
      <c r="C284" s="351">
        <f>VPI!R284</f>
        <v>7503.6479220779238</v>
      </c>
      <c r="D284" s="208">
        <f>Effort!I284-IF(PCS!I290&lt;0, Effort!D284, 0)</f>
        <v>11.100157894737121</v>
      </c>
      <c r="E284" s="512">
        <f>IF(PCS!I290&lt;0, 0, PCS!F290/Aide!C284)</f>
        <v>3.2318660539291972</v>
      </c>
      <c r="F284" s="512">
        <f>Effort!G284</f>
        <v>-3.278422279594603</v>
      </c>
      <c r="G284" s="378">
        <f t="shared" si="13"/>
        <v>17.610446228260923</v>
      </c>
      <c r="H284" s="225">
        <f t="shared" si="14"/>
        <v>0</v>
      </c>
      <c r="I284" s="42">
        <f t="shared" si="15"/>
        <v>0</v>
      </c>
      <c r="J284" s="228"/>
    </row>
    <row r="285" spans="1:10" s="219" customFormat="1" x14ac:dyDescent="0.25">
      <c r="A285" s="38">
        <f>Données!A285</f>
        <v>5912</v>
      </c>
      <c r="B285" s="170" t="str">
        <f>Données!B285</f>
        <v>Démoret</v>
      </c>
      <c r="C285" s="351">
        <f>VPI!R285</f>
        <v>4722.3875308641973</v>
      </c>
      <c r="D285" s="208">
        <f>Effort!I285-IF(PCS!I291&lt;0, Effort!D285, 0)</f>
        <v>6.1828457728988475</v>
      </c>
      <c r="E285" s="512">
        <f>IF(PCS!I291&lt;0, 0, PCS!F291/Aide!C285)</f>
        <v>3.5700532600963331</v>
      </c>
      <c r="F285" s="512">
        <f>Effort!G285</f>
        <v>-3.8911375298522231</v>
      </c>
      <c r="G285" s="378">
        <f t="shared" si="13"/>
        <v>13.644036562847404</v>
      </c>
      <c r="H285" s="225">
        <f t="shared" si="14"/>
        <v>0</v>
      </c>
      <c r="I285" s="42">
        <f t="shared" si="15"/>
        <v>0</v>
      </c>
      <c r="J285" s="228"/>
    </row>
    <row r="286" spans="1:10" s="219" customFormat="1" x14ac:dyDescent="0.25">
      <c r="A286" s="38">
        <f>Données!A286</f>
        <v>5913</v>
      </c>
      <c r="B286" s="170" t="str">
        <f>Données!B286</f>
        <v>Donneloye</v>
      </c>
      <c r="C286" s="351">
        <f>VPI!R286</f>
        <v>23893.15821917808</v>
      </c>
      <c r="D286" s="208">
        <f>Effort!I286-IF(PCS!I292&lt;0, Effort!D286, 0)</f>
        <v>9.2757878080091825</v>
      </c>
      <c r="E286" s="512">
        <f>IF(PCS!I292&lt;0, 0, PCS!F292/Aide!C286)</f>
        <v>3.3653602534410396</v>
      </c>
      <c r="F286" s="512">
        <f>Effort!G286</f>
        <v>-1.1234254498429102</v>
      </c>
      <c r="G286" s="378">
        <f t="shared" si="13"/>
        <v>13.764573511293133</v>
      </c>
      <c r="H286" s="225">
        <f t="shared" si="14"/>
        <v>0</v>
      </c>
      <c r="I286" s="42">
        <f t="shared" si="15"/>
        <v>0</v>
      </c>
      <c r="J286" s="228"/>
    </row>
    <row r="287" spans="1:10" x14ac:dyDescent="0.25">
      <c r="A287" s="38">
        <f>Données!A287</f>
        <v>5914</v>
      </c>
      <c r="B287" s="170" t="str">
        <f>Données!B287</f>
        <v>Ependes</v>
      </c>
      <c r="C287" s="351">
        <f>VPI!R287</f>
        <v>9828.5374149659856</v>
      </c>
      <c r="D287" s="208">
        <f>Effort!I287-IF(PCS!I293&lt;0, Effort!D287, 0)</f>
        <v>2.3954526596716263</v>
      </c>
      <c r="E287" s="512">
        <f>IF(PCS!I293&lt;0, 0, PCS!F293/Aide!C287)</f>
        <v>6.5101461487615895</v>
      </c>
      <c r="F287" s="512">
        <f>Effort!G287</f>
        <v>-6.0587470886873227</v>
      </c>
      <c r="G287" s="378">
        <f t="shared" si="13"/>
        <v>14.964345897120538</v>
      </c>
      <c r="H287" s="225">
        <f t="shared" si="14"/>
        <v>0</v>
      </c>
      <c r="I287" s="42">
        <f t="shared" si="15"/>
        <v>0</v>
      </c>
      <c r="J287" s="29"/>
    </row>
    <row r="288" spans="1:10" x14ac:dyDescent="0.25">
      <c r="A288" s="38">
        <f>Données!A288</f>
        <v>5919</v>
      </c>
      <c r="B288" s="170" t="str">
        <f>Données!B288</f>
        <v>Mathod</v>
      </c>
      <c r="C288" s="351">
        <f>VPI!R288</f>
        <v>18684.230416666669</v>
      </c>
      <c r="D288" s="208">
        <f>Effort!I288-IF(PCS!I294&lt;0, Effort!D288, 0)</f>
        <v>5.803548376651495</v>
      </c>
      <c r="E288" s="512">
        <f>IF(PCS!I294&lt;0, 0, PCS!F294/Aide!C288)</f>
        <v>2.5576924462123838</v>
      </c>
      <c r="F288" s="512">
        <f>Effort!G288</f>
        <v>-7.5584699791287884</v>
      </c>
      <c r="G288" s="378">
        <f t="shared" si="13"/>
        <v>15.919710801992668</v>
      </c>
      <c r="H288" s="225">
        <f t="shared" si="14"/>
        <v>0</v>
      </c>
      <c r="I288" s="42">
        <f t="shared" si="15"/>
        <v>0</v>
      </c>
      <c r="J288" s="29"/>
    </row>
    <row r="289" spans="1:10" x14ac:dyDescent="0.25">
      <c r="A289" s="38">
        <f>Données!A289</f>
        <v>5921</v>
      </c>
      <c r="B289" s="170" t="str">
        <f>Données!B289</f>
        <v>Molondin</v>
      </c>
      <c r="C289" s="351">
        <f>VPI!R289</f>
        <v>5874.5211111111121</v>
      </c>
      <c r="D289" s="208">
        <f>Effort!I289-IF(PCS!I295&lt;0, Effort!D289, 0)</f>
        <v>-4.4285182102308802</v>
      </c>
      <c r="E289" s="512">
        <f>IF(PCS!I295&lt;0, 0, PCS!F295/Aide!C289)</f>
        <v>0.77451760134017533</v>
      </c>
      <c r="F289" s="512">
        <f>Effort!G289</f>
        <v>-6.2512725387166288</v>
      </c>
      <c r="G289" s="378">
        <f t="shared" si="13"/>
        <v>2.5972719298259239</v>
      </c>
      <c r="H289" s="225">
        <f t="shared" si="14"/>
        <v>0</v>
      </c>
      <c r="I289" s="42">
        <f t="shared" si="15"/>
        <v>0</v>
      </c>
      <c r="J289" s="29"/>
    </row>
    <row r="290" spans="1:10" x14ac:dyDescent="0.25">
      <c r="A290" s="38">
        <f>Données!A290</f>
        <v>5922</v>
      </c>
      <c r="B290" s="170" t="str">
        <f>Données!B290</f>
        <v>Montagny-près-Yverdon</v>
      </c>
      <c r="C290" s="351">
        <f>VPI!R290</f>
        <v>39591.156899224814</v>
      </c>
      <c r="D290" s="208">
        <f>Effort!I290-IF(PCS!I296&lt;0, Effort!D290, 0)</f>
        <v>26.494049986787239</v>
      </c>
      <c r="E290" s="512">
        <f>IF(PCS!I296&lt;0, 0, PCS!F296/Aide!C290)</f>
        <v>6.9785423473040682</v>
      </c>
      <c r="F290" s="512">
        <f>Effort!G290</f>
        <v>-3.7512116400811468</v>
      </c>
      <c r="G290" s="378">
        <f t="shared" si="13"/>
        <v>37.223803974172455</v>
      </c>
      <c r="H290" s="225">
        <f t="shared" si="14"/>
        <v>0</v>
      </c>
      <c r="I290" s="42">
        <f t="shared" si="15"/>
        <v>0</v>
      </c>
      <c r="J290" s="29"/>
    </row>
    <row r="291" spans="1:10" x14ac:dyDescent="0.25">
      <c r="A291" s="38">
        <f>Données!A291</f>
        <v>5923</v>
      </c>
      <c r="B291" s="170" t="str">
        <f>Données!B291</f>
        <v>Oppens</v>
      </c>
      <c r="C291" s="351">
        <f>VPI!R291</f>
        <v>5096.0285185185185</v>
      </c>
      <c r="D291" s="208">
        <f>Effort!I291-IF(PCS!I297&lt;0, Effort!D291, 0)</f>
        <v>-3.7238449645825327</v>
      </c>
      <c r="E291" s="512">
        <f>IF(PCS!I297&lt;0, 0, PCS!F297/Aide!C291)</f>
        <v>6.8151875276586118</v>
      </c>
      <c r="F291" s="512">
        <f>Effort!G291</f>
        <v>-7.2667975395800219</v>
      </c>
      <c r="G291" s="378">
        <f t="shared" si="13"/>
        <v>10.358140102656101</v>
      </c>
      <c r="H291" s="225">
        <f t="shared" si="14"/>
        <v>0</v>
      </c>
      <c r="I291" s="42">
        <f t="shared" si="15"/>
        <v>0</v>
      </c>
      <c r="J291" s="29"/>
    </row>
    <row r="292" spans="1:10" x14ac:dyDescent="0.25">
      <c r="A292" s="38">
        <f>Données!A292</f>
        <v>5924</v>
      </c>
      <c r="B292" s="170" t="str">
        <f>Données!B292</f>
        <v>Orges</v>
      </c>
      <c r="C292" s="351">
        <f>VPI!R292</f>
        <v>13109.277432432435</v>
      </c>
      <c r="D292" s="208">
        <f>Effort!I292-IF(PCS!I298&lt;0, Effort!D292, 0)</f>
        <v>18.635024442301802</v>
      </c>
      <c r="E292" s="512">
        <f>IF(PCS!I298&lt;0, 0, PCS!F298/Aide!C292)</f>
        <v>3.5621673460407699</v>
      </c>
      <c r="F292" s="512">
        <f>Effort!G292</f>
        <v>-2.2482806971868774</v>
      </c>
      <c r="G292" s="378">
        <f t="shared" si="13"/>
        <v>24.44547248552945</v>
      </c>
      <c r="H292" s="225">
        <f t="shared" si="14"/>
        <v>0</v>
      </c>
      <c r="I292" s="42">
        <f t="shared" si="15"/>
        <v>0</v>
      </c>
      <c r="J292" s="29"/>
    </row>
    <row r="293" spans="1:10" x14ac:dyDescent="0.25">
      <c r="A293" s="38">
        <f>Données!A293</f>
        <v>5925</v>
      </c>
      <c r="B293" s="170" t="str">
        <f>Données!B293</f>
        <v>Orzens</v>
      </c>
      <c r="C293" s="351">
        <f>VPI!R293</f>
        <v>5230.3916455696199</v>
      </c>
      <c r="D293" s="208">
        <f>Effort!I293-IF(PCS!I299&lt;0, Effort!D293, 0)</f>
        <v>3.8819246919960051</v>
      </c>
      <c r="E293" s="512">
        <f>IF(PCS!I299&lt;0, 0, PCS!F299/Aide!C293)</f>
        <v>13.127568574747192</v>
      </c>
      <c r="F293" s="512">
        <f>Effort!G293</f>
        <v>-1.8879955718396961</v>
      </c>
      <c r="G293" s="378">
        <f t="shared" si="13"/>
        <v>18.897488838582895</v>
      </c>
      <c r="H293" s="225">
        <f t="shared" si="14"/>
        <v>0</v>
      </c>
      <c r="I293" s="42">
        <f t="shared" si="15"/>
        <v>0</v>
      </c>
      <c r="J293" s="29"/>
    </row>
    <row r="294" spans="1:10" x14ac:dyDescent="0.25">
      <c r="A294" s="38">
        <f>Données!A294</f>
        <v>5926</v>
      </c>
      <c r="B294" s="170" t="str">
        <f>Données!B294</f>
        <v>Pomy</v>
      </c>
      <c r="C294" s="351">
        <f>VPI!R294</f>
        <v>27874.142394366198</v>
      </c>
      <c r="D294" s="208">
        <f>Effort!I294-IF(PCS!I300&lt;0, Effort!D294, 0)</f>
        <v>17.599120414295086</v>
      </c>
      <c r="E294" s="512">
        <f>IF(PCS!I300&lt;0, 0, PCS!F300/Aide!C294)</f>
        <v>3.8192226147742123</v>
      </c>
      <c r="F294" s="512">
        <f>Effort!G294</f>
        <v>-1.6150107221640231</v>
      </c>
      <c r="G294" s="378">
        <f t="shared" si="13"/>
        <v>23.033353751233321</v>
      </c>
      <c r="H294" s="225">
        <f t="shared" si="14"/>
        <v>0</v>
      </c>
      <c r="I294" s="42">
        <f t="shared" si="15"/>
        <v>0</v>
      </c>
      <c r="J294" s="29"/>
    </row>
    <row r="295" spans="1:10" x14ac:dyDescent="0.25">
      <c r="A295" s="38">
        <f>Données!A295</f>
        <v>5928</v>
      </c>
      <c r="B295" s="170" t="str">
        <f>Données!B295</f>
        <v>Rovray</v>
      </c>
      <c r="C295" s="351">
        <f>VPI!R295</f>
        <v>5459.4458741258732</v>
      </c>
      <c r="D295" s="208">
        <f>Effort!I295-IF(PCS!I301&lt;0, Effort!D295, 0)</f>
        <v>6.0973548328046441</v>
      </c>
      <c r="E295" s="512">
        <f>IF(PCS!I301&lt;0, 0, PCS!F301/Aide!C295)</f>
        <v>2.3838921202023684</v>
      </c>
      <c r="F295" s="512">
        <f>Effort!G295</f>
        <v>-4.4942730297841669</v>
      </c>
      <c r="G295" s="378">
        <f t="shared" si="13"/>
        <v>12.97551998279118</v>
      </c>
      <c r="H295" s="225">
        <f t="shared" si="14"/>
        <v>0</v>
      </c>
      <c r="I295" s="42">
        <f t="shared" si="15"/>
        <v>0</v>
      </c>
      <c r="J295" s="29"/>
    </row>
    <row r="296" spans="1:10" x14ac:dyDescent="0.25">
      <c r="A296" s="38">
        <f>Données!A296</f>
        <v>5929</v>
      </c>
      <c r="B296" s="170" t="str">
        <f>Données!B296</f>
        <v>Suchy</v>
      </c>
      <c r="C296" s="351">
        <f>VPI!R296</f>
        <v>20264.63825</v>
      </c>
      <c r="D296" s="208">
        <f>Effort!I296-IF(PCS!I302&lt;0, Effort!D296, 0)</f>
        <v>15.259538972759028</v>
      </c>
      <c r="E296" s="512">
        <f>IF(PCS!I302&lt;0, 0, PCS!F302/Aide!C296)</f>
        <v>3.6287368712343042</v>
      </c>
      <c r="F296" s="512">
        <f>Effort!G296</f>
        <v>-1.7397148361382666</v>
      </c>
      <c r="G296" s="378">
        <f t="shared" si="13"/>
        <v>20.6279906801316</v>
      </c>
      <c r="H296" s="225">
        <f t="shared" si="14"/>
        <v>0</v>
      </c>
      <c r="I296" s="42">
        <f t="shared" si="15"/>
        <v>0</v>
      </c>
      <c r="J296" s="29"/>
    </row>
    <row r="297" spans="1:10" x14ac:dyDescent="0.25">
      <c r="A297" s="38">
        <f>Données!A297</f>
        <v>5930</v>
      </c>
      <c r="B297" s="170" t="str">
        <f>Données!B297</f>
        <v>Suscévaz</v>
      </c>
      <c r="C297" s="351">
        <f>VPI!R297</f>
        <v>6661.7480555555558</v>
      </c>
      <c r="D297" s="208">
        <f>Effort!I297-IF(PCS!I303&lt;0, Effort!D297, 0)</f>
        <v>12.285878300205436</v>
      </c>
      <c r="E297" s="512">
        <f>IF(PCS!I303&lt;0, 0, PCS!F303/Aide!C297)</f>
        <v>5.9925562580692349</v>
      </c>
      <c r="F297" s="512">
        <f>Effort!G297</f>
        <v>-4.1972392819152029</v>
      </c>
      <c r="G297" s="378">
        <f t="shared" si="13"/>
        <v>22.475673840189874</v>
      </c>
      <c r="H297" s="225">
        <f t="shared" si="14"/>
        <v>0</v>
      </c>
      <c r="I297" s="42">
        <f t="shared" si="15"/>
        <v>0</v>
      </c>
      <c r="J297" s="29"/>
    </row>
    <row r="298" spans="1:10" x14ac:dyDescent="0.25">
      <c r="A298" s="38">
        <f>Données!A298</f>
        <v>5931</v>
      </c>
      <c r="B298" s="170" t="str">
        <f>Données!B298</f>
        <v>Treycovagnes</v>
      </c>
      <c r="C298" s="351">
        <f>VPI!R298</f>
        <v>15269.573333333334</v>
      </c>
      <c r="D298" s="208">
        <f>Effort!I298-IF(PCS!I304&lt;0, Effort!D298, 0)</f>
        <v>11.683436839608031</v>
      </c>
      <c r="E298" s="512">
        <f>IF(PCS!I304&lt;0, 0, PCS!F304/Aide!C298)</f>
        <v>5.321145406376778</v>
      </c>
      <c r="F298" s="512">
        <f>Effort!G298</f>
        <v>-4.0577957646491756</v>
      </c>
      <c r="G298" s="378">
        <f t="shared" si="13"/>
        <v>21.062378010633985</v>
      </c>
      <c r="H298" s="225">
        <f t="shared" si="14"/>
        <v>0</v>
      </c>
      <c r="I298" s="42">
        <f t="shared" si="15"/>
        <v>0</v>
      </c>
      <c r="J298" s="29"/>
    </row>
    <row r="299" spans="1:10" x14ac:dyDescent="0.25">
      <c r="A299" s="38">
        <f>Données!A299</f>
        <v>5932</v>
      </c>
      <c r="B299" s="170" t="str">
        <f>Données!B299</f>
        <v>Ursins</v>
      </c>
      <c r="C299" s="351">
        <f>VPI!R299</f>
        <v>7703.2953333333353</v>
      </c>
      <c r="D299" s="208">
        <f>Effort!I299-IF(PCS!I305&lt;0, Effort!D299, 0)</f>
        <v>17.704607676113483</v>
      </c>
      <c r="E299" s="512">
        <f>IF(PCS!I305&lt;0, 0, PCS!F305/Aide!C299)</f>
        <v>0.6392523961390375</v>
      </c>
      <c r="F299" s="512">
        <f>Effort!G299</f>
        <v>-1.0426094486143285</v>
      </c>
      <c r="G299" s="378">
        <f t="shared" si="13"/>
        <v>19.38646952086685</v>
      </c>
      <c r="H299" s="225">
        <f t="shared" si="14"/>
        <v>0</v>
      </c>
      <c r="I299" s="42">
        <f t="shared" si="15"/>
        <v>0</v>
      </c>
      <c r="J299" s="29"/>
    </row>
    <row r="300" spans="1:10" x14ac:dyDescent="0.25">
      <c r="A300" s="38">
        <f>Données!A300</f>
        <v>5933</v>
      </c>
      <c r="B300" s="170" t="str">
        <f>Données!B300</f>
        <v>Valeyres-sous-Montagny</v>
      </c>
      <c r="C300" s="351">
        <f>VPI!R300</f>
        <v>19606.455886524818</v>
      </c>
      <c r="D300" s="208">
        <f>Effort!I300-IF(PCS!I306&lt;0, Effort!D300, 0)</f>
        <v>-9.2956898440467377</v>
      </c>
      <c r="E300" s="512">
        <f>IF(PCS!I306&lt;0, 0, PCS!F306/Aide!C300)</f>
        <v>3.6445900989740583</v>
      </c>
      <c r="F300" s="512">
        <f>Effort!G300</f>
        <v>-22.705616728616405</v>
      </c>
      <c r="G300" s="378">
        <f t="shared" si="13"/>
        <v>17.054516983543728</v>
      </c>
      <c r="H300" s="225">
        <f t="shared" si="14"/>
        <v>0</v>
      </c>
      <c r="I300" s="42">
        <f t="shared" si="15"/>
        <v>0</v>
      </c>
      <c r="J300" s="29"/>
    </row>
    <row r="301" spans="1:10" x14ac:dyDescent="0.25">
      <c r="A301" s="38">
        <f>Données!A301</f>
        <v>5934</v>
      </c>
      <c r="B301" s="170" t="str">
        <f>Données!B301</f>
        <v>Valeyres-sous-Ursins</v>
      </c>
      <c r="C301" s="351">
        <f>VPI!R301</f>
        <v>7018.2764935064943</v>
      </c>
      <c r="D301" s="208">
        <f>Effort!I301-IF(PCS!I307&lt;0, Effort!D301, 0)</f>
        <v>10.126735134241548</v>
      </c>
      <c r="E301" s="512">
        <f>IF(PCS!I307&lt;0, 0, PCS!F307/Aide!C301)</f>
        <v>0.85842229293390915</v>
      </c>
      <c r="F301" s="512">
        <f>Effort!G301</f>
        <v>-1.0365497336277603</v>
      </c>
      <c r="G301" s="378">
        <f t="shared" si="13"/>
        <v>12.021707160803217</v>
      </c>
      <c r="H301" s="225">
        <f t="shared" si="14"/>
        <v>0</v>
      </c>
      <c r="I301" s="42">
        <f t="shared" si="15"/>
        <v>0</v>
      </c>
      <c r="J301" s="29"/>
    </row>
    <row r="302" spans="1:10" x14ac:dyDescent="0.25">
      <c r="A302" s="38">
        <f>Données!A302</f>
        <v>5935</v>
      </c>
      <c r="B302" s="170" t="str">
        <f>Données!B302</f>
        <v>Villars-Epeney</v>
      </c>
      <c r="C302" s="351">
        <f>VPI!R302</f>
        <v>3448.2056666666667</v>
      </c>
      <c r="D302" s="208">
        <f>Effort!I302-IF(PCS!I308&lt;0, Effort!D302, 0)</f>
        <v>20.938943629150764</v>
      </c>
      <c r="E302" s="512">
        <f>IF(PCS!I308&lt;0, 0, PCS!F308/Aide!C302)</f>
        <v>1.4674298719807606</v>
      </c>
      <c r="F302" s="512">
        <f>Effort!G302</f>
        <v>-2.8707962073414608</v>
      </c>
      <c r="G302" s="378">
        <f t="shared" si="13"/>
        <v>25.277169708472986</v>
      </c>
      <c r="H302" s="225">
        <f t="shared" si="14"/>
        <v>0</v>
      </c>
      <c r="I302" s="42">
        <f t="shared" si="15"/>
        <v>0</v>
      </c>
      <c r="J302" s="29"/>
    </row>
    <row r="303" spans="1:10" x14ac:dyDescent="0.25">
      <c r="A303" s="38">
        <f>Données!A303</f>
        <v>5937</v>
      </c>
      <c r="B303" s="170" t="str">
        <f>Données!B303</f>
        <v>Vugelles-La Mothe</v>
      </c>
      <c r="C303" s="351">
        <f>VPI!R303</f>
        <v>3479.4948775510202</v>
      </c>
      <c r="D303" s="208">
        <f>Effort!I303-IF(PCS!I309&lt;0, Effort!D303, 0)</f>
        <v>2.484588187210143</v>
      </c>
      <c r="E303" s="512">
        <f>IF(PCS!I309&lt;0, 0, PCS!F309/Aide!C303)</f>
        <v>1.4700409628423137</v>
      </c>
      <c r="F303" s="512">
        <f>Effort!G303</f>
        <v>-6.1212648174730084</v>
      </c>
      <c r="G303" s="378">
        <f t="shared" si="13"/>
        <v>10.075893967525465</v>
      </c>
      <c r="H303" s="225">
        <f t="shared" si="14"/>
        <v>0</v>
      </c>
      <c r="I303" s="42">
        <f t="shared" si="15"/>
        <v>0</v>
      </c>
      <c r="J303" s="29"/>
    </row>
    <row r="304" spans="1:10" x14ac:dyDescent="0.25">
      <c r="A304" s="38">
        <f>Données!A304</f>
        <v>5938</v>
      </c>
      <c r="B304" s="170" t="str">
        <f>Données!B304</f>
        <v>Yverdon-les-Bains</v>
      </c>
      <c r="C304" s="351">
        <f>VPI!R304</f>
        <v>762594.09693333332</v>
      </c>
      <c r="D304" s="208">
        <f>Effort!I304-IF(PCS!I310&lt;0, Effort!D304, 0)</f>
        <v>-34.450964525452875</v>
      </c>
      <c r="E304" s="512">
        <f>IF(PCS!I310&lt;0, 0, PCS!F310/Aide!C304)</f>
        <v>6.0114207524488101</v>
      </c>
      <c r="F304" s="512">
        <f>Effort!G304</f>
        <v>-12.797020010572068</v>
      </c>
      <c r="G304" s="378">
        <f t="shared" si="13"/>
        <v>-15.642523762431997</v>
      </c>
      <c r="H304" s="225">
        <f t="shared" si="14"/>
        <v>-7.6425237624319973</v>
      </c>
      <c r="I304" s="42">
        <f t="shared" si="15"/>
        <v>5828143.5069033699</v>
      </c>
      <c r="J304" s="29"/>
    </row>
    <row r="305" spans="1:12" x14ac:dyDescent="0.25">
      <c r="A305" s="38">
        <f>Données!A305</f>
        <v>5939</v>
      </c>
      <c r="B305" s="170" t="str">
        <f>Données!B305</f>
        <v>Yvonand</v>
      </c>
      <c r="C305" s="351">
        <f>VPI!R305</f>
        <v>105325.16447552449</v>
      </c>
      <c r="D305" s="208">
        <f>Effort!I305-IF(PCS!I311&lt;0, Effort!D305, 0)</f>
        <v>4.8500929519098186</v>
      </c>
      <c r="E305" s="512">
        <f>IF(PCS!I311&lt;0, 0, PCS!F311/Aide!C305)</f>
        <v>3.3566889428609121</v>
      </c>
      <c r="F305" s="512">
        <f>Effort!G305</f>
        <v>-4.3120501358984287</v>
      </c>
      <c r="G305" s="378">
        <f t="shared" si="13"/>
        <v>12.518832030669159</v>
      </c>
      <c r="H305" s="225">
        <f t="shared" si="14"/>
        <v>0</v>
      </c>
      <c r="I305" s="42">
        <f t="shared" si="15"/>
        <v>0</v>
      </c>
      <c r="J305" s="29"/>
    </row>
    <row r="306" spans="1:12" x14ac:dyDescent="0.25">
      <c r="A306" s="25"/>
      <c r="B306" s="174">
        <f>COUNTA(B6:B305)</f>
        <v>300</v>
      </c>
      <c r="C306" s="424">
        <f>VPI!R306</f>
        <v>39490853.970660269</v>
      </c>
      <c r="D306" s="679"/>
      <c r="E306" s="680"/>
      <c r="F306" s="680"/>
      <c r="G306" s="680"/>
      <c r="H306" s="681"/>
      <c r="I306" s="557">
        <f>SUM(I6:I305)</f>
        <v>7806529.1935296878</v>
      </c>
      <c r="K306" s="10"/>
      <c r="L306" s="10"/>
    </row>
    <row r="307" spans="1:12" x14ac:dyDescent="0.25">
      <c r="I307" s="23"/>
      <c r="J307" s="5"/>
    </row>
    <row r="308" spans="1:12" x14ac:dyDescent="0.25">
      <c r="I308" s="23"/>
    </row>
  </sheetData>
  <mergeCells count="7">
    <mergeCell ref="D306:H306"/>
    <mergeCell ref="C4:C5"/>
    <mergeCell ref="B4:B5"/>
    <mergeCell ref="A4:A5"/>
    <mergeCell ref="I4:I5"/>
    <mergeCell ref="G4:G5"/>
    <mergeCell ref="D4:D5"/>
  </mergeCells>
  <phoneticPr fontId="21" type="noConversion"/>
  <conditionalFormatting sqref="D6:G305 D306">
    <cfRule type="cellIs" dxfId="6" priority="3" operator="lessThan">
      <formula>0</formula>
    </cfRule>
    <cfRule type="cellIs" dxfId="5" priority="4" operator="greaterThan">
      <formula>0</formula>
    </cfRule>
  </conditionalFormatting>
  <conditionalFormatting sqref="H5">
    <cfRule type="cellIs" dxfId="4" priority="1" operator="lessThan">
      <formula>0</formula>
    </cfRule>
    <cfRule type="cellIs" dxfId="3" priority="2" operator="greaterThan">
      <formula>0</formula>
    </cfRule>
  </conditionalFormatting>
  <hyperlinks>
    <hyperlink ref="C1" location="Effort!A1" display="← Précédent" xr:uid="{AB4DD465-687C-427D-8055-D2BD3588A1AC}"/>
    <hyperlink ref="E1" location="Taux!A1" display="Suivant →" xr:uid="{595CC61F-6155-4574-887D-9823ED57B9F9}"/>
    <hyperlink ref="D1" location="'Table des matières'!A1" display="Table des             matières" xr:uid="{FC746932-0F9A-4D6A-946B-B9E5F79E5828}"/>
  </hyperlinks>
  <pageMargins left="0.78740157499999996" right="0.78740157499999996" top="0.984251969" bottom="0.984251969" header="0.4921259845" footer="0.4921259845"/>
  <pageSetup paperSize="9" orientation="portrait" horizontalDpi="4294967292" verticalDpi="4294967292" r:id="rId1"/>
  <headerFooter alignWithMargins="0"/>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Feuil15">
    <tabColor theme="6" tint="0.39997558519241921"/>
  </sheetPr>
  <dimension ref="A1:R311"/>
  <sheetViews>
    <sheetView workbookViewId="0">
      <pane ySplit="5" topLeftCell="A6" activePane="bottomLeft" state="frozen"/>
      <selection pane="bottomLeft" activeCell="A6" sqref="A6"/>
    </sheetView>
  </sheetViews>
  <sheetFormatPr baseColWidth="10" defaultColWidth="10.75" defaultRowHeight="15" x14ac:dyDescent="0.25"/>
  <cols>
    <col min="1" max="1" width="7.25" style="11" customWidth="1"/>
    <col min="2" max="2" width="20.25" style="11" bestFit="1" customWidth="1"/>
    <col min="3" max="3" width="16.125" style="5" customWidth="1"/>
    <col min="4" max="4" width="22.375" style="5" customWidth="1"/>
    <col min="5" max="6" width="12.125" style="5" customWidth="1"/>
    <col min="7" max="7" width="16.5" style="5" customWidth="1"/>
    <col min="8" max="8" width="12.125" style="11" customWidth="1"/>
    <col min="9" max="9" width="12" style="11" customWidth="1"/>
    <col min="10" max="10" width="9.25" style="11" bestFit="1" customWidth="1"/>
    <col min="11" max="11" width="8.875" style="13" bestFit="1" customWidth="1"/>
    <col min="12" max="12" width="11.75" style="13" bestFit="1" customWidth="1"/>
    <col min="13" max="13" width="12.5" style="13" bestFit="1" customWidth="1"/>
    <col min="14" max="14" width="6.75" style="11" customWidth="1"/>
    <col min="15" max="15" width="12.25" style="11" customWidth="1"/>
    <col min="16" max="16" width="12.625" style="11" customWidth="1"/>
    <col min="17" max="17" width="9.625" style="11" customWidth="1"/>
    <col min="18" max="18" width="11.25" style="5" bestFit="1" customWidth="1"/>
    <col min="19" max="16384" width="10.75" style="11"/>
  </cols>
  <sheetData>
    <row r="1" spans="1:18" s="294" customFormat="1" ht="26.25" x14ac:dyDescent="0.4">
      <c r="A1" s="281" t="s">
        <v>404</v>
      </c>
      <c r="B1" s="286"/>
      <c r="C1" s="411" t="s">
        <v>406</v>
      </c>
      <c r="D1" s="305" t="s">
        <v>398</v>
      </c>
      <c r="E1" s="410" t="s">
        <v>407</v>
      </c>
      <c r="F1" s="291"/>
      <c r="G1" s="291"/>
      <c r="H1" s="290"/>
      <c r="I1" s="290"/>
      <c r="J1" s="290"/>
      <c r="K1" s="293"/>
      <c r="L1" s="293"/>
      <c r="M1" s="293"/>
      <c r="N1" s="290"/>
      <c r="O1" s="290"/>
      <c r="P1" s="290"/>
      <c r="Q1" s="290"/>
      <c r="R1" s="289"/>
    </row>
    <row r="2" spans="1:18" s="33" customFormat="1" ht="15.75" x14ac:dyDescent="0.25">
      <c r="A2" s="358" t="str">
        <f>Paramètres!B4</f>
        <v>Acomptes 2023</v>
      </c>
      <c r="B2" s="32"/>
      <c r="C2" s="34"/>
      <c r="D2" s="34"/>
      <c r="E2" s="34"/>
      <c r="F2" s="34"/>
      <c r="G2" s="34"/>
      <c r="H2" s="221"/>
      <c r="I2" s="221"/>
      <c r="J2" s="221"/>
      <c r="K2" s="80"/>
      <c r="L2" s="80"/>
      <c r="M2" s="80"/>
      <c r="N2" s="221"/>
      <c r="O2" s="221"/>
      <c r="P2" s="221"/>
      <c r="Q2" s="221"/>
      <c r="R2" s="5"/>
    </row>
    <row r="3" spans="1:18" ht="26.1" customHeight="1" x14ac:dyDescent="0.25">
      <c r="D3" s="4"/>
      <c r="H3" s="81"/>
      <c r="I3" s="81"/>
    </row>
    <row r="4" spans="1:18" ht="36.75" customHeight="1" x14ac:dyDescent="0.25">
      <c r="A4" s="666" t="s">
        <v>44</v>
      </c>
      <c r="B4" s="666" t="s">
        <v>84</v>
      </c>
      <c r="C4" s="666" t="s">
        <v>414</v>
      </c>
      <c r="D4" s="353" t="s">
        <v>497</v>
      </c>
      <c r="E4" s="672" t="s">
        <v>300</v>
      </c>
      <c r="F4" s="672" t="s">
        <v>438</v>
      </c>
      <c r="G4" s="502" t="s">
        <v>496</v>
      </c>
      <c r="H4" s="677" t="s">
        <v>518</v>
      </c>
      <c r="I4" s="500" t="s">
        <v>113</v>
      </c>
      <c r="J4" s="675" t="s">
        <v>439</v>
      </c>
      <c r="K4" s="5"/>
      <c r="L4" s="11"/>
      <c r="M4" s="11"/>
      <c r="R4" s="11"/>
    </row>
    <row r="5" spans="1:18" x14ac:dyDescent="0.25">
      <c r="A5" s="668"/>
      <c r="B5" s="668"/>
      <c r="C5" s="668"/>
      <c r="D5" s="560" t="s">
        <v>485</v>
      </c>
      <c r="E5" s="673"/>
      <c r="F5" s="673"/>
      <c r="G5" s="518" t="s">
        <v>437</v>
      </c>
      <c r="H5" s="678"/>
      <c r="I5" s="524">
        <f>Paramètres!B47</f>
        <v>92.188000000000002</v>
      </c>
      <c r="J5" s="682"/>
      <c r="K5" s="5"/>
      <c r="L5" s="11"/>
      <c r="M5" s="11"/>
      <c r="R5" s="11"/>
    </row>
    <row r="6" spans="1:18" x14ac:dyDescent="0.25">
      <c r="A6" s="36">
        <f>Données!A6</f>
        <v>5401</v>
      </c>
      <c r="B6" s="201" t="str">
        <f>Données!B6</f>
        <v>Aigle</v>
      </c>
      <c r="C6" s="350">
        <f>VPI!R6</f>
        <v>280916.50972222222</v>
      </c>
      <c r="D6" s="530">
        <f>Données!AP6</f>
        <v>5.9894084501822347</v>
      </c>
      <c r="E6" s="417">
        <f>VPI!Q6</f>
        <v>66</v>
      </c>
      <c r="F6" s="244">
        <f>E6-D6</f>
        <v>60.010591549817768</v>
      </c>
      <c r="G6" s="59">
        <f>Effort!I6+Aide!I6/Taux!C6+Effort!K6/Taux!C6</f>
        <v>-18.384056459280121</v>
      </c>
      <c r="H6" s="82">
        <f>F6+G6</f>
        <v>41.626535090537644</v>
      </c>
      <c r="I6" s="225">
        <f>IF(H6&gt;$I$5,H6-$I$5,0)</f>
        <v>0</v>
      </c>
      <c r="J6" s="64">
        <f>-I6*C6</f>
        <v>0</v>
      </c>
      <c r="K6" s="5"/>
      <c r="L6" s="10"/>
      <c r="M6" s="11"/>
      <c r="R6" s="11"/>
    </row>
    <row r="7" spans="1:18" x14ac:dyDescent="0.25">
      <c r="A7" s="38">
        <f>Données!A7</f>
        <v>5402</v>
      </c>
      <c r="B7" s="199" t="str">
        <f>Données!B7</f>
        <v>Bex</v>
      </c>
      <c r="C7" s="351">
        <f>VPI!R7</f>
        <v>192666.65084507043</v>
      </c>
      <c r="D7" s="531">
        <f>Données!AP7</f>
        <v>-2.8528019332807912</v>
      </c>
      <c r="E7" s="418">
        <f>VPI!Q7</f>
        <v>71</v>
      </c>
      <c r="F7" s="243">
        <f t="shared" ref="F7:F70" si="0">E7-D7</f>
        <v>73.852801933280787</v>
      </c>
      <c r="G7" s="240">
        <f>Effort!I7+Aide!I7/Taux!C7+Effort!K7/Taux!C7</f>
        <v>-19.44535630343562</v>
      </c>
      <c r="H7" s="83">
        <f t="shared" ref="H7:H70" si="1">F7+G7</f>
        <v>54.407445629845171</v>
      </c>
      <c r="I7" s="225">
        <f t="shared" ref="I7:I70" si="2">IF(H7&gt;$I$5,H7-$I$5,0)</f>
        <v>0</v>
      </c>
      <c r="J7" s="42">
        <f t="shared" ref="J7:J70" si="3">-I7*C7</f>
        <v>0</v>
      </c>
      <c r="K7" s="5"/>
      <c r="L7" s="10"/>
      <c r="M7" s="11"/>
      <c r="R7" s="11"/>
    </row>
    <row r="8" spans="1:18" x14ac:dyDescent="0.25">
      <c r="A8" s="38">
        <f>Données!A8</f>
        <v>5403</v>
      </c>
      <c r="B8" s="199" t="str">
        <f>Données!B8</f>
        <v>Chessel</v>
      </c>
      <c r="C8" s="351">
        <f>VPI!R8</f>
        <v>12085.365135135135</v>
      </c>
      <c r="D8" s="531">
        <f>Données!AP8</f>
        <v>14.42997854710622</v>
      </c>
      <c r="E8" s="418">
        <f>VPI!Q8</f>
        <v>74</v>
      </c>
      <c r="F8" s="243">
        <f t="shared" si="0"/>
        <v>59.570021452893783</v>
      </c>
      <c r="G8" s="240">
        <f>Effort!I8+Aide!I8/Taux!C8+Effort!K8/Taux!C8</f>
        <v>3.9139458703367769</v>
      </c>
      <c r="H8" s="83">
        <f t="shared" si="1"/>
        <v>63.483967323230559</v>
      </c>
      <c r="I8" s="225">
        <f t="shared" si="2"/>
        <v>0</v>
      </c>
      <c r="J8" s="42">
        <f t="shared" si="3"/>
        <v>0</v>
      </c>
      <c r="K8" s="5"/>
      <c r="L8" s="10"/>
      <c r="M8" s="11"/>
      <c r="R8" s="11"/>
    </row>
    <row r="9" spans="1:18" x14ac:dyDescent="0.25">
      <c r="A9" s="38">
        <f>Données!A9</f>
        <v>5404</v>
      </c>
      <c r="B9" s="199" t="str">
        <f>Données!B9</f>
        <v>Corbeyrier</v>
      </c>
      <c r="C9" s="351">
        <f>VPI!R9</f>
        <v>11580.799189189189</v>
      </c>
      <c r="D9" s="531">
        <f>Données!AP9</f>
        <v>16.197433850939603</v>
      </c>
      <c r="E9" s="418">
        <f>VPI!Q9</f>
        <v>74</v>
      </c>
      <c r="F9" s="243">
        <f t="shared" si="0"/>
        <v>57.802566149060397</v>
      </c>
      <c r="G9" s="240">
        <f>Effort!I9+Aide!I9/Taux!C9+Effort!K9/Taux!C9</f>
        <v>-5.5575645342913731</v>
      </c>
      <c r="H9" s="83">
        <f t="shared" si="1"/>
        <v>52.245001614769023</v>
      </c>
      <c r="I9" s="225">
        <f t="shared" si="2"/>
        <v>0</v>
      </c>
      <c r="J9" s="42">
        <f t="shared" si="3"/>
        <v>0</v>
      </c>
      <c r="K9" s="5"/>
      <c r="L9" s="10"/>
      <c r="M9" s="11"/>
      <c r="R9" s="11"/>
    </row>
    <row r="10" spans="1:18" x14ac:dyDescent="0.25">
      <c r="A10" s="38">
        <f>Données!A10</f>
        <v>5405</v>
      </c>
      <c r="B10" s="199" t="str">
        <f>Données!B10</f>
        <v>Gryon</v>
      </c>
      <c r="C10" s="351">
        <f>VPI!R10</f>
        <v>78106.688299319736</v>
      </c>
      <c r="D10" s="531">
        <f>Données!AP10</f>
        <v>37.195438873504408</v>
      </c>
      <c r="E10" s="418">
        <f>VPI!Q10</f>
        <v>73.5</v>
      </c>
      <c r="F10" s="243">
        <f t="shared" si="0"/>
        <v>36.304561126495592</v>
      </c>
      <c r="G10" s="240">
        <f>Effort!I10+Aide!I10/Taux!C10+Effort!K10/Taux!C10</f>
        <v>19.476994790451457</v>
      </c>
      <c r="H10" s="83">
        <f t="shared" si="1"/>
        <v>55.781555916947049</v>
      </c>
      <c r="I10" s="225">
        <f t="shared" si="2"/>
        <v>0</v>
      </c>
      <c r="J10" s="42">
        <f t="shared" si="3"/>
        <v>0</v>
      </c>
      <c r="K10" s="5"/>
      <c r="L10" s="10"/>
      <c r="M10" s="11"/>
      <c r="R10" s="11"/>
    </row>
    <row r="11" spans="1:18" x14ac:dyDescent="0.25">
      <c r="A11" s="38">
        <f>Données!A11</f>
        <v>5406</v>
      </c>
      <c r="B11" s="199" t="str">
        <f>Données!B11</f>
        <v>Lavey-Morcles</v>
      </c>
      <c r="C11" s="351">
        <f>VPI!R11</f>
        <v>21511.827778375475</v>
      </c>
      <c r="D11" s="531">
        <f>Données!AP11</f>
        <v>12.846695152270668</v>
      </c>
      <c r="E11" s="418">
        <f>VPI!Q11</f>
        <v>71.5</v>
      </c>
      <c r="F11" s="243">
        <f t="shared" si="0"/>
        <v>58.653304847729331</v>
      </c>
      <c r="G11" s="240">
        <f>Effort!I11+Aide!I11/Taux!C11+Effort!K11/Taux!C11</f>
        <v>-4.8938160570209028</v>
      </c>
      <c r="H11" s="83">
        <f t="shared" si="1"/>
        <v>53.759488790708431</v>
      </c>
      <c r="I11" s="225">
        <f t="shared" si="2"/>
        <v>0</v>
      </c>
      <c r="J11" s="42">
        <f t="shared" si="3"/>
        <v>0</v>
      </c>
      <c r="K11" s="5"/>
      <c r="L11" s="10"/>
      <c r="M11" s="11"/>
      <c r="R11" s="11"/>
    </row>
    <row r="12" spans="1:18" x14ac:dyDescent="0.25">
      <c r="A12" s="38">
        <f>Données!A12</f>
        <v>5407</v>
      </c>
      <c r="B12" s="199" t="str">
        <f>Données!B12</f>
        <v>Leysin</v>
      </c>
      <c r="C12" s="351">
        <f>VPI!R12</f>
        <v>90677.609059829061</v>
      </c>
      <c r="D12" s="531">
        <f>Données!AP12</f>
        <v>4.7824027080131488</v>
      </c>
      <c r="E12" s="418">
        <f>VPI!Q12</f>
        <v>78</v>
      </c>
      <c r="F12" s="243">
        <f t="shared" si="0"/>
        <v>73.217597291986849</v>
      </c>
      <c r="G12" s="240">
        <f>Effort!I12+Aide!I12/Taux!C12+Effort!K12/Taux!C12</f>
        <v>-26.03879677180409</v>
      </c>
      <c r="H12" s="83">
        <f t="shared" si="1"/>
        <v>47.178800520182762</v>
      </c>
      <c r="I12" s="225">
        <f t="shared" si="2"/>
        <v>0</v>
      </c>
      <c r="J12" s="42">
        <f t="shared" si="3"/>
        <v>0</v>
      </c>
      <c r="K12" s="5"/>
      <c r="L12" s="10"/>
      <c r="M12" s="11"/>
      <c r="R12" s="11"/>
    </row>
    <row r="13" spans="1:18" x14ac:dyDescent="0.25">
      <c r="A13" s="38">
        <f>Données!A13</f>
        <v>5408</v>
      </c>
      <c r="B13" s="199" t="str">
        <f>Données!B13</f>
        <v>Noville</v>
      </c>
      <c r="C13" s="351">
        <f>VPI!R13</f>
        <v>41378.888492569007</v>
      </c>
      <c r="D13" s="531">
        <f>Données!AP13</f>
        <v>26.266724314379495</v>
      </c>
      <c r="E13" s="418">
        <f>VPI!Q13</f>
        <v>78.5</v>
      </c>
      <c r="F13" s="243">
        <f t="shared" si="0"/>
        <v>52.233275685620505</v>
      </c>
      <c r="G13" s="240">
        <f>Effort!I13+Aide!I13/Taux!C13+Effort!K13/Taux!C13</f>
        <v>11.530629280488386</v>
      </c>
      <c r="H13" s="83">
        <f t="shared" si="1"/>
        <v>63.763904966108889</v>
      </c>
      <c r="I13" s="225">
        <f t="shared" si="2"/>
        <v>0</v>
      </c>
      <c r="J13" s="42">
        <f t="shared" si="3"/>
        <v>0</v>
      </c>
      <c r="K13" s="5"/>
      <c r="L13" s="10"/>
      <c r="M13" s="11"/>
      <c r="R13" s="11"/>
    </row>
    <row r="14" spans="1:18" x14ac:dyDescent="0.25">
      <c r="A14" s="38">
        <f>Données!A14</f>
        <v>5409</v>
      </c>
      <c r="B14" s="199" t="str">
        <f>Données!B14</f>
        <v>Ollon</v>
      </c>
      <c r="C14" s="351">
        <f>VPI!R14</f>
        <v>428223.81707013579</v>
      </c>
      <c r="D14" s="531">
        <f>Données!AP14</f>
        <v>30.84388659402752</v>
      </c>
      <c r="E14" s="418">
        <f>VPI!Q14</f>
        <v>68</v>
      </c>
      <c r="F14" s="243">
        <f t="shared" si="0"/>
        <v>37.156113405972476</v>
      </c>
      <c r="G14" s="240">
        <f>Effort!I14+Aide!I14/Taux!C14+Effort!K14/Taux!C14</f>
        <v>16.644660291874423</v>
      </c>
      <c r="H14" s="83">
        <f t="shared" si="1"/>
        <v>53.8007736978469</v>
      </c>
      <c r="I14" s="225">
        <f t="shared" si="2"/>
        <v>0</v>
      </c>
      <c r="J14" s="42">
        <f t="shared" si="3"/>
        <v>0</v>
      </c>
      <c r="K14" s="5"/>
      <c r="L14" s="10"/>
      <c r="M14" s="11"/>
      <c r="R14" s="11"/>
    </row>
    <row r="15" spans="1:18" x14ac:dyDescent="0.25">
      <c r="A15" s="38">
        <f>Données!A15</f>
        <v>5410</v>
      </c>
      <c r="B15" s="199" t="str">
        <f>Données!B15</f>
        <v>Ormont-Dessous</v>
      </c>
      <c r="C15" s="351">
        <f>VPI!R15</f>
        <v>38612.897532467534</v>
      </c>
      <c r="D15" s="531">
        <f>Données!AP15</f>
        <v>25.621418173221048</v>
      </c>
      <c r="E15" s="418">
        <f>VPI!Q15</f>
        <v>77</v>
      </c>
      <c r="F15" s="243">
        <f t="shared" si="0"/>
        <v>51.378581826778955</v>
      </c>
      <c r="G15" s="240">
        <f>Effort!I15+Aide!I15/Taux!C15+Effort!K15/Taux!C15</f>
        <v>-17.076325284290352</v>
      </c>
      <c r="H15" s="83">
        <f t="shared" si="1"/>
        <v>34.302256542488607</v>
      </c>
      <c r="I15" s="225">
        <f t="shared" si="2"/>
        <v>0</v>
      </c>
      <c r="J15" s="42">
        <f t="shared" si="3"/>
        <v>0</v>
      </c>
      <c r="K15" s="5"/>
      <c r="L15" s="10"/>
      <c r="M15" s="11"/>
      <c r="R15" s="11"/>
    </row>
    <row r="16" spans="1:18" x14ac:dyDescent="0.25">
      <c r="A16" s="38">
        <f>Données!A16</f>
        <v>5411</v>
      </c>
      <c r="B16" s="199" t="str">
        <f>Données!B16</f>
        <v>Ormont-Dessus</v>
      </c>
      <c r="C16" s="351">
        <f>VPI!R16</f>
        <v>77406.69241228071</v>
      </c>
      <c r="D16" s="531">
        <f>Données!AP16</f>
        <v>36.440583127553595</v>
      </c>
      <c r="E16" s="418">
        <f>VPI!Q16</f>
        <v>76</v>
      </c>
      <c r="F16" s="243">
        <f t="shared" si="0"/>
        <v>39.559416872446405</v>
      </c>
      <c r="G16" s="240">
        <f>Effort!I16+Aide!I16/Taux!C16+Effort!K16/Taux!C16</f>
        <v>17.382986561832897</v>
      </c>
      <c r="H16" s="83">
        <f t="shared" si="1"/>
        <v>56.942403434279299</v>
      </c>
      <c r="I16" s="225">
        <f t="shared" si="2"/>
        <v>0</v>
      </c>
      <c r="J16" s="42">
        <f t="shared" si="3"/>
        <v>0</v>
      </c>
      <c r="K16" s="5"/>
      <c r="L16" s="10"/>
      <c r="M16" s="11"/>
      <c r="R16" s="11"/>
    </row>
    <row r="17" spans="1:18" x14ac:dyDescent="0.25">
      <c r="A17" s="38">
        <f>Données!A17</f>
        <v>5412</v>
      </c>
      <c r="B17" s="199" t="str">
        <f>Données!B17</f>
        <v>Rennaz</v>
      </c>
      <c r="C17" s="351">
        <f>VPI!R17</f>
        <v>28866.898550724636</v>
      </c>
      <c r="D17" s="531">
        <f>Données!AP17</f>
        <v>28.530364586945129</v>
      </c>
      <c r="E17" s="418">
        <f>VPI!Q17</f>
        <v>69</v>
      </c>
      <c r="F17" s="243">
        <f t="shared" si="0"/>
        <v>40.469635413054874</v>
      </c>
      <c r="G17" s="240">
        <f>Effort!I17+Aide!I17/Taux!C17+Effort!K17/Taux!C17</f>
        <v>15.976299113300902</v>
      </c>
      <c r="H17" s="83">
        <f t="shared" si="1"/>
        <v>56.445934526355778</v>
      </c>
      <c r="I17" s="225">
        <f t="shared" si="2"/>
        <v>0</v>
      </c>
      <c r="J17" s="42">
        <f t="shared" si="3"/>
        <v>0</v>
      </c>
      <c r="K17" s="5"/>
      <c r="L17" s="10"/>
      <c r="M17" s="11"/>
      <c r="R17" s="11"/>
    </row>
    <row r="18" spans="1:18" x14ac:dyDescent="0.25">
      <c r="A18" s="38">
        <f>Données!A18</f>
        <v>5413</v>
      </c>
      <c r="B18" s="199" t="str">
        <f>Données!B18</f>
        <v>Roche</v>
      </c>
      <c r="C18" s="351">
        <f>VPI!R18</f>
        <v>43141.688749999994</v>
      </c>
      <c r="D18" s="531">
        <f>Données!AP18</f>
        <v>14.775634880523311</v>
      </c>
      <c r="E18" s="418">
        <f>VPI!Q18</f>
        <v>68</v>
      </c>
      <c r="F18" s="243">
        <f t="shared" si="0"/>
        <v>53.224365119476687</v>
      </c>
      <c r="G18" s="240">
        <f>Effort!I18+Aide!I18/Taux!C18+Effort!K18/Taux!C18</f>
        <v>-0.19829719831691861</v>
      </c>
      <c r="H18" s="83">
        <f t="shared" si="1"/>
        <v>53.026067921159765</v>
      </c>
      <c r="I18" s="225">
        <f t="shared" si="2"/>
        <v>0</v>
      </c>
      <c r="J18" s="42">
        <f t="shared" si="3"/>
        <v>0</v>
      </c>
      <c r="K18" s="5"/>
      <c r="L18" s="10"/>
      <c r="M18" s="11"/>
      <c r="R18" s="11"/>
    </row>
    <row r="19" spans="1:18" x14ac:dyDescent="0.25">
      <c r="A19" s="38">
        <f>Données!A19</f>
        <v>5414</v>
      </c>
      <c r="B19" s="199" t="str">
        <f>Données!B19</f>
        <v>Villeneuve</v>
      </c>
      <c r="C19" s="351">
        <f>VPI!R19</f>
        <v>185623.95377777779</v>
      </c>
      <c r="D19" s="531">
        <f>Données!AP19</f>
        <v>12.196902699502765</v>
      </c>
      <c r="E19" s="418">
        <f>VPI!Q19</f>
        <v>67.5</v>
      </c>
      <c r="F19" s="243">
        <f t="shared" si="0"/>
        <v>55.303097300497235</v>
      </c>
      <c r="G19" s="240">
        <f>Effort!I19+Aide!I19/Taux!C19+Effort!K19/Taux!C19</f>
        <v>-3.488722896610529</v>
      </c>
      <c r="H19" s="83">
        <f t="shared" si="1"/>
        <v>51.814374403886703</v>
      </c>
      <c r="I19" s="225">
        <f t="shared" si="2"/>
        <v>0</v>
      </c>
      <c r="J19" s="42">
        <f t="shared" si="3"/>
        <v>0</v>
      </c>
      <c r="K19" s="5"/>
      <c r="L19" s="10"/>
      <c r="M19" s="11"/>
      <c r="R19" s="11"/>
    </row>
    <row r="20" spans="1:18" x14ac:dyDescent="0.25">
      <c r="A20" s="38">
        <f>Données!A20</f>
        <v>5415</v>
      </c>
      <c r="B20" s="199" t="str">
        <f>Données!B20</f>
        <v>Yvorne</v>
      </c>
      <c r="C20" s="351">
        <f>VPI!R20</f>
        <v>35904.669044289032</v>
      </c>
      <c r="D20" s="531">
        <f>Données!AP20</f>
        <v>28.642154353716197</v>
      </c>
      <c r="E20" s="418">
        <f>VPI!Q20</f>
        <v>71.5</v>
      </c>
      <c r="F20" s="243">
        <f t="shared" si="0"/>
        <v>42.857845646283806</v>
      </c>
      <c r="G20" s="240">
        <f>Effort!I20+Aide!I20/Taux!C20+Effort!K20/Taux!C20</f>
        <v>13.87626204160812</v>
      </c>
      <c r="H20" s="83">
        <f t="shared" si="1"/>
        <v>56.734107687891928</v>
      </c>
      <c r="I20" s="225">
        <f t="shared" si="2"/>
        <v>0</v>
      </c>
      <c r="J20" s="42">
        <f t="shared" si="3"/>
        <v>0</v>
      </c>
      <c r="K20" s="5"/>
      <c r="L20" s="10"/>
      <c r="M20" s="11"/>
      <c r="R20" s="11"/>
    </row>
    <row r="21" spans="1:18" x14ac:dyDescent="0.25">
      <c r="A21" s="38">
        <f>Données!A21</f>
        <v>5422</v>
      </c>
      <c r="B21" s="199" t="str">
        <f>Données!B21</f>
        <v>Aubonne</v>
      </c>
      <c r="C21" s="351">
        <f>VPI!R21</f>
        <v>307027.61800000002</v>
      </c>
      <c r="D21" s="531">
        <f>Données!AP21</f>
        <v>38.309339109903867</v>
      </c>
      <c r="E21" s="418">
        <f>VPI!Q21</f>
        <v>70</v>
      </c>
      <c r="F21" s="243">
        <f t="shared" si="0"/>
        <v>31.690660890096133</v>
      </c>
      <c r="G21" s="240">
        <f>Effort!I21+Aide!I21/Taux!C21+Effort!K21/Taux!C21</f>
        <v>36.468066841771545</v>
      </c>
      <c r="H21" s="83">
        <f t="shared" si="1"/>
        <v>68.158727731867685</v>
      </c>
      <c r="I21" s="225">
        <f t="shared" si="2"/>
        <v>0</v>
      </c>
      <c r="J21" s="42">
        <f t="shared" si="3"/>
        <v>0</v>
      </c>
      <c r="K21" s="5"/>
      <c r="L21" s="10"/>
      <c r="M21" s="11"/>
      <c r="R21" s="11"/>
    </row>
    <row r="22" spans="1:18" x14ac:dyDescent="0.25">
      <c r="A22" s="38">
        <f>Données!A22</f>
        <v>5423</v>
      </c>
      <c r="B22" s="199" t="str">
        <f>Données!B22</f>
        <v>Ballens</v>
      </c>
      <c r="C22" s="351">
        <f>VPI!R22</f>
        <v>16194.081232876708</v>
      </c>
      <c r="D22" s="531">
        <f>Données!AP22</f>
        <v>20.959034921851142</v>
      </c>
      <c r="E22" s="418">
        <f>VPI!Q22</f>
        <v>73</v>
      </c>
      <c r="F22" s="243">
        <f t="shared" si="0"/>
        <v>52.040965078148858</v>
      </c>
      <c r="G22" s="240">
        <f>Effort!I22+Aide!I22/Taux!C22+Effort!K22/Taux!C22</f>
        <v>7.8925233273366349</v>
      </c>
      <c r="H22" s="83">
        <f t="shared" si="1"/>
        <v>59.933488405485491</v>
      </c>
      <c r="I22" s="225">
        <f t="shared" si="2"/>
        <v>0</v>
      </c>
      <c r="J22" s="42">
        <f t="shared" si="3"/>
        <v>0</v>
      </c>
      <c r="K22" s="5"/>
      <c r="L22" s="10"/>
      <c r="M22" s="11"/>
      <c r="R22" s="11"/>
    </row>
    <row r="23" spans="1:18" x14ac:dyDescent="0.25">
      <c r="A23" s="38">
        <f>Données!A23</f>
        <v>5424</v>
      </c>
      <c r="B23" s="199" t="str">
        <f>Données!B23</f>
        <v>Berolle</v>
      </c>
      <c r="C23" s="351">
        <f>VPI!R23</f>
        <v>8301.7307284768212</v>
      </c>
      <c r="D23" s="531">
        <f>Données!AP23</f>
        <v>18.570387905574659</v>
      </c>
      <c r="E23" s="418">
        <f>VPI!Q23</f>
        <v>75.5</v>
      </c>
      <c r="F23" s="243">
        <f t="shared" si="0"/>
        <v>56.929612094425337</v>
      </c>
      <c r="G23" s="240">
        <f>Effort!I23+Aide!I23/Taux!C23+Effort!K23/Taux!C23</f>
        <v>0.46155823895440662</v>
      </c>
      <c r="H23" s="83">
        <f t="shared" si="1"/>
        <v>57.391170333379748</v>
      </c>
      <c r="I23" s="225">
        <f t="shared" si="2"/>
        <v>0</v>
      </c>
      <c r="J23" s="42">
        <f t="shared" si="3"/>
        <v>0</v>
      </c>
      <c r="K23" s="5"/>
      <c r="L23" s="10"/>
      <c r="M23" s="11"/>
      <c r="R23" s="11"/>
    </row>
    <row r="24" spans="1:18" x14ac:dyDescent="0.25">
      <c r="A24" s="38">
        <f>Données!A24</f>
        <v>5425</v>
      </c>
      <c r="B24" s="199" t="str">
        <f>Données!B24</f>
        <v>Bière</v>
      </c>
      <c r="C24" s="351">
        <f>VPI!R24</f>
        <v>44215.914072963518</v>
      </c>
      <c r="D24" s="531">
        <f>Données!AP24</f>
        <v>12.252378865117905</v>
      </c>
      <c r="E24" s="418">
        <f>VPI!Q24</f>
        <v>69</v>
      </c>
      <c r="F24" s="243">
        <f t="shared" si="0"/>
        <v>56.747621134882095</v>
      </c>
      <c r="G24" s="240">
        <f>Effort!I24+Aide!I24/Taux!C24+Effort!K24/Taux!C24</f>
        <v>-7.6711888709118057</v>
      </c>
      <c r="H24" s="83">
        <f t="shared" si="1"/>
        <v>49.07643226397029</v>
      </c>
      <c r="I24" s="225">
        <f t="shared" si="2"/>
        <v>0</v>
      </c>
      <c r="J24" s="42">
        <f t="shared" si="3"/>
        <v>0</v>
      </c>
      <c r="K24" s="5"/>
      <c r="L24" s="10"/>
      <c r="M24" s="11"/>
      <c r="R24" s="11"/>
    </row>
    <row r="25" spans="1:18" x14ac:dyDescent="0.25">
      <c r="A25" s="38">
        <f>Données!A25</f>
        <v>5426</v>
      </c>
      <c r="B25" s="199" t="str">
        <f>Données!B25</f>
        <v>Bougy-Villars</v>
      </c>
      <c r="C25" s="351">
        <f>VPI!R25</f>
        <v>53043.343074935401</v>
      </c>
      <c r="D25" s="531">
        <f>Données!AP25</f>
        <v>50.420879580609423</v>
      </c>
      <c r="E25" s="418">
        <f>VPI!Q25</f>
        <v>64.5</v>
      </c>
      <c r="F25" s="243">
        <f t="shared" si="0"/>
        <v>14.079120419390577</v>
      </c>
      <c r="G25" s="240">
        <f>Effort!I25+Aide!I25/Taux!C25+Effort!K25/Taux!C25</f>
        <v>43.60737895001273</v>
      </c>
      <c r="H25" s="83">
        <f t="shared" si="1"/>
        <v>57.686499369403307</v>
      </c>
      <c r="I25" s="225">
        <f t="shared" si="2"/>
        <v>0</v>
      </c>
      <c r="J25" s="42">
        <f t="shared" si="3"/>
        <v>0</v>
      </c>
      <c r="K25" s="5"/>
      <c r="L25" s="10"/>
      <c r="M25" s="11"/>
      <c r="R25" s="11"/>
    </row>
    <row r="26" spans="1:18" x14ac:dyDescent="0.25">
      <c r="A26" s="38">
        <f>Données!A26</f>
        <v>5427</v>
      </c>
      <c r="B26" s="199" t="str">
        <f>Données!B26</f>
        <v>Féchy</v>
      </c>
      <c r="C26" s="351">
        <f>VPI!R26</f>
        <v>88211.829663461554</v>
      </c>
      <c r="D26" s="531">
        <f>Données!AP26</f>
        <v>43.613960786583064</v>
      </c>
      <c r="E26" s="418">
        <f>VPI!Q26</f>
        <v>64</v>
      </c>
      <c r="F26" s="243">
        <f t="shared" si="0"/>
        <v>20.386039213416936</v>
      </c>
      <c r="G26" s="240">
        <f>Effort!I26+Aide!I26/Taux!C26+Effort!K26/Taux!C26</f>
        <v>41.861543949471631</v>
      </c>
      <c r="H26" s="83">
        <f t="shared" si="1"/>
        <v>62.247583162888567</v>
      </c>
      <c r="I26" s="225">
        <f t="shared" si="2"/>
        <v>0</v>
      </c>
      <c r="J26" s="42">
        <f t="shared" si="3"/>
        <v>0</v>
      </c>
      <c r="K26" s="5"/>
      <c r="L26" s="10"/>
      <c r="M26" s="11"/>
      <c r="R26" s="11"/>
    </row>
    <row r="27" spans="1:18" x14ac:dyDescent="0.25">
      <c r="A27" s="38">
        <f>Données!A27</f>
        <v>5428</v>
      </c>
      <c r="B27" s="199" t="str">
        <f>Données!B27</f>
        <v>Gimel</v>
      </c>
      <c r="C27" s="351">
        <f>VPI!R27</f>
        <v>70557.620626398202</v>
      </c>
      <c r="D27" s="531">
        <f>Données!AP27</f>
        <v>21.051615581499629</v>
      </c>
      <c r="E27" s="418">
        <f>VPI!Q27</f>
        <v>74.5</v>
      </c>
      <c r="F27" s="243">
        <f t="shared" si="0"/>
        <v>53.448384418500368</v>
      </c>
      <c r="G27" s="240">
        <f>Effort!I27+Aide!I27/Taux!C27+Effort!K27/Taux!C27</f>
        <v>0.90982112893546585</v>
      </c>
      <c r="H27" s="83">
        <f t="shared" si="1"/>
        <v>54.35820554743583</v>
      </c>
      <c r="I27" s="225">
        <f t="shared" si="2"/>
        <v>0</v>
      </c>
      <c r="J27" s="42">
        <f t="shared" si="3"/>
        <v>0</v>
      </c>
      <c r="K27" s="5"/>
      <c r="L27" s="10"/>
      <c r="M27" s="11"/>
      <c r="R27" s="11"/>
    </row>
    <row r="28" spans="1:18" x14ac:dyDescent="0.25">
      <c r="A28" s="38">
        <f>Données!A28</f>
        <v>5429</v>
      </c>
      <c r="B28" s="199" t="str">
        <f>Données!B28</f>
        <v>Longirod</v>
      </c>
      <c r="C28" s="351">
        <f>VPI!R28</f>
        <v>18573.92709677419</v>
      </c>
      <c r="D28" s="531">
        <f>Données!AP28</f>
        <v>22.928749630880251</v>
      </c>
      <c r="E28" s="418">
        <f>VPI!Q28</f>
        <v>77.5</v>
      </c>
      <c r="F28" s="243">
        <f t="shared" si="0"/>
        <v>54.571250369119753</v>
      </c>
      <c r="G28" s="240">
        <f>Effort!I28+Aide!I28/Taux!C28+Effort!K28/Taux!C28</f>
        <v>15.354913127420261</v>
      </c>
      <c r="H28" s="83">
        <f t="shared" si="1"/>
        <v>69.926163496540013</v>
      </c>
      <c r="I28" s="225">
        <f t="shared" si="2"/>
        <v>0</v>
      </c>
      <c r="J28" s="42">
        <f t="shared" si="3"/>
        <v>0</v>
      </c>
      <c r="K28" s="5"/>
      <c r="L28" s="10"/>
      <c r="M28" s="11"/>
      <c r="R28" s="11"/>
    </row>
    <row r="29" spans="1:18" x14ac:dyDescent="0.25">
      <c r="A29" s="38">
        <f>Données!A29</f>
        <v>5430</v>
      </c>
      <c r="B29" s="199" t="str">
        <f>Données!B29</f>
        <v>Marchissy</v>
      </c>
      <c r="C29" s="351">
        <f>VPI!R29</f>
        <v>15580.605290322583</v>
      </c>
      <c r="D29" s="531">
        <f>Données!AP29</f>
        <v>20.804152179773769</v>
      </c>
      <c r="E29" s="418">
        <f>VPI!Q29</f>
        <v>77.5</v>
      </c>
      <c r="F29" s="243">
        <f t="shared" si="0"/>
        <v>56.695847820226234</v>
      </c>
      <c r="G29" s="240">
        <f>Effort!I29+Aide!I29/Taux!C29+Effort!K29/Taux!C29</f>
        <v>12.272869258567152</v>
      </c>
      <c r="H29" s="83">
        <f t="shared" si="1"/>
        <v>68.968717078793389</v>
      </c>
      <c r="I29" s="225">
        <f t="shared" si="2"/>
        <v>0</v>
      </c>
      <c r="J29" s="42">
        <f t="shared" si="3"/>
        <v>0</v>
      </c>
      <c r="K29" s="5"/>
      <c r="L29" s="10"/>
      <c r="M29" s="11"/>
      <c r="R29" s="11"/>
    </row>
    <row r="30" spans="1:18" x14ac:dyDescent="0.25">
      <c r="A30" s="38">
        <f>Données!A30</f>
        <v>5431</v>
      </c>
      <c r="B30" s="199" t="str">
        <f>Données!B30</f>
        <v>Mollens</v>
      </c>
      <c r="C30" s="351">
        <f>VPI!R30</f>
        <v>10464.936351351351</v>
      </c>
      <c r="D30" s="531">
        <f>Données!AP30</f>
        <v>24.816501733559328</v>
      </c>
      <c r="E30" s="418">
        <f>VPI!Q30</f>
        <v>74</v>
      </c>
      <c r="F30" s="243">
        <f t="shared" si="0"/>
        <v>49.183498266440672</v>
      </c>
      <c r="G30" s="240">
        <f>Effort!I30+Aide!I30/Taux!C30+Effort!K30/Taux!C30</f>
        <v>14.277774888853028</v>
      </c>
      <c r="H30" s="83">
        <f t="shared" si="1"/>
        <v>63.461273155293696</v>
      </c>
      <c r="I30" s="225">
        <f t="shared" si="2"/>
        <v>0</v>
      </c>
      <c r="J30" s="42">
        <f t="shared" si="3"/>
        <v>0</v>
      </c>
      <c r="K30" s="5"/>
      <c r="L30" s="10"/>
      <c r="M30" s="11"/>
      <c r="R30" s="11"/>
    </row>
    <row r="31" spans="1:18" x14ac:dyDescent="0.25">
      <c r="A31" s="38">
        <f>Données!A31</f>
        <v>5434</v>
      </c>
      <c r="B31" s="199" t="str">
        <f>Données!B31</f>
        <v>Saint-George</v>
      </c>
      <c r="C31" s="351">
        <f>VPI!R31</f>
        <v>43543.93829736211</v>
      </c>
      <c r="D31" s="531">
        <f>Données!AP31</f>
        <v>28.744822434434074</v>
      </c>
      <c r="E31" s="418">
        <f>VPI!Q31</f>
        <v>69.5</v>
      </c>
      <c r="F31" s="243">
        <f t="shared" si="0"/>
        <v>40.75517756556593</v>
      </c>
      <c r="G31" s="240">
        <f>Effort!I31+Aide!I31/Taux!C31+Effort!K31/Taux!C31</f>
        <v>23.278072191681289</v>
      </c>
      <c r="H31" s="83">
        <f t="shared" si="1"/>
        <v>64.033249757247219</v>
      </c>
      <c r="I31" s="225">
        <f t="shared" si="2"/>
        <v>0</v>
      </c>
      <c r="J31" s="42">
        <f t="shared" si="3"/>
        <v>0</v>
      </c>
      <c r="K31" s="5"/>
      <c r="L31" s="10"/>
      <c r="M31" s="11"/>
      <c r="R31" s="11"/>
    </row>
    <row r="32" spans="1:18" x14ac:dyDescent="0.25">
      <c r="A32" s="38">
        <f>Données!A32</f>
        <v>5435</v>
      </c>
      <c r="B32" s="199" t="str">
        <f>Données!B32</f>
        <v>Saint-Livres</v>
      </c>
      <c r="C32" s="351">
        <f>VPI!R32</f>
        <v>25853.824637681166</v>
      </c>
      <c r="D32" s="531">
        <f>Données!AP32</f>
        <v>29.433839938265265</v>
      </c>
      <c r="E32" s="418">
        <f>VPI!Q32</f>
        <v>69</v>
      </c>
      <c r="F32" s="243">
        <f t="shared" si="0"/>
        <v>39.566160061734735</v>
      </c>
      <c r="G32" s="240">
        <f>Effort!I32+Aide!I32/Taux!C32+Effort!K32/Taux!C32</f>
        <v>23.80826469372948</v>
      </c>
      <c r="H32" s="83">
        <f t="shared" si="1"/>
        <v>63.374424755464219</v>
      </c>
      <c r="I32" s="225">
        <f t="shared" si="2"/>
        <v>0</v>
      </c>
      <c r="J32" s="42">
        <f t="shared" si="3"/>
        <v>0</v>
      </c>
      <c r="K32" s="5"/>
      <c r="L32" s="10"/>
      <c r="M32" s="11"/>
      <c r="R32" s="11"/>
    </row>
    <row r="33" spans="1:18" x14ac:dyDescent="0.25">
      <c r="A33" s="38">
        <f>Données!A33</f>
        <v>5436</v>
      </c>
      <c r="B33" s="199" t="str">
        <f>Données!B33</f>
        <v>Saint-Oyens</v>
      </c>
      <c r="C33" s="351">
        <f>VPI!R33</f>
        <v>16868.155185185187</v>
      </c>
      <c r="D33" s="531">
        <f>Données!AP33</f>
        <v>25.098676775138053</v>
      </c>
      <c r="E33" s="418">
        <f>VPI!Q33</f>
        <v>81</v>
      </c>
      <c r="F33" s="243">
        <f t="shared" si="0"/>
        <v>55.901323224861947</v>
      </c>
      <c r="G33" s="240">
        <f>Effort!I33+Aide!I33/Taux!C33+Effort!K33/Taux!C33</f>
        <v>20.570165204417506</v>
      </c>
      <c r="H33" s="83">
        <f t="shared" si="1"/>
        <v>76.471488429279447</v>
      </c>
      <c r="I33" s="225">
        <f t="shared" si="2"/>
        <v>0</v>
      </c>
      <c r="J33" s="42">
        <f t="shared" si="3"/>
        <v>0</v>
      </c>
      <c r="K33" s="5"/>
      <c r="L33" s="10"/>
      <c r="M33" s="11"/>
      <c r="R33" s="11"/>
    </row>
    <row r="34" spans="1:18" x14ac:dyDescent="0.25">
      <c r="A34" s="38">
        <f>Données!A34</f>
        <v>5437</v>
      </c>
      <c r="B34" s="199" t="str">
        <f>Données!B34</f>
        <v>Saubraz</v>
      </c>
      <c r="C34" s="351">
        <f>VPI!R34</f>
        <v>13551.123374999999</v>
      </c>
      <c r="D34" s="531">
        <f>Données!AP34</f>
        <v>22.09565084807473</v>
      </c>
      <c r="E34" s="418">
        <f>VPI!Q34</f>
        <v>80</v>
      </c>
      <c r="F34" s="243">
        <f t="shared" si="0"/>
        <v>57.904349151925274</v>
      </c>
      <c r="G34" s="240">
        <f>Effort!I34+Aide!I34/Taux!C34+Effort!K34/Taux!C34</f>
        <v>-13.169128892557875</v>
      </c>
      <c r="H34" s="83">
        <f t="shared" si="1"/>
        <v>44.735220259367395</v>
      </c>
      <c r="I34" s="225">
        <f t="shared" si="2"/>
        <v>0</v>
      </c>
      <c r="J34" s="42">
        <f t="shared" si="3"/>
        <v>0</v>
      </c>
      <c r="K34" s="5"/>
      <c r="L34" s="10"/>
      <c r="M34" s="11"/>
      <c r="R34" s="11"/>
    </row>
    <row r="35" spans="1:18" x14ac:dyDescent="0.25">
      <c r="A35" s="38">
        <f>Données!A35</f>
        <v>5451</v>
      </c>
      <c r="B35" s="199" t="str">
        <f>Données!B35</f>
        <v>Avenches</v>
      </c>
      <c r="C35" s="351">
        <f>VPI!R35</f>
        <v>137788.88576441104</v>
      </c>
      <c r="D35" s="531">
        <f>Données!AP35</f>
        <v>14.698892807111354</v>
      </c>
      <c r="E35" s="418">
        <f>VPI!Q35</f>
        <v>66.5</v>
      </c>
      <c r="F35" s="243">
        <f t="shared" si="0"/>
        <v>51.801107192888644</v>
      </c>
      <c r="G35" s="240">
        <f>Effort!I35+Aide!I35/Taux!C35+Effort!K35/Taux!C35</f>
        <v>-1.3214726074976575</v>
      </c>
      <c r="H35" s="83">
        <f t="shared" si="1"/>
        <v>50.479634585390983</v>
      </c>
      <c r="I35" s="225">
        <f t="shared" si="2"/>
        <v>0</v>
      </c>
      <c r="J35" s="42">
        <f t="shared" si="3"/>
        <v>0</v>
      </c>
      <c r="K35" s="5"/>
      <c r="L35" s="10"/>
      <c r="M35" s="11"/>
      <c r="R35" s="11"/>
    </row>
    <row r="36" spans="1:18" x14ac:dyDescent="0.25">
      <c r="A36" s="38">
        <f>Données!A36</f>
        <v>5456</v>
      </c>
      <c r="B36" s="199" t="str">
        <f>Données!B36</f>
        <v>Cudrefin</v>
      </c>
      <c r="C36" s="351">
        <f>VPI!R36</f>
        <v>64142.52694915254</v>
      </c>
      <c r="D36" s="531">
        <f>Données!AP36</f>
        <v>26.558717648473817</v>
      </c>
      <c r="E36" s="418">
        <f>VPI!Q36</f>
        <v>59</v>
      </c>
      <c r="F36" s="243">
        <f t="shared" si="0"/>
        <v>32.441282351526183</v>
      </c>
      <c r="G36" s="240">
        <f>Effort!I36+Aide!I36/Taux!C36+Effort!K36/Taux!C36</f>
        <v>15.689737775681275</v>
      </c>
      <c r="H36" s="83">
        <f t="shared" si="1"/>
        <v>48.131020127207456</v>
      </c>
      <c r="I36" s="225">
        <f t="shared" si="2"/>
        <v>0</v>
      </c>
      <c r="J36" s="42">
        <f t="shared" si="3"/>
        <v>0</v>
      </c>
      <c r="K36" s="5"/>
      <c r="L36" s="10"/>
      <c r="M36" s="11"/>
      <c r="R36" s="11"/>
    </row>
    <row r="37" spans="1:18" x14ac:dyDescent="0.25">
      <c r="A37" s="38">
        <f>Données!A37</f>
        <v>5458</v>
      </c>
      <c r="B37" s="199" t="str">
        <f>Données!B37</f>
        <v>Faoug</v>
      </c>
      <c r="C37" s="351">
        <f>VPI!R37</f>
        <v>34719.981076923075</v>
      </c>
      <c r="D37" s="531">
        <f>Données!AP37</f>
        <v>28.341943490592183</v>
      </c>
      <c r="E37" s="418">
        <f>VPI!Q37</f>
        <v>65</v>
      </c>
      <c r="F37" s="243">
        <f t="shared" si="0"/>
        <v>36.658056509407814</v>
      </c>
      <c r="G37" s="240">
        <f>Effort!I37+Aide!I37/Taux!C37+Effort!K37/Taux!C37</f>
        <v>21.655361545326834</v>
      </c>
      <c r="H37" s="83">
        <f t="shared" si="1"/>
        <v>58.313418054734647</v>
      </c>
      <c r="I37" s="225">
        <f t="shared" si="2"/>
        <v>0</v>
      </c>
      <c r="J37" s="42">
        <f t="shared" si="3"/>
        <v>0</v>
      </c>
      <c r="K37" s="5"/>
      <c r="L37" s="10"/>
      <c r="M37" s="11"/>
      <c r="R37" s="11"/>
    </row>
    <row r="38" spans="1:18" x14ac:dyDescent="0.25">
      <c r="A38" s="38">
        <f>Données!A38</f>
        <v>5464</v>
      </c>
      <c r="B38" s="199" t="str">
        <f>Données!B38</f>
        <v>Vully-les-Lacs</v>
      </c>
      <c r="C38" s="351">
        <f>VPI!R38</f>
        <v>119166.87835820897</v>
      </c>
      <c r="D38" s="531">
        <f>Données!AP38</f>
        <v>19.903538686228934</v>
      </c>
      <c r="E38" s="418">
        <f>VPI!Q38</f>
        <v>67</v>
      </c>
      <c r="F38" s="243">
        <f t="shared" si="0"/>
        <v>47.096461313771066</v>
      </c>
      <c r="G38" s="240">
        <f>Effort!I38+Aide!I38/Taux!C38+Effort!K38/Taux!C38</f>
        <v>13.237176845074289</v>
      </c>
      <c r="H38" s="83">
        <f t="shared" si="1"/>
        <v>60.333638158845353</v>
      </c>
      <c r="I38" s="225">
        <f t="shared" si="2"/>
        <v>0</v>
      </c>
      <c r="J38" s="42">
        <f t="shared" si="3"/>
        <v>0</v>
      </c>
      <c r="K38" s="5"/>
      <c r="L38" s="10"/>
      <c r="M38" s="11"/>
      <c r="R38" s="11"/>
    </row>
    <row r="39" spans="1:18" x14ac:dyDescent="0.25">
      <c r="A39" s="38">
        <f>Données!A39</f>
        <v>5471</v>
      </c>
      <c r="B39" s="199" t="str">
        <f>Données!B39</f>
        <v>Bettens</v>
      </c>
      <c r="C39" s="351">
        <f>VPI!R39</f>
        <v>22887.22226984127</v>
      </c>
      <c r="D39" s="531">
        <f>Données!AP39</f>
        <v>22.986411125903011</v>
      </c>
      <c r="E39" s="418">
        <f>VPI!Q39</f>
        <v>70</v>
      </c>
      <c r="F39" s="243">
        <f t="shared" si="0"/>
        <v>47.013588874096989</v>
      </c>
      <c r="G39" s="240">
        <f>Effort!I39+Aide!I39/Taux!C39+Effort!K39/Taux!C39</f>
        <v>21.205042547274736</v>
      </c>
      <c r="H39" s="83">
        <f t="shared" si="1"/>
        <v>68.218631421371725</v>
      </c>
      <c r="I39" s="225">
        <f t="shared" si="2"/>
        <v>0</v>
      </c>
      <c r="J39" s="42">
        <f t="shared" si="3"/>
        <v>0</v>
      </c>
      <c r="K39" s="5"/>
      <c r="L39" s="10"/>
      <c r="M39" s="11"/>
      <c r="R39" s="11"/>
    </row>
    <row r="40" spans="1:18" x14ac:dyDescent="0.25">
      <c r="A40" s="38">
        <f>Données!A40</f>
        <v>5472</v>
      </c>
      <c r="B40" s="199" t="str">
        <f>Données!B40</f>
        <v>Bournens</v>
      </c>
      <c r="C40" s="351">
        <f>VPI!R40</f>
        <v>22175.50986111111</v>
      </c>
      <c r="D40" s="531">
        <f>Données!AP40</f>
        <v>32.512141281651189</v>
      </c>
      <c r="E40" s="418">
        <f>VPI!Q40</f>
        <v>72</v>
      </c>
      <c r="F40" s="243">
        <f t="shared" si="0"/>
        <v>39.487858718348811</v>
      </c>
      <c r="G40" s="240">
        <f>Effort!I40+Aide!I40/Taux!C40+Effort!K40/Taux!C40</f>
        <v>26.255408299516439</v>
      </c>
      <c r="H40" s="83">
        <f t="shared" si="1"/>
        <v>65.74326701786525</v>
      </c>
      <c r="I40" s="225">
        <f t="shared" si="2"/>
        <v>0</v>
      </c>
      <c r="J40" s="42">
        <f t="shared" si="3"/>
        <v>0</v>
      </c>
      <c r="K40" s="5"/>
      <c r="L40" s="10"/>
      <c r="M40" s="11"/>
      <c r="R40" s="11"/>
    </row>
    <row r="41" spans="1:18" x14ac:dyDescent="0.25">
      <c r="A41" s="38">
        <f>Données!A41</f>
        <v>5473</v>
      </c>
      <c r="B41" s="199" t="str">
        <f>Données!B41</f>
        <v>Boussens</v>
      </c>
      <c r="C41" s="351">
        <f>VPI!R41</f>
        <v>37058.091851851859</v>
      </c>
      <c r="D41" s="531">
        <f>Données!AP41</f>
        <v>27.731932524908935</v>
      </c>
      <c r="E41" s="418">
        <f>VPI!Q41</f>
        <v>67.5</v>
      </c>
      <c r="F41" s="243">
        <f t="shared" si="0"/>
        <v>39.768067475091065</v>
      </c>
      <c r="G41" s="240">
        <f>Effort!I41+Aide!I41/Taux!C41+Effort!K41/Taux!C41</f>
        <v>23.118548014427315</v>
      </c>
      <c r="H41" s="83">
        <f t="shared" si="1"/>
        <v>62.886615489518377</v>
      </c>
      <c r="I41" s="225">
        <f t="shared" si="2"/>
        <v>0</v>
      </c>
      <c r="J41" s="42">
        <f t="shared" si="3"/>
        <v>0</v>
      </c>
      <c r="K41" s="5"/>
      <c r="L41" s="10"/>
      <c r="M41" s="11"/>
      <c r="R41" s="11"/>
    </row>
    <row r="42" spans="1:18" x14ac:dyDescent="0.25">
      <c r="A42" s="38">
        <f>Données!A42</f>
        <v>5474</v>
      </c>
      <c r="B42" s="199" t="str">
        <f>Données!B42</f>
        <v>La Chaux (Cossonay)</v>
      </c>
      <c r="C42" s="351">
        <f>VPI!R42</f>
        <v>12904.367324561405</v>
      </c>
      <c r="D42" s="531">
        <f>Données!AP42</f>
        <v>25.44047950118885</v>
      </c>
      <c r="E42" s="418">
        <f>VPI!Q42</f>
        <v>76</v>
      </c>
      <c r="F42" s="243">
        <f t="shared" si="0"/>
        <v>50.559520498811153</v>
      </c>
      <c r="G42" s="240">
        <f>Effort!I42+Aide!I42/Taux!C42+Effort!K42/Taux!C42</f>
        <v>-0.84821897701266735</v>
      </c>
      <c r="H42" s="83">
        <f t="shared" si="1"/>
        <v>49.711301521798489</v>
      </c>
      <c r="I42" s="225">
        <f t="shared" si="2"/>
        <v>0</v>
      </c>
      <c r="J42" s="42">
        <f t="shared" si="3"/>
        <v>0</v>
      </c>
      <c r="K42" s="5"/>
      <c r="L42" s="10"/>
      <c r="M42" s="11"/>
      <c r="R42" s="11"/>
    </row>
    <row r="43" spans="1:18" x14ac:dyDescent="0.25">
      <c r="A43" s="38">
        <f>Données!A43</f>
        <v>5475</v>
      </c>
      <c r="B43" s="199" t="str">
        <f>Données!B43</f>
        <v>Chavannes-le-Veyron</v>
      </c>
      <c r="C43" s="351">
        <f>VPI!R43</f>
        <v>4277.2565333333332</v>
      </c>
      <c r="D43" s="531">
        <f>Données!AP43</f>
        <v>12.706555216640416</v>
      </c>
      <c r="E43" s="418">
        <f>VPI!Q43</f>
        <v>75</v>
      </c>
      <c r="F43" s="243">
        <f t="shared" si="0"/>
        <v>62.293444783359583</v>
      </c>
      <c r="G43" s="240">
        <f>Effort!I43+Aide!I43/Taux!C43+Effort!K43/Taux!C43</f>
        <v>4.2420856274803569</v>
      </c>
      <c r="H43" s="83">
        <f t="shared" si="1"/>
        <v>66.535530410839939</v>
      </c>
      <c r="I43" s="225">
        <f t="shared" si="2"/>
        <v>0</v>
      </c>
      <c r="J43" s="42">
        <f t="shared" si="3"/>
        <v>0</v>
      </c>
      <c r="K43" s="5"/>
      <c r="L43" s="10"/>
      <c r="M43" s="11"/>
      <c r="R43" s="11"/>
    </row>
    <row r="44" spans="1:18" x14ac:dyDescent="0.25">
      <c r="A44" s="38">
        <f>Données!A44</f>
        <v>5476</v>
      </c>
      <c r="B44" s="199" t="str">
        <f>Données!B44</f>
        <v>Chevilly</v>
      </c>
      <c r="C44" s="351">
        <f>VPI!R44</f>
        <v>12081.593793103451</v>
      </c>
      <c r="D44" s="531">
        <f>Données!AP44</f>
        <v>25.83212373102582</v>
      </c>
      <c r="E44" s="418">
        <f>VPI!Q44</f>
        <v>72.5</v>
      </c>
      <c r="F44" s="243">
        <f t="shared" si="0"/>
        <v>46.667876268974183</v>
      </c>
      <c r="G44" s="240">
        <f>Effort!I44+Aide!I44/Taux!C44+Effort!K44/Taux!C44</f>
        <v>21.972456175404112</v>
      </c>
      <c r="H44" s="83">
        <f t="shared" si="1"/>
        <v>68.640332444378288</v>
      </c>
      <c r="I44" s="225">
        <f t="shared" si="2"/>
        <v>0</v>
      </c>
      <c r="J44" s="42">
        <f t="shared" si="3"/>
        <v>0</v>
      </c>
      <c r="K44" s="5"/>
      <c r="L44" s="10"/>
      <c r="M44" s="11"/>
      <c r="R44" s="11"/>
    </row>
    <row r="45" spans="1:18" x14ac:dyDescent="0.25">
      <c r="A45" s="38">
        <f>Données!A45</f>
        <v>5477</v>
      </c>
      <c r="B45" s="199" t="str">
        <f>Données!B45</f>
        <v>Cossonay</v>
      </c>
      <c r="C45" s="351">
        <f>VPI!R45</f>
        <v>142576.66388489207</v>
      </c>
      <c r="D45" s="531">
        <f>Données!AP45</f>
        <v>15.632763304990986</v>
      </c>
      <c r="E45" s="418">
        <f>VPI!Q45</f>
        <v>69.5</v>
      </c>
      <c r="F45" s="243">
        <f t="shared" si="0"/>
        <v>53.867236695009012</v>
      </c>
      <c r="G45" s="240">
        <f>Effort!I45+Aide!I45/Taux!C45+Effort!K45/Taux!C45</f>
        <v>6.7136482736671148</v>
      </c>
      <c r="H45" s="83">
        <f t="shared" si="1"/>
        <v>60.580884968676131</v>
      </c>
      <c r="I45" s="225">
        <f t="shared" si="2"/>
        <v>0</v>
      </c>
      <c r="J45" s="42">
        <f t="shared" si="3"/>
        <v>0</v>
      </c>
      <c r="K45" s="5"/>
      <c r="L45" s="10"/>
      <c r="M45" s="11"/>
      <c r="R45" s="11"/>
    </row>
    <row r="46" spans="1:18" x14ac:dyDescent="0.25">
      <c r="A46" s="38">
        <f>Données!A46</f>
        <v>5479</v>
      </c>
      <c r="B46" s="199" t="str">
        <f>Données!B46</f>
        <v>Cuarnens</v>
      </c>
      <c r="C46" s="351">
        <f>VPI!R46</f>
        <v>17984.468961038958</v>
      </c>
      <c r="D46" s="531">
        <f>Données!AP46</f>
        <v>26.552508323685771</v>
      </c>
      <c r="E46" s="418">
        <f>VPI!Q46</f>
        <v>77</v>
      </c>
      <c r="F46" s="243">
        <f t="shared" si="0"/>
        <v>50.447491676314229</v>
      </c>
      <c r="G46" s="240">
        <f>Effort!I46+Aide!I46/Taux!C46+Effort!K46/Taux!C46</f>
        <v>12.937008277920885</v>
      </c>
      <c r="H46" s="83">
        <f t="shared" si="1"/>
        <v>63.38449995423511</v>
      </c>
      <c r="I46" s="225">
        <f t="shared" si="2"/>
        <v>0</v>
      </c>
      <c r="J46" s="42">
        <f t="shared" si="3"/>
        <v>0</v>
      </c>
      <c r="K46" s="5"/>
      <c r="L46" s="10"/>
      <c r="M46" s="11"/>
      <c r="R46" s="11"/>
    </row>
    <row r="47" spans="1:18" x14ac:dyDescent="0.25">
      <c r="A47" s="38">
        <f>Données!A47</f>
        <v>5480</v>
      </c>
      <c r="B47" s="199" t="str">
        <f>Données!B47</f>
        <v>Daillens</v>
      </c>
      <c r="C47" s="351">
        <f>VPI!R47</f>
        <v>41328.998989898995</v>
      </c>
      <c r="D47" s="531">
        <f>Données!AP47</f>
        <v>31.234749886317346</v>
      </c>
      <c r="E47" s="418">
        <f>VPI!Q47</f>
        <v>66</v>
      </c>
      <c r="F47" s="243">
        <f t="shared" si="0"/>
        <v>34.765250113682654</v>
      </c>
      <c r="G47" s="240">
        <f>Effort!I47+Aide!I47/Taux!C47+Effort!K47/Taux!C47</f>
        <v>21.243957683195866</v>
      </c>
      <c r="H47" s="83">
        <f t="shared" si="1"/>
        <v>56.00920779687852</v>
      </c>
      <c r="I47" s="225">
        <f t="shared" si="2"/>
        <v>0</v>
      </c>
      <c r="J47" s="42">
        <f t="shared" si="3"/>
        <v>0</v>
      </c>
      <c r="K47" s="5"/>
      <c r="L47" s="10"/>
      <c r="M47" s="11"/>
      <c r="R47" s="11"/>
    </row>
    <row r="48" spans="1:18" x14ac:dyDescent="0.25">
      <c r="A48" s="38">
        <f>Données!A48</f>
        <v>5481</v>
      </c>
      <c r="B48" s="199" t="str">
        <f>Données!B48</f>
        <v>Dizy</v>
      </c>
      <c r="C48" s="351">
        <f>VPI!R48</f>
        <v>8120.2678666666679</v>
      </c>
      <c r="D48" s="531">
        <f>Données!AP48</f>
        <v>24.604119074012697</v>
      </c>
      <c r="E48" s="418">
        <f>VPI!Q48</f>
        <v>75</v>
      </c>
      <c r="F48" s="243">
        <f t="shared" si="0"/>
        <v>50.395880925987299</v>
      </c>
      <c r="G48" s="240">
        <f>Effort!I48+Aide!I48/Taux!C48+Effort!K48/Taux!C48</f>
        <v>18.898414392177095</v>
      </c>
      <c r="H48" s="83">
        <f t="shared" si="1"/>
        <v>69.294295318164387</v>
      </c>
      <c r="I48" s="225">
        <f t="shared" si="2"/>
        <v>0</v>
      </c>
      <c r="J48" s="42">
        <f t="shared" si="3"/>
        <v>0</v>
      </c>
      <c r="K48" s="5"/>
      <c r="L48" s="10"/>
      <c r="M48" s="11"/>
      <c r="R48" s="11"/>
    </row>
    <row r="49" spans="1:18" x14ac:dyDescent="0.25">
      <c r="A49" s="38">
        <f>Données!A49</f>
        <v>5482</v>
      </c>
      <c r="B49" s="199" t="str">
        <f>Données!B49</f>
        <v>Eclépens</v>
      </c>
      <c r="C49" s="351">
        <f>VPI!R49</f>
        <v>54169.31369565217</v>
      </c>
      <c r="D49" s="531">
        <f>Données!AP49</f>
        <v>35.128535169562824</v>
      </c>
      <c r="E49" s="418">
        <f>VPI!Q49</f>
        <v>46</v>
      </c>
      <c r="F49" s="243">
        <f t="shared" si="0"/>
        <v>10.871464830437176</v>
      </c>
      <c r="G49" s="240">
        <f>Effort!I49+Aide!I49/Taux!C49+Effort!K49/Taux!C49</f>
        <v>26.41073032647904</v>
      </c>
      <c r="H49" s="83">
        <f t="shared" si="1"/>
        <v>37.282195156916217</v>
      </c>
      <c r="I49" s="225">
        <f t="shared" si="2"/>
        <v>0</v>
      </c>
      <c r="J49" s="42">
        <f t="shared" si="3"/>
        <v>0</v>
      </c>
      <c r="K49" s="5"/>
      <c r="L49" s="10"/>
      <c r="M49" s="11"/>
      <c r="R49" s="11"/>
    </row>
    <row r="50" spans="1:18" x14ac:dyDescent="0.25">
      <c r="A50" s="38">
        <f>Données!A50</f>
        <v>5483</v>
      </c>
      <c r="B50" s="199" t="str">
        <f>Données!B50</f>
        <v>Ferreyres</v>
      </c>
      <c r="C50" s="351">
        <f>VPI!R50</f>
        <v>10537.013684210528</v>
      </c>
      <c r="D50" s="531">
        <f>Données!AP50</f>
        <v>22.642831069449382</v>
      </c>
      <c r="E50" s="418">
        <f>VPI!Q50</f>
        <v>76</v>
      </c>
      <c r="F50" s="243">
        <f t="shared" si="0"/>
        <v>53.357168930550614</v>
      </c>
      <c r="G50" s="240">
        <f>Effort!I50+Aide!I50/Taux!C50+Effort!K50/Taux!C50</f>
        <v>17.659117476184679</v>
      </c>
      <c r="H50" s="83">
        <f t="shared" si="1"/>
        <v>71.01628640673529</v>
      </c>
      <c r="I50" s="225">
        <f t="shared" si="2"/>
        <v>0</v>
      </c>
      <c r="J50" s="42">
        <f t="shared" si="3"/>
        <v>0</v>
      </c>
      <c r="K50" s="5"/>
      <c r="L50" s="10"/>
      <c r="M50" s="11"/>
      <c r="R50" s="11"/>
    </row>
    <row r="51" spans="1:18" x14ac:dyDescent="0.25">
      <c r="A51" s="38">
        <f>Données!A51</f>
        <v>5484</v>
      </c>
      <c r="B51" s="199" t="str">
        <f>Données!B51</f>
        <v>Gollion</v>
      </c>
      <c r="C51" s="351">
        <f>VPI!R51</f>
        <v>35949.064324324332</v>
      </c>
      <c r="D51" s="531">
        <f>Données!AP51</f>
        <v>26.543965903749562</v>
      </c>
      <c r="E51" s="418">
        <f>VPI!Q51</f>
        <v>74</v>
      </c>
      <c r="F51" s="243">
        <f t="shared" si="0"/>
        <v>47.456034096250434</v>
      </c>
      <c r="G51" s="240">
        <f>Effort!I51+Aide!I51/Taux!C51+Effort!K51/Taux!C51</f>
        <v>15.850927048734757</v>
      </c>
      <c r="H51" s="83">
        <f t="shared" si="1"/>
        <v>63.306961144985195</v>
      </c>
      <c r="I51" s="225">
        <f t="shared" si="2"/>
        <v>0</v>
      </c>
      <c r="J51" s="42">
        <f t="shared" si="3"/>
        <v>0</v>
      </c>
      <c r="K51" s="5"/>
      <c r="L51" s="10"/>
      <c r="M51" s="11"/>
      <c r="R51" s="11"/>
    </row>
    <row r="52" spans="1:18" x14ac:dyDescent="0.25">
      <c r="A52" s="38">
        <f>Données!A52</f>
        <v>5485</v>
      </c>
      <c r="B52" s="199" t="str">
        <f>Données!B52</f>
        <v>Grancy</v>
      </c>
      <c r="C52" s="351">
        <f>VPI!R52</f>
        <v>24486.752</v>
      </c>
      <c r="D52" s="531">
        <f>Données!AP52</f>
        <v>30.220787697411097</v>
      </c>
      <c r="E52" s="418">
        <f>VPI!Q52</f>
        <v>70</v>
      </c>
      <c r="F52" s="243">
        <f t="shared" si="0"/>
        <v>39.779212302588903</v>
      </c>
      <c r="G52" s="240">
        <f>Effort!I52+Aide!I52/Taux!C52+Effort!K52/Taux!C52</f>
        <v>29.770840856913708</v>
      </c>
      <c r="H52" s="83">
        <f t="shared" si="1"/>
        <v>69.55005315950261</v>
      </c>
      <c r="I52" s="225">
        <f t="shared" si="2"/>
        <v>0</v>
      </c>
      <c r="J52" s="42">
        <f t="shared" si="3"/>
        <v>0</v>
      </c>
      <c r="K52" s="5"/>
      <c r="L52" s="10"/>
      <c r="M52" s="11"/>
      <c r="R52" s="11"/>
    </row>
    <row r="53" spans="1:18" x14ac:dyDescent="0.25">
      <c r="A53" s="38">
        <f>Données!A53</f>
        <v>5486</v>
      </c>
      <c r="B53" s="199" t="str">
        <f>Données!B53</f>
        <v>L'Isle</v>
      </c>
      <c r="C53" s="351">
        <f>VPI!R53</f>
        <v>29228.321066666667</v>
      </c>
      <c r="D53" s="531">
        <f>Données!AP53</f>
        <v>24.739191802059409</v>
      </c>
      <c r="E53" s="418">
        <f>VPI!Q53</f>
        <v>75</v>
      </c>
      <c r="F53" s="243">
        <f t="shared" si="0"/>
        <v>50.260808197940591</v>
      </c>
      <c r="G53" s="240">
        <f>Effort!I53+Aide!I53/Taux!C53+Effort!K53/Taux!C53</f>
        <v>-2.7788958695051171</v>
      </c>
      <c r="H53" s="83">
        <f t="shared" si="1"/>
        <v>47.48191232843547</v>
      </c>
      <c r="I53" s="225">
        <f t="shared" si="2"/>
        <v>0</v>
      </c>
      <c r="J53" s="42">
        <f t="shared" si="3"/>
        <v>0</v>
      </c>
      <c r="K53" s="5"/>
      <c r="L53" s="10"/>
      <c r="M53" s="11"/>
      <c r="R53" s="11"/>
    </row>
    <row r="54" spans="1:18" x14ac:dyDescent="0.25">
      <c r="A54" s="38">
        <f>Données!A54</f>
        <v>5487</v>
      </c>
      <c r="B54" s="199" t="str">
        <f>Données!B54</f>
        <v>Lussery-Villars</v>
      </c>
      <c r="C54" s="351">
        <f>VPI!R54</f>
        <v>16622.186533333337</v>
      </c>
      <c r="D54" s="531">
        <f>Données!AP54</f>
        <v>16.068607626916279</v>
      </c>
      <c r="E54" s="418">
        <f>VPI!Q54</f>
        <v>75</v>
      </c>
      <c r="F54" s="243">
        <f t="shared" si="0"/>
        <v>58.931392373083725</v>
      </c>
      <c r="G54" s="240">
        <f>Effort!I54+Aide!I54/Taux!C54+Effort!K54/Taux!C54</f>
        <v>18.550025550389805</v>
      </c>
      <c r="H54" s="83">
        <f t="shared" si="1"/>
        <v>77.481417923473529</v>
      </c>
      <c r="I54" s="225">
        <f t="shared" si="2"/>
        <v>0</v>
      </c>
      <c r="J54" s="42">
        <f t="shared" si="3"/>
        <v>0</v>
      </c>
      <c r="K54" s="5"/>
      <c r="L54" s="10"/>
      <c r="M54" s="11"/>
      <c r="R54" s="11"/>
    </row>
    <row r="55" spans="1:18" x14ac:dyDescent="0.25">
      <c r="A55" s="38">
        <f>Données!A55</f>
        <v>5488</v>
      </c>
      <c r="B55" s="199" t="str">
        <f>Données!B55</f>
        <v>Mauraz</v>
      </c>
      <c r="C55" s="351">
        <f>VPI!R55</f>
        <v>1729.1580519480517</v>
      </c>
      <c r="D55" s="531">
        <f>Données!AP55</f>
        <v>14.163234934138563</v>
      </c>
      <c r="E55" s="418">
        <f>VPI!Q55</f>
        <v>77</v>
      </c>
      <c r="F55" s="243">
        <f t="shared" si="0"/>
        <v>62.836765065861435</v>
      </c>
      <c r="G55" s="240">
        <f>Effort!I55+Aide!I55/Taux!C55+Effort!K55/Taux!C55</f>
        <v>11.788958703352574</v>
      </c>
      <c r="H55" s="83">
        <f t="shared" si="1"/>
        <v>74.625723769214005</v>
      </c>
      <c r="I55" s="225">
        <f t="shared" si="2"/>
        <v>0</v>
      </c>
      <c r="J55" s="42">
        <f t="shared" si="3"/>
        <v>0</v>
      </c>
      <c r="K55" s="5"/>
      <c r="L55" s="10"/>
      <c r="M55" s="11"/>
      <c r="R55" s="11"/>
    </row>
    <row r="56" spans="1:18" x14ac:dyDescent="0.25">
      <c r="A56" s="38">
        <f>Données!A56</f>
        <v>5489</v>
      </c>
      <c r="B56" s="199" t="str">
        <f>Données!B56</f>
        <v>Mex</v>
      </c>
      <c r="C56" s="351">
        <f>VPI!R56</f>
        <v>50433.121512605037</v>
      </c>
      <c r="D56" s="531">
        <f>Données!AP56</f>
        <v>43.410435391517844</v>
      </c>
      <c r="E56" s="418">
        <f>VPI!Q56</f>
        <v>59.5</v>
      </c>
      <c r="F56" s="243">
        <f t="shared" si="0"/>
        <v>16.089564608482156</v>
      </c>
      <c r="G56" s="240">
        <f>Effort!I56+Aide!I56/Taux!C56+Effort!K56/Taux!C56</f>
        <v>33.404608178951861</v>
      </c>
      <c r="H56" s="83">
        <f t="shared" si="1"/>
        <v>49.494172787434017</v>
      </c>
      <c r="I56" s="225">
        <f t="shared" si="2"/>
        <v>0</v>
      </c>
      <c r="J56" s="42">
        <f t="shared" si="3"/>
        <v>0</v>
      </c>
      <c r="K56" s="5"/>
      <c r="L56" s="10"/>
      <c r="M56" s="11"/>
      <c r="R56" s="11"/>
    </row>
    <row r="57" spans="1:18" x14ac:dyDescent="0.25">
      <c r="A57" s="38">
        <f>Données!A57</f>
        <v>5490</v>
      </c>
      <c r="B57" s="199" t="str">
        <f>Données!B57</f>
        <v>Moiry</v>
      </c>
      <c r="C57" s="351">
        <f>VPI!R57</f>
        <v>9056.7353548387091</v>
      </c>
      <c r="D57" s="531">
        <f>Données!AP57</f>
        <v>15.776887788873832</v>
      </c>
      <c r="E57" s="418">
        <f>VPI!Q57</f>
        <v>77.5</v>
      </c>
      <c r="F57" s="243">
        <f t="shared" si="0"/>
        <v>61.723112211126164</v>
      </c>
      <c r="G57" s="240">
        <f>Effort!I57+Aide!I57/Taux!C57+Effort!K57/Taux!C57</f>
        <v>12.007124692623108</v>
      </c>
      <c r="H57" s="83">
        <f t="shared" si="1"/>
        <v>73.730236903749272</v>
      </c>
      <c r="I57" s="225">
        <f t="shared" si="2"/>
        <v>0</v>
      </c>
      <c r="J57" s="42">
        <f t="shared" si="3"/>
        <v>0</v>
      </c>
      <c r="K57" s="5"/>
      <c r="L57" s="10"/>
      <c r="M57" s="11"/>
      <c r="R57" s="11"/>
    </row>
    <row r="58" spans="1:18" x14ac:dyDescent="0.25">
      <c r="A58" s="38">
        <f>Données!A58</f>
        <v>5491</v>
      </c>
      <c r="B58" s="199" t="str">
        <f>Données!B58</f>
        <v>Mont-la-Ville</v>
      </c>
      <c r="C58" s="351">
        <f>VPI!R58</f>
        <v>13648.672236842105</v>
      </c>
      <c r="D58" s="531">
        <f>Données!AP58</f>
        <v>19.413157754095813</v>
      </c>
      <c r="E58" s="418">
        <f>VPI!Q58</f>
        <v>76</v>
      </c>
      <c r="F58" s="243">
        <f t="shared" si="0"/>
        <v>56.586842245904187</v>
      </c>
      <c r="G58" s="240">
        <f>Effort!I58+Aide!I58/Taux!C58+Effort!K58/Taux!C58</f>
        <v>-3.6378618796876587</v>
      </c>
      <c r="H58" s="83">
        <f t="shared" si="1"/>
        <v>52.948980366216531</v>
      </c>
      <c r="I58" s="225">
        <f t="shared" si="2"/>
        <v>0</v>
      </c>
      <c r="J58" s="42">
        <f t="shared" si="3"/>
        <v>0</v>
      </c>
      <c r="K58" s="5"/>
      <c r="L58" s="10"/>
      <c r="M58" s="11"/>
      <c r="R58" s="11"/>
    </row>
    <row r="59" spans="1:18" x14ac:dyDescent="0.25">
      <c r="A59" s="38">
        <f>Données!A59</f>
        <v>5492</v>
      </c>
      <c r="B59" s="199" t="str">
        <f>Données!B59</f>
        <v>Montricher</v>
      </c>
      <c r="C59" s="351">
        <f>VPI!R59</f>
        <v>175265.155</v>
      </c>
      <c r="D59" s="531">
        <f>Données!AP59</f>
        <v>50.35148384147012</v>
      </c>
      <c r="E59" s="418">
        <f>VPI!Q59</f>
        <v>64</v>
      </c>
      <c r="F59" s="243">
        <f t="shared" si="0"/>
        <v>13.64851615852988</v>
      </c>
      <c r="G59" s="240">
        <f>Effort!I59+Aide!I59/Taux!C59+Effort!K59/Taux!C59</f>
        <v>48</v>
      </c>
      <c r="H59" s="83">
        <f t="shared" si="1"/>
        <v>61.64851615852988</v>
      </c>
      <c r="I59" s="225">
        <f t="shared" si="2"/>
        <v>0</v>
      </c>
      <c r="J59" s="42">
        <f t="shared" si="3"/>
        <v>0</v>
      </c>
      <c r="K59" s="5"/>
      <c r="L59" s="10"/>
      <c r="M59" s="11"/>
      <c r="R59" s="11"/>
    </row>
    <row r="60" spans="1:18" x14ac:dyDescent="0.25">
      <c r="A60" s="38">
        <f>Données!A60</f>
        <v>5493</v>
      </c>
      <c r="B60" s="199" t="str">
        <f>Données!B60</f>
        <v>Orny</v>
      </c>
      <c r="C60" s="351">
        <f>VPI!R60</f>
        <v>13489.645489989463</v>
      </c>
      <c r="D60" s="531">
        <f>Données!AP60</f>
        <v>21.792625077825647</v>
      </c>
      <c r="E60" s="418">
        <f>VPI!Q60</f>
        <v>73</v>
      </c>
      <c r="F60" s="243">
        <f t="shared" si="0"/>
        <v>51.207374922174353</v>
      </c>
      <c r="G60" s="240">
        <f>Effort!I60+Aide!I60/Taux!C60+Effort!K60/Taux!C60</f>
        <v>12.362675371408232</v>
      </c>
      <c r="H60" s="83">
        <f t="shared" si="1"/>
        <v>63.570050293582582</v>
      </c>
      <c r="I60" s="225">
        <f t="shared" si="2"/>
        <v>0</v>
      </c>
      <c r="J60" s="42">
        <f t="shared" si="3"/>
        <v>0</v>
      </c>
      <c r="K60" s="5"/>
      <c r="L60" s="10"/>
      <c r="M60" s="11"/>
      <c r="R60" s="11"/>
    </row>
    <row r="61" spans="1:18" x14ac:dyDescent="0.25">
      <c r="A61" s="38">
        <f>Données!A61</f>
        <v>5495</v>
      </c>
      <c r="B61" s="199" t="str">
        <f>Données!B61</f>
        <v>Penthalaz</v>
      </c>
      <c r="C61" s="351">
        <f>VPI!R61</f>
        <v>95307.914324324302</v>
      </c>
      <c r="D61" s="531">
        <f>Données!AP61</f>
        <v>14.150843154186333</v>
      </c>
      <c r="E61" s="418">
        <f>VPI!Q61</f>
        <v>74</v>
      </c>
      <c r="F61" s="243">
        <f t="shared" si="0"/>
        <v>59.849156845813667</v>
      </c>
      <c r="G61" s="240">
        <f>Effort!I61+Aide!I61/Taux!C61+Effort!K61/Taux!C61</f>
        <v>1.6920075896981785</v>
      </c>
      <c r="H61" s="83">
        <f t="shared" si="1"/>
        <v>61.541164435511845</v>
      </c>
      <c r="I61" s="225">
        <f t="shared" si="2"/>
        <v>0</v>
      </c>
      <c r="J61" s="42">
        <f t="shared" si="3"/>
        <v>0</v>
      </c>
      <c r="K61" s="5"/>
      <c r="L61" s="10"/>
      <c r="M61" s="11"/>
      <c r="R61" s="11"/>
    </row>
    <row r="62" spans="1:18" x14ac:dyDescent="0.25">
      <c r="A62" s="38">
        <f>Données!A62</f>
        <v>5496</v>
      </c>
      <c r="B62" s="199" t="str">
        <f>Données!B62</f>
        <v>Penthaz</v>
      </c>
      <c r="C62" s="351">
        <f>VPI!R62</f>
        <v>56262.398705035986</v>
      </c>
      <c r="D62" s="531">
        <f>Données!AP62</f>
        <v>21.551572383807493</v>
      </c>
      <c r="E62" s="418">
        <f>VPI!Q62</f>
        <v>69.5</v>
      </c>
      <c r="F62" s="243">
        <f t="shared" si="0"/>
        <v>47.948427616192504</v>
      </c>
      <c r="G62" s="240">
        <f>Effort!I62+Aide!I62/Taux!C62+Effort!K62/Taux!C62</f>
        <v>7.1863110120562794</v>
      </c>
      <c r="H62" s="83">
        <f t="shared" si="1"/>
        <v>55.134738628248783</v>
      </c>
      <c r="I62" s="225">
        <f t="shared" si="2"/>
        <v>0</v>
      </c>
      <c r="J62" s="42">
        <f t="shared" si="3"/>
        <v>0</v>
      </c>
      <c r="K62" s="5"/>
      <c r="L62" s="10"/>
      <c r="M62" s="11"/>
      <c r="R62" s="11"/>
    </row>
    <row r="63" spans="1:18" x14ac:dyDescent="0.25">
      <c r="A63" s="38">
        <f>Données!A63</f>
        <v>5497</v>
      </c>
      <c r="B63" s="199" t="str">
        <f>Données!B63</f>
        <v>Pompaples</v>
      </c>
      <c r="C63" s="351">
        <f>VPI!R63</f>
        <v>22253.218787878792</v>
      </c>
      <c r="D63" s="531">
        <f>Données!AP63</f>
        <v>16.608578147735578</v>
      </c>
      <c r="E63" s="418">
        <f>VPI!Q63</f>
        <v>66</v>
      </c>
      <c r="F63" s="243">
        <f t="shared" si="0"/>
        <v>49.391421852264422</v>
      </c>
      <c r="G63" s="240">
        <f>Effort!I63+Aide!I63/Taux!C63+Effort!K63/Taux!C63</f>
        <v>7.1699639682396814</v>
      </c>
      <c r="H63" s="83">
        <f t="shared" si="1"/>
        <v>56.5613858205041</v>
      </c>
      <c r="I63" s="225">
        <f t="shared" si="2"/>
        <v>0</v>
      </c>
      <c r="J63" s="42">
        <f t="shared" si="3"/>
        <v>0</v>
      </c>
      <c r="K63" s="5"/>
      <c r="L63" s="10"/>
      <c r="M63" s="11"/>
      <c r="R63" s="11"/>
    </row>
    <row r="64" spans="1:18" x14ac:dyDescent="0.25">
      <c r="A64" s="38">
        <f>Données!A64</f>
        <v>5498</v>
      </c>
      <c r="B64" s="199" t="str">
        <f>Données!B64</f>
        <v>La Sarraz</v>
      </c>
      <c r="C64" s="351">
        <f>VPI!R64</f>
        <v>74676.731060606064</v>
      </c>
      <c r="D64" s="531">
        <f>Données!AP64</f>
        <v>17.659382937375998</v>
      </c>
      <c r="E64" s="418">
        <f>VPI!Q64</f>
        <v>66</v>
      </c>
      <c r="F64" s="243">
        <f t="shared" si="0"/>
        <v>48.340617062624005</v>
      </c>
      <c r="G64" s="240">
        <f>Effort!I64+Aide!I64/Taux!C64+Effort!K64/Taux!C64</f>
        <v>3.4046333845393981</v>
      </c>
      <c r="H64" s="83">
        <f t="shared" si="1"/>
        <v>51.7452504471634</v>
      </c>
      <c r="I64" s="225">
        <f t="shared" si="2"/>
        <v>0</v>
      </c>
      <c r="J64" s="42">
        <f t="shared" si="3"/>
        <v>0</v>
      </c>
      <c r="K64" s="5"/>
      <c r="L64" s="10"/>
      <c r="M64" s="11"/>
      <c r="R64" s="11"/>
    </row>
    <row r="65" spans="1:18" x14ac:dyDescent="0.25">
      <c r="A65" s="38">
        <f>Données!A65</f>
        <v>5499</v>
      </c>
      <c r="B65" s="199" t="str">
        <f>Données!B65</f>
        <v>Senarclens</v>
      </c>
      <c r="C65" s="351">
        <f>VPI!R65</f>
        <v>18237.495182481751</v>
      </c>
      <c r="D65" s="531">
        <f>Données!AP65</f>
        <v>33.906082239748244</v>
      </c>
      <c r="E65" s="418">
        <f>VPI!Q65</f>
        <v>68.5</v>
      </c>
      <c r="F65" s="243">
        <f t="shared" si="0"/>
        <v>34.593917760251756</v>
      </c>
      <c r="G65" s="240">
        <f>Effort!I65+Aide!I65/Taux!C65+Effort!K65/Taux!C65</f>
        <v>13.795117685885103</v>
      </c>
      <c r="H65" s="83">
        <f t="shared" si="1"/>
        <v>48.389035446136859</v>
      </c>
      <c r="I65" s="225">
        <f t="shared" si="2"/>
        <v>0</v>
      </c>
      <c r="J65" s="42">
        <f t="shared" si="3"/>
        <v>0</v>
      </c>
      <c r="K65" s="5"/>
      <c r="L65" s="10"/>
      <c r="M65" s="11"/>
      <c r="R65" s="11"/>
    </row>
    <row r="66" spans="1:18" x14ac:dyDescent="0.25">
      <c r="A66" s="38">
        <f>Données!A66</f>
        <v>5501</v>
      </c>
      <c r="B66" s="199" t="str">
        <f>Données!B66</f>
        <v>Sullens</v>
      </c>
      <c r="C66" s="351">
        <f>VPI!R66</f>
        <v>43189.9197080292</v>
      </c>
      <c r="D66" s="531">
        <f>Données!AP66</f>
        <v>33.980227758152438</v>
      </c>
      <c r="E66" s="418">
        <f>VPI!Q66</f>
        <v>68.5</v>
      </c>
      <c r="F66" s="243">
        <f t="shared" si="0"/>
        <v>34.519772241847562</v>
      </c>
      <c r="G66" s="240">
        <f>Effort!I66+Aide!I66/Taux!C66+Effort!K66/Taux!C66</f>
        <v>22.008730307816144</v>
      </c>
      <c r="H66" s="83">
        <f t="shared" si="1"/>
        <v>56.528502549663706</v>
      </c>
      <c r="I66" s="225">
        <f t="shared" si="2"/>
        <v>0</v>
      </c>
      <c r="J66" s="42">
        <f t="shared" si="3"/>
        <v>0</v>
      </c>
      <c r="K66" s="5"/>
      <c r="L66" s="10"/>
      <c r="M66" s="11"/>
      <c r="R66" s="11"/>
    </row>
    <row r="67" spans="1:18" x14ac:dyDescent="0.25">
      <c r="A67" s="38">
        <f>Données!A67</f>
        <v>5503</v>
      </c>
      <c r="B67" s="199" t="str">
        <f>Données!B67</f>
        <v>Vufflens-la-Ville</v>
      </c>
      <c r="C67" s="351">
        <f>VPI!R67</f>
        <v>79644.71771144279</v>
      </c>
      <c r="D67" s="531">
        <f>Données!AP67</f>
        <v>33.339049037357164</v>
      </c>
      <c r="E67" s="418">
        <f>VPI!Q67</f>
        <v>67</v>
      </c>
      <c r="F67" s="243">
        <f t="shared" si="0"/>
        <v>33.660950962642836</v>
      </c>
      <c r="G67" s="240">
        <f>Effort!I67+Aide!I67/Taux!C67+Effort!K67/Taux!C67</f>
        <v>31.517552359425387</v>
      </c>
      <c r="H67" s="83">
        <f t="shared" si="1"/>
        <v>65.178503322068224</v>
      </c>
      <c r="I67" s="225">
        <f t="shared" si="2"/>
        <v>0</v>
      </c>
      <c r="J67" s="42">
        <f t="shared" si="3"/>
        <v>0</v>
      </c>
      <c r="K67" s="5"/>
      <c r="L67" s="10"/>
      <c r="M67" s="11"/>
      <c r="R67" s="11"/>
    </row>
    <row r="68" spans="1:18" x14ac:dyDescent="0.25">
      <c r="A68" s="38">
        <f>Données!A68</f>
        <v>5511</v>
      </c>
      <c r="B68" s="199" t="str">
        <f>Données!B68</f>
        <v>Assens</v>
      </c>
      <c r="C68" s="351">
        <f>VPI!R68</f>
        <v>70063.08636788046</v>
      </c>
      <c r="D68" s="531">
        <f>Données!AP68</f>
        <v>28.135259369858787</v>
      </c>
      <c r="E68" s="418">
        <f>VPI!Q68</f>
        <v>69.36</v>
      </c>
      <c r="F68" s="243">
        <f t="shared" si="0"/>
        <v>41.224740630141213</v>
      </c>
      <c r="G68" s="240">
        <f>Effort!I68+Aide!I68/Taux!C68+Effort!K68/Taux!C68</f>
        <v>16.195989062826591</v>
      </c>
      <c r="H68" s="83">
        <f t="shared" si="1"/>
        <v>57.420729692967804</v>
      </c>
      <c r="I68" s="225">
        <f t="shared" si="2"/>
        <v>0</v>
      </c>
      <c r="J68" s="42">
        <f t="shared" si="3"/>
        <v>0</v>
      </c>
      <c r="K68" s="5"/>
      <c r="L68" s="10"/>
      <c r="M68" s="11"/>
      <c r="R68" s="11"/>
    </row>
    <row r="69" spans="1:18" x14ac:dyDescent="0.25">
      <c r="A69" s="38">
        <f>Données!A69</f>
        <v>5512</v>
      </c>
      <c r="B69" s="199" t="str">
        <f>Données!B69</f>
        <v>Bercher</v>
      </c>
      <c r="C69" s="351">
        <f>VPI!R69</f>
        <v>40760.724050632911</v>
      </c>
      <c r="D69" s="531">
        <f>Données!AP69</f>
        <v>17.127715043468946</v>
      </c>
      <c r="E69" s="418">
        <f>VPI!Q69</f>
        <v>79</v>
      </c>
      <c r="F69" s="243">
        <f t="shared" si="0"/>
        <v>61.872284956531054</v>
      </c>
      <c r="G69" s="240">
        <f>Effort!I69+Aide!I69/Taux!C69+Effort!K69/Taux!C69</f>
        <v>6.541613162748364</v>
      </c>
      <c r="H69" s="83">
        <f t="shared" si="1"/>
        <v>68.413898119279423</v>
      </c>
      <c r="I69" s="225">
        <f t="shared" si="2"/>
        <v>0</v>
      </c>
      <c r="J69" s="42">
        <f t="shared" si="3"/>
        <v>0</v>
      </c>
      <c r="K69" s="5"/>
      <c r="L69" s="10"/>
      <c r="M69" s="11"/>
      <c r="R69" s="11"/>
    </row>
    <row r="70" spans="1:18" x14ac:dyDescent="0.25">
      <c r="A70" s="38">
        <f>Données!A70</f>
        <v>5514</v>
      </c>
      <c r="B70" s="199" t="str">
        <f>Données!B70</f>
        <v>Bottens</v>
      </c>
      <c r="C70" s="351">
        <f>VPI!R70</f>
        <v>44222.939448275865</v>
      </c>
      <c r="D70" s="531">
        <f>Données!AP70</f>
        <v>22.283776684237893</v>
      </c>
      <c r="E70" s="418">
        <f>VPI!Q70</f>
        <v>72.5</v>
      </c>
      <c r="F70" s="243">
        <f t="shared" si="0"/>
        <v>50.216223315762107</v>
      </c>
      <c r="G70" s="240">
        <f>Effort!I70+Aide!I70/Taux!C70+Effort!K70/Taux!C70</f>
        <v>15.296917070066273</v>
      </c>
      <c r="H70" s="83">
        <f t="shared" si="1"/>
        <v>65.513140385828379</v>
      </c>
      <c r="I70" s="225">
        <f t="shared" si="2"/>
        <v>0</v>
      </c>
      <c r="J70" s="42">
        <f t="shared" si="3"/>
        <v>0</v>
      </c>
      <c r="K70" s="5"/>
      <c r="L70" s="10"/>
      <c r="M70" s="11"/>
      <c r="R70" s="11"/>
    </row>
    <row r="71" spans="1:18" x14ac:dyDescent="0.25">
      <c r="A71" s="38">
        <f>Données!A71</f>
        <v>5515</v>
      </c>
      <c r="B71" s="199" t="str">
        <f>Données!B71</f>
        <v>Bretigny-sur-Morrens</v>
      </c>
      <c r="C71" s="351">
        <f>VPI!R71</f>
        <v>32347.747307692302</v>
      </c>
      <c r="D71" s="531">
        <f>Données!AP71</f>
        <v>25.238457484257431</v>
      </c>
      <c r="E71" s="418">
        <f>VPI!Q71</f>
        <v>78</v>
      </c>
      <c r="F71" s="243">
        <f t="shared" ref="F71:F134" si="4">E71-D71</f>
        <v>52.761542515742569</v>
      </c>
      <c r="G71" s="240">
        <f>Effort!I71+Aide!I71/Taux!C71+Effort!K71/Taux!C71</f>
        <v>12.324457380244136</v>
      </c>
      <c r="H71" s="83">
        <f t="shared" ref="H71:H134" si="5">F71+G71</f>
        <v>65.085999895986703</v>
      </c>
      <c r="I71" s="225">
        <f t="shared" ref="I71:I134" si="6">IF(H71&gt;$I$5,H71-$I$5,0)</f>
        <v>0</v>
      </c>
      <c r="J71" s="42">
        <f t="shared" ref="J71:J134" si="7">-I71*C71</f>
        <v>0</v>
      </c>
      <c r="K71" s="5"/>
      <c r="L71" s="10"/>
      <c r="M71" s="11"/>
      <c r="R71" s="11"/>
    </row>
    <row r="72" spans="1:18" x14ac:dyDescent="0.25">
      <c r="A72" s="38">
        <f>Données!A72</f>
        <v>5516</v>
      </c>
      <c r="B72" s="199" t="str">
        <f>Données!B72</f>
        <v>Cugy</v>
      </c>
      <c r="C72" s="351">
        <f>VPI!R72</f>
        <v>111596.10185897433</v>
      </c>
      <c r="D72" s="531">
        <f>Données!AP72</f>
        <v>25.865767959332604</v>
      </c>
      <c r="E72" s="418">
        <f>VPI!Q72</f>
        <v>78</v>
      </c>
      <c r="F72" s="243">
        <f t="shared" si="4"/>
        <v>52.134232040667399</v>
      </c>
      <c r="G72" s="240">
        <f>Effort!I72+Aide!I72/Taux!C72+Effort!K72/Taux!C72</f>
        <v>18.606739156333013</v>
      </c>
      <c r="H72" s="83">
        <f t="shared" si="5"/>
        <v>70.74097119700042</v>
      </c>
      <c r="I72" s="225">
        <f t="shared" si="6"/>
        <v>0</v>
      </c>
      <c r="J72" s="42">
        <f t="shared" si="7"/>
        <v>0</v>
      </c>
      <c r="K72" s="5"/>
      <c r="L72" s="10"/>
      <c r="M72" s="11"/>
      <c r="R72" s="11"/>
    </row>
    <row r="73" spans="1:18" x14ac:dyDescent="0.25">
      <c r="A73" s="38">
        <f>Données!A73</f>
        <v>5518</v>
      </c>
      <c r="B73" s="199" t="str">
        <f>Données!B73</f>
        <v>Echallens</v>
      </c>
      <c r="C73" s="351">
        <f>VPI!R73</f>
        <v>183008.89172413788</v>
      </c>
      <c r="D73" s="531">
        <f>Données!AP73</f>
        <v>14.486587253981448</v>
      </c>
      <c r="E73" s="418">
        <f>VPI!Q73</f>
        <v>72.5</v>
      </c>
      <c r="F73" s="243">
        <f t="shared" si="4"/>
        <v>58.013412746018552</v>
      </c>
      <c r="G73" s="240">
        <f>Effort!I73+Aide!I73/Taux!C73+Effort!K73/Taux!C73</f>
        <v>0.95857065693538601</v>
      </c>
      <c r="H73" s="83">
        <f t="shared" si="5"/>
        <v>58.971983402953938</v>
      </c>
      <c r="I73" s="225">
        <f t="shared" si="6"/>
        <v>0</v>
      </c>
      <c r="J73" s="42">
        <f t="shared" si="7"/>
        <v>0</v>
      </c>
      <c r="K73" s="5"/>
      <c r="L73" s="10"/>
      <c r="M73" s="11"/>
      <c r="R73" s="11"/>
    </row>
    <row r="74" spans="1:18" x14ac:dyDescent="0.25">
      <c r="A74" s="38">
        <f>Données!A74</f>
        <v>5520</v>
      </c>
      <c r="B74" s="199" t="str">
        <f>Données!B74</f>
        <v>Essertines-sur-Yverdon</v>
      </c>
      <c r="C74" s="351">
        <f>VPI!R74</f>
        <v>31695.423698630133</v>
      </c>
      <c r="D74" s="531">
        <f>Données!AP74</f>
        <v>20.627800915922762</v>
      </c>
      <c r="E74" s="418">
        <f>VPI!Q74</f>
        <v>73</v>
      </c>
      <c r="F74" s="243">
        <f t="shared" si="4"/>
        <v>52.372199084077238</v>
      </c>
      <c r="G74" s="240">
        <f>Effort!I74+Aide!I74/Taux!C74+Effort!K74/Taux!C74</f>
        <v>7.3582525491766084</v>
      </c>
      <c r="H74" s="83">
        <f t="shared" si="5"/>
        <v>59.73045163325385</v>
      </c>
      <c r="I74" s="225">
        <f t="shared" si="6"/>
        <v>0</v>
      </c>
      <c r="J74" s="42">
        <f t="shared" si="7"/>
        <v>0</v>
      </c>
      <c r="K74" s="5"/>
      <c r="L74" s="10"/>
      <c r="M74" s="11"/>
      <c r="R74" s="11"/>
    </row>
    <row r="75" spans="1:18" x14ac:dyDescent="0.25">
      <c r="A75" s="38">
        <f>Données!A75</f>
        <v>5521</v>
      </c>
      <c r="B75" s="199" t="str">
        <f>Données!B75</f>
        <v>Etagnières</v>
      </c>
      <c r="C75" s="351">
        <f>VPI!R75</f>
        <v>42637.34945205479</v>
      </c>
      <c r="D75" s="531">
        <f>Données!AP75</f>
        <v>29.17256375506761</v>
      </c>
      <c r="E75" s="418">
        <f>VPI!Q75</f>
        <v>73</v>
      </c>
      <c r="F75" s="243">
        <f t="shared" si="4"/>
        <v>43.827436244932386</v>
      </c>
      <c r="G75" s="240">
        <f>Effort!I75+Aide!I75/Taux!C75+Effort!K75/Taux!C75</f>
        <v>19.231736702497308</v>
      </c>
      <c r="H75" s="83">
        <f t="shared" si="5"/>
        <v>63.059172947429694</v>
      </c>
      <c r="I75" s="225">
        <f t="shared" si="6"/>
        <v>0</v>
      </c>
      <c r="J75" s="42">
        <f t="shared" si="7"/>
        <v>0</v>
      </c>
      <c r="K75" s="5"/>
      <c r="L75" s="10"/>
      <c r="M75" s="11"/>
      <c r="R75" s="11"/>
    </row>
    <row r="76" spans="1:18" x14ac:dyDescent="0.25">
      <c r="A76" s="38">
        <f>Données!A76</f>
        <v>5522</v>
      </c>
      <c r="B76" s="199" t="str">
        <f>Données!B76</f>
        <v>Fey</v>
      </c>
      <c r="C76" s="351">
        <f>VPI!R76</f>
        <v>23923.447333333334</v>
      </c>
      <c r="D76" s="531">
        <f>Données!AP76</f>
        <v>20.732713488342533</v>
      </c>
      <c r="E76" s="418">
        <f>VPI!Q76</f>
        <v>75</v>
      </c>
      <c r="F76" s="243">
        <f t="shared" si="4"/>
        <v>54.267286511657467</v>
      </c>
      <c r="G76" s="240">
        <f>Effort!I76+Aide!I76/Taux!C76+Effort!K76/Taux!C76</f>
        <v>14.979700172071958</v>
      </c>
      <c r="H76" s="83">
        <f t="shared" si="5"/>
        <v>69.246986683729432</v>
      </c>
      <c r="I76" s="225">
        <f t="shared" si="6"/>
        <v>0</v>
      </c>
      <c r="J76" s="42">
        <f t="shared" si="7"/>
        <v>0</v>
      </c>
      <c r="K76" s="5"/>
      <c r="L76" s="10"/>
      <c r="M76" s="11"/>
      <c r="R76" s="11"/>
    </row>
    <row r="77" spans="1:18" x14ac:dyDescent="0.25">
      <c r="A77" s="38">
        <f>Données!A77</f>
        <v>5523</v>
      </c>
      <c r="B77" s="199" t="str">
        <f>Données!B77</f>
        <v>Froideville</v>
      </c>
      <c r="C77" s="351">
        <f>VPI!R77</f>
        <v>93735.809027777781</v>
      </c>
      <c r="D77" s="531">
        <f>Données!AP77</f>
        <v>17.818174231360501</v>
      </c>
      <c r="E77" s="418">
        <f>VPI!Q77</f>
        <v>72</v>
      </c>
      <c r="F77" s="243">
        <f t="shared" si="4"/>
        <v>54.181825768639499</v>
      </c>
      <c r="G77" s="240">
        <f>Effort!I77+Aide!I77/Taux!C77+Effort!K77/Taux!C77</f>
        <v>14.733272690619495</v>
      </c>
      <c r="H77" s="83">
        <f t="shared" si="5"/>
        <v>68.915098459258999</v>
      </c>
      <c r="I77" s="225">
        <f t="shared" si="6"/>
        <v>0</v>
      </c>
      <c r="J77" s="42">
        <f t="shared" si="7"/>
        <v>0</v>
      </c>
      <c r="K77" s="5"/>
      <c r="L77" s="10"/>
      <c r="M77" s="11"/>
      <c r="R77" s="11"/>
    </row>
    <row r="78" spans="1:18" x14ac:dyDescent="0.25">
      <c r="A78" s="38">
        <f>Données!A78</f>
        <v>5527</v>
      </c>
      <c r="B78" s="199" t="str">
        <f>Données!B78</f>
        <v>Morrens</v>
      </c>
      <c r="C78" s="351">
        <f>VPI!R78</f>
        <v>39310.034189189188</v>
      </c>
      <c r="D78" s="531">
        <f>Données!AP78</f>
        <v>24.564199069083323</v>
      </c>
      <c r="E78" s="418">
        <f>VPI!Q78</f>
        <v>74</v>
      </c>
      <c r="F78" s="243">
        <f t="shared" si="4"/>
        <v>49.435800930916677</v>
      </c>
      <c r="G78" s="240">
        <f>Effort!I78+Aide!I78/Taux!C78+Effort!K78/Taux!C78</f>
        <v>17.683385729176582</v>
      </c>
      <c r="H78" s="83">
        <f t="shared" si="5"/>
        <v>67.119186660093263</v>
      </c>
      <c r="I78" s="225">
        <f t="shared" si="6"/>
        <v>0</v>
      </c>
      <c r="J78" s="42">
        <f t="shared" si="7"/>
        <v>0</v>
      </c>
      <c r="K78" s="5"/>
      <c r="L78" s="10"/>
      <c r="M78" s="11"/>
      <c r="R78" s="11"/>
    </row>
    <row r="79" spans="1:18" x14ac:dyDescent="0.25">
      <c r="A79" s="38">
        <f>Données!A79</f>
        <v>5529</v>
      </c>
      <c r="B79" s="199" t="str">
        <f>Données!B79</f>
        <v>Oulens-sous-Echallens</v>
      </c>
      <c r="C79" s="351">
        <f>VPI!R79</f>
        <v>21162.073571428573</v>
      </c>
      <c r="D79" s="531">
        <f>Données!AP79</f>
        <v>22.972570014702235</v>
      </c>
      <c r="E79" s="418">
        <f>VPI!Q79</f>
        <v>70</v>
      </c>
      <c r="F79" s="243">
        <f t="shared" si="4"/>
        <v>47.027429985297765</v>
      </c>
      <c r="G79" s="240">
        <f>Effort!I79+Aide!I79/Taux!C79+Effort!K79/Taux!C79</f>
        <v>13.811718418462711</v>
      </c>
      <c r="H79" s="83">
        <f t="shared" si="5"/>
        <v>60.839148403760476</v>
      </c>
      <c r="I79" s="225">
        <f t="shared" si="6"/>
        <v>0</v>
      </c>
      <c r="J79" s="42">
        <f t="shared" si="7"/>
        <v>0</v>
      </c>
      <c r="K79" s="5"/>
      <c r="L79" s="10"/>
      <c r="M79" s="11"/>
      <c r="R79" s="11"/>
    </row>
    <row r="80" spans="1:18" x14ac:dyDescent="0.25">
      <c r="A80" s="38">
        <f>Données!A80</f>
        <v>5530</v>
      </c>
      <c r="B80" s="199" t="str">
        <f>Données!B80</f>
        <v>Pailly</v>
      </c>
      <c r="C80" s="351">
        <f>VPI!R80</f>
        <v>19308.365285087715</v>
      </c>
      <c r="D80" s="531">
        <f>Données!AP80</f>
        <v>20.647972036508406</v>
      </c>
      <c r="E80" s="418">
        <f>VPI!Q80</f>
        <v>76</v>
      </c>
      <c r="F80" s="243">
        <f t="shared" si="4"/>
        <v>55.352027963491594</v>
      </c>
      <c r="G80" s="240">
        <f>Effort!I80+Aide!I80/Taux!C80+Effort!K80/Taux!C80</f>
        <v>-22.743359965143899</v>
      </c>
      <c r="H80" s="83">
        <f t="shared" si="5"/>
        <v>32.608667998347698</v>
      </c>
      <c r="I80" s="225">
        <f t="shared" si="6"/>
        <v>0</v>
      </c>
      <c r="J80" s="42">
        <f t="shared" si="7"/>
        <v>0</v>
      </c>
      <c r="K80" s="5"/>
      <c r="L80" s="10"/>
      <c r="M80" s="11"/>
      <c r="R80" s="11"/>
    </row>
    <row r="81" spans="1:18" x14ac:dyDescent="0.25">
      <c r="A81" s="38">
        <f>Données!A81</f>
        <v>5531</v>
      </c>
      <c r="B81" s="199" t="str">
        <f>Données!B81</f>
        <v>Penthéréaz</v>
      </c>
      <c r="C81" s="351">
        <f>VPI!R81</f>
        <v>14300.520945945947</v>
      </c>
      <c r="D81" s="531">
        <f>Données!AP81</f>
        <v>23.321968254018032</v>
      </c>
      <c r="E81" s="418">
        <f>VPI!Q81</f>
        <v>74</v>
      </c>
      <c r="F81" s="243">
        <f t="shared" si="4"/>
        <v>50.678031745981968</v>
      </c>
      <c r="G81" s="240">
        <f>Effort!I81+Aide!I81/Taux!C81+Effort!K81/Taux!C81</f>
        <v>13.476503789460367</v>
      </c>
      <c r="H81" s="83">
        <f t="shared" si="5"/>
        <v>64.154535535442335</v>
      </c>
      <c r="I81" s="225">
        <f t="shared" si="6"/>
        <v>0</v>
      </c>
      <c r="J81" s="42">
        <f t="shared" si="7"/>
        <v>0</v>
      </c>
      <c r="K81" s="5"/>
      <c r="L81" s="10"/>
      <c r="M81" s="11"/>
      <c r="R81" s="11"/>
    </row>
    <row r="82" spans="1:18" x14ac:dyDescent="0.25">
      <c r="A82" s="38">
        <f>Données!A82</f>
        <v>5533</v>
      </c>
      <c r="B82" s="199" t="str">
        <f>Données!B82</f>
        <v>Poliez-Pittet</v>
      </c>
      <c r="C82" s="351">
        <f>VPI!R82</f>
        <v>27495.737397260269</v>
      </c>
      <c r="D82" s="531">
        <f>Données!AP82</f>
        <v>27.545002361065212</v>
      </c>
      <c r="E82" s="418">
        <f>VPI!Q82</f>
        <v>73</v>
      </c>
      <c r="F82" s="243">
        <f t="shared" si="4"/>
        <v>45.454997638934785</v>
      </c>
      <c r="G82" s="240">
        <f>Effort!I82+Aide!I82/Taux!C82+Effort!K82/Taux!C82</f>
        <v>15.783602860447736</v>
      </c>
      <c r="H82" s="83">
        <f t="shared" si="5"/>
        <v>61.238600499382521</v>
      </c>
      <c r="I82" s="225">
        <f t="shared" si="6"/>
        <v>0</v>
      </c>
      <c r="J82" s="42">
        <f t="shared" si="7"/>
        <v>0</v>
      </c>
      <c r="K82" s="5"/>
      <c r="L82" s="10"/>
      <c r="M82" s="11"/>
      <c r="R82" s="11"/>
    </row>
    <row r="83" spans="1:18" x14ac:dyDescent="0.25">
      <c r="A83" s="38">
        <f>Données!A83</f>
        <v>5534</v>
      </c>
      <c r="B83" s="199" t="str">
        <f>Données!B83</f>
        <v>Rueyres</v>
      </c>
      <c r="C83" s="351">
        <f>VPI!R83</f>
        <v>13098.988310502282</v>
      </c>
      <c r="D83" s="531">
        <f>Données!AP83</f>
        <v>27.410077426938241</v>
      </c>
      <c r="E83" s="418">
        <f>VPI!Q83</f>
        <v>73</v>
      </c>
      <c r="F83" s="243">
        <f t="shared" si="4"/>
        <v>45.589922573061756</v>
      </c>
      <c r="G83" s="240">
        <f>Effort!I83+Aide!I83/Taux!C83+Effort!K83/Taux!C83</f>
        <v>26.301916636256124</v>
      </c>
      <c r="H83" s="83">
        <f t="shared" si="5"/>
        <v>71.89183920931788</v>
      </c>
      <c r="I83" s="225">
        <f t="shared" si="6"/>
        <v>0</v>
      </c>
      <c r="J83" s="42">
        <f t="shared" si="7"/>
        <v>0</v>
      </c>
      <c r="K83" s="5"/>
      <c r="L83" s="10"/>
      <c r="M83" s="11"/>
      <c r="R83" s="11"/>
    </row>
    <row r="84" spans="1:18" x14ac:dyDescent="0.25">
      <c r="A84" s="38">
        <f>Données!A84</f>
        <v>5535</v>
      </c>
      <c r="B84" s="199" t="str">
        <f>Données!B84</f>
        <v>Saint-Barthélemy</v>
      </c>
      <c r="C84" s="351">
        <f>VPI!R84</f>
        <v>25080.037866666662</v>
      </c>
      <c r="D84" s="531">
        <f>Données!AP84</f>
        <v>17.14370831565985</v>
      </c>
      <c r="E84" s="418">
        <f>VPI!Q84</f>
        <v>75</v>
      </c>
      <c r="F84" s="243">
        <f t="shared" si="4"/>
        <v>57.85629168434015</v>
      </c>
      <c r="G84" s="240">
        <f>Effort!I84+Aide!I84/Taux!C84+Effort!K84/Taux!C84</f>
        <v>13.955019186984728</v>
      </c>
      <c r="H84" s="83">
        <f t="shared" si="5"/>
        <v>71.811310871324878</v>
      </c>
      <c r="I84" s="225">
        <f t="shared" si="6"/>
        <v>0</v>
      </c>
      <c r="J84" s="42">
        <f t="shared" si="7"/>
        <v>0</v>
      </c>
      <c r="K84" s="5"/>
      <c r="L84" s="10"/>
      <c r="M84" s="11"/>
      <c r="R84" s="11"/>
    </row>
    <row r="85" spans="1:18" x14ac:dyDescent="0.25">
      <c r="A85" s="38">
        <f>Données!A85</f>
        <v>5537</v>
      </c>
      <c r="B85" s="199" t="str">
        <f>Données!B85</f>
        <v>Villars-le-Terroir</v>
      </c>
      <c r="C85" s="351">
        <f>VPI!R85</f>
        <v>42917.111184210531</v>
      </c>
      <c r="D85" s="531">
        <f>Données!AP85</f>
        <v>18.599999042678878</v>
      </c>
      <c r="E85" s="418">
        <f>VPI!Q85</f>
        <v>76</v>
      </c>
      <c r="F85" s="243">
        <f t="shared" si="4"/>
        <v>57.400000957321126</v>
      </c>
      <c r="G85" s="240">
        <f>Effort!I85+Aide!I85/Taux!C85+Effort!K85/Taux!C85</f>
        <v>14.541703373384347</v>
      </c>
      <c r="H85" s="83">
        <f t="shared" si="5"/>
        <v>71.941704330705477</v>
      </c>
      <c r="I85" s="225">
        <f t="shared" si="6"/>
        <v>0</v>
      </c>
      <c r="J85" s="42">
        <f t="shared" si="7"/>
        <v>0</v>
      </c>
      <c r="K85" s="5"/>
      <c r="L85" s="10"/>
      <c r="M85" s="11"/>
      <c r="R85" s="11"/>
    </row>
    <row r="86" spans="1:18" x14ac:dyDescent="0.25">
      <c r="A86" s="38">
        <f>Données!A86</f>
        <v>5539</v>
      </c>
      <c r="B86" s="199" t="str">
        <f>Données!B86</f>
        <v>Vuarrens</v>
      </c>
      <c r="C86" s="351">
        <f>VPI!R86</f>
        <v>34556.836734693868</v>
      </c>
      <c r="D86" s="531">
        <f>Données!AP86</f>
        <v>26.555387669084425</v>
      </c>
      <c r="E86" s="418">
        <f>VPI!Q86</f>
        <v>73.5</v>
      </c>
      <c r="F86" s="243">
        <f t="shared" si="4"/>
        <v>46.944612330915575</v>
      </c>
      <c r="G86" s="240">
        <f>Effort!I86+Aide!I86/Taux!C86+Effort!K86/Taux!C86</f>
        <v>14.973505048714641</v>
      </c>
      <c r="H86" s="83">
        <f t="shared" si="5"/>
        <v>61.918117379630218</v>
      </c>
      <c r="I86" s="225">
        <f t="shared" si="6"/>
        <v>0</v>
      </c>
      <c r="J86" s="42">
        <f t="shared" si="7"/>
        <v>0</v>
      </c>
      <c r="K86" s="5"/>
      <c r="L86" s="10"/>
      <c r="M86" s="11"/>
      <c r="R86" s="11"/>
    </row>
    <row r="87" spans="1:18" x14ac:dyDescent="0.25">
      <c r="A87" s="38">
        <f>Données!A87</f>
        <v>5540</v>
      </c>
      <c r="B87" s="199" t="str">
        <f>Données!B87</f>
        <v>Montilliez</v>
      </c>
      <c r="C87" s="351">
        <f>VPI!R87</f>
        <v>63309.453137931036</v>
      </c>
      <c r="D87" s="531">
        <f>Données!AP87</f>
        <v>22.686783777894032</v>
      </c>
      <c r="E87" s="418">
        <f>VPI!Q87</f>
        <v>72.5</v>
      </c>
      <c r="F87" s="243">
        <f t="shared" si="4"/>
        <v>49.813216222105964</v>
      </c>
      <c r="G87" s="240">
        <f>Effort!I87+Aide!I87/Taux!C87+Effort!K87/Taux!C87</f>
        <v>14.112474692635761</v>
      </c>
      <c r="H87" s="83">
        <f t="shared" si="5"/>
        <v>63.925690914741722</v>
      </c>
      <c r="I87" s="225">
        <f t="shared" si="6"/>
        <v>0</v>
      </c>
      <c r="J87" s="42">
        <f t="shared" si="7"/>
        <v>0</v>
      </c>
      <c r="K87" s="5"/>
      <c r="L87" s="10"/>
      <c r="M87" s="11"/>
      <c r="R87" s="11"/>
    </row>
    <row r="88" spans="1:18" x14ac:dyDescent="0.25">
      <c r="A88" s="38">
        <f>Données!A88</f>
        <v>5541</v>
      </c>
      <c r="B88" s="199" t="str">
        <f>Données!B88</f>
        <v>Goumoëns</v>
      </c>
      <c r="C88" s="351">
        <f>VPI!R88</f>
        <v>41276.409536423838</v>
      </c>
      <c r="D88" s="531">
        <f>Données!AP88</f>
        <v>22.4642209297688</v>
      </c>
      <c r="E88" s="418">
        <f>VPI!Q88</f>
        <v>75.5</v>
      </c>
      <c r="F88" s="243">
        <f t="shared" si="4"/>
        <v>53.0357790702312</v>
      </c>
      <c r="G88" s="240">
        <f>Effort!I88+Aide!I88/Taux!C88+Effort!K88/Taux!C88</f>
        <v>18.618134637527326</v>
      </c>
      <c r="H88" s="83">
        <f t="shared" si="5"/>
        <v>71.653913707758534</v>
      </c>
      <c r="I88" s="225">
        <f t="shared" si="6"/>
        <v>0</v>
      </c>
      <c r="J88" s="42">
        <f t="shared" si="7"/>
        <v>0</v>
      </c>
      <c r="K88" s="5"/>
      <c r="L88" s="10"/>
      <c r="M88" s="11"/>
      <c r="R88" s="11"/>
    </row>
    <row r="89" spans="1:18" x14ac:dyDescent="0.25">
      <c r="A89" s="38">
        <f>Données!A89</f>
        <v>5551</v>
      </c>
      <c r="B89" s="199" t="str">
        <f>Données!B89</f>
        <v>Bonvillars</v>
      </c>
      <c r="C89" s="351">
        <f>VPI!R89</f>
        <v>18704.487454545451</v>
      </c>
      <c r="D89" s="531">
        <f>Données!AP89</f>
        <v>29.73474762496679</v>
      </c>
      <c r="E89" s="418">
        <f>VPI!Q89</f>
        <v>55</v>
      </c>
      <c r="F89" s="243">
        <f t="shared" si="4"/>
        <v>25.26525237503321</v>
      </c>
      <c r="G89" s="240">
        <f>Effort!I89+Aide!I89/Taux!C89+Effort!K89/Taux!C89</f>
        <v>19.161821052571529</v>
      </c>
      <c r="H89" s="83">
        <f t="shared" si="5"/>
        <v>44.427073427604739</v>
      </c>
      <c r="I89" s="225">
        <f t="shared" si="6"/>
        <v>0</v>
      </c>
      <c r="J89" s="42">
        <f t="shared" si="7"/>
        <v>0</v>
      </c>
      <c r="K89" s="5"/>
      <c r="L89" s="10"/>
      <c r="M89" s="11"/>
      <c r="R89" s="11"/>
    </row>
    <row r="90" spans="1:18" x14ac:dyDescent="0.25">
      <c r="A90" s="38">
        <f>Données!A90</f>
        <v>5552</v>
      </c>
      <c r="B90" s="199" t="str">
        <f>Données!B90</f>
        <v>Bullet</v>
      </c>
      <c r="C90" s="351">
        <f>VPI!R90</f>
        <v>19598.576923076926</v>
      </c>
      <c r="D90" s="531">
        <f>Données!AP90</f>
        <v>18.369582413466429</v>
      </c>
      <c r="E90" s="418">
        <f>VPI!Q90</f>
        <v>71.5</v>
      </c>
      <c r="F90" s="243">
        <f t="shared" si="4"/>
        <v>53.130417586533568</v>
      </c>
      <c r="G90" s="240">
        <f>Effort!I90+Aide!I90/Taux!C90+Effort!K90/Taux!C90</f>
        <v>4.6852069852616101</v>
      </c>
      <c r="H90" s="83">
        <f t="shared" si="5"/>
        <v>57.815624571795176</v>
      </c>
      <c r="I90" s="225">
        <f t="shared" si="6"/>
        <v>0</v>
      </c>
      <c r="J90" s="42">
        <f t="shared" si="7"/>
        <v>0</v>
      </c>
      <c r="K90" s="5"/>
      <c r="L90" s="10"/>
      <c r="M90" s="11"/>
      <c r="R90" s="11"/>
    </row>
    <row r="91" spans="1:18" x14ac:dyDescent="0.25">
      <c r="A91" s="38">
        <f>Données!A91</f>
        <v>5553</v>
      </c>
      <c r="B91" s="199" t="str">
        <f>Données!B91</f>
        <v>Champagne</v>
      </c>
      <c r="C91" s="351">
        <f>VPI!R91</f>
        <v>40077.283076923086</v>
      </c>
      <c r="D91" s="531">
        <f>Données!AP91</f>
        <v>29.531862001969571</v>
      </c>
      <c r="E91" s="418">
        <f>VPI!Q91</f>
        <v>65</v>
      </c>
      <c r="F91" s="243">
        <f t="shared" si="4"/>
        <v>35.468137998030429</v>
      </c>
      <c r="G91" s="240">
        <f>Effort!I91+Aide!I91/Taux!C91+Effort!K91/Taux!C91</f>
        <v>17.010492083292551</v>
      </c>
      <c r="H91" s="83">
        <f t="shared" si="5"/>
        <v>52.478630081322976</v>
      </c>
      <c r="I91" s="225">
        <f t="shared" si="6"/>
        <v>0</v>
      </c>
      <c r="J91" s="42">
        <f t="shared" si="7"/>
        <v>0</v>
      </c>
      <c r="K91" s="5"/>
      <c r="L91" s="10"/>
      <c r="M91" s="11"/>
      <c r="R91" s="11"/>
    </row>
    <row r="92" spans="1:18" x14ac:dyDescent="0.25">
      <c r="A92" s="38">
        <f>Données!A92</f>
        <v>5554</v>
      </c>
      <c r="B92" s="199" t="str">
        <f>Données!B92</f>
        <v>Concise</v>
      </c>
      <c r="C92" s="351">
        <f>VPI!R92</f>
        <v>31499.25106666666</v>
      </c>
      <c r="D92" s="531">
        <f>Données!AP92</f>
        <v>24.102310019410684</v>
      </c>
      <c r="E92" s="418">
        <f>VPI!Q92</f>
        <v>75</v>
      </c>
      <c r="F92" s="243">
        <f t="shared" si="4"/>
        <v>50.89768998058932</v>
      </c>
      <c r="G92" s="240">
        <f>Effort!I92+Aide!I92/Taux!C92+Effort!K92/Taux!C92</f>
        <v>8.2031404067770719</v>
      </c>
      <c r="H92" s="83">
        <f t="shared" si="5"/>
        <v>59.100830387366393</v>
      </c>
      <c r="I92" s="225">
        <f t="shared" si="6"/>
        <v>0</v>
      </c>
      <c r="J92" s="42">
        <f t="shared" si="7"/>
        <v>0</v>
      </c>
      <c r="K92" s="5"/>
      <c r="L92" s="10"/>
      <c r="M92" s="11"/>
      <c r="R92" s="11"/>
    </row>
    <row r="93" spans="1:18" x14ac:dyDescent="0.25">
      <c r="A93" s="38">
        <f>Données!A93</f>
        <v>5555</v>
      </c>
      <c r="B93" s="199" t="str">
        <f>Données!B93</f>
        <v>Corcelles-près-Concise</v>
      </c>
      <c r="C93" s="351">
        <f>VPI!R93</f>
        <v>13877.681159420288</v>
      </c>
      <c r="D93" s="531">
        <f>Données!AP93</f>
        <v>28.582787469873811</v>
      </c>
      <c r="E93" s="418">
        <f>VPI!Q93</f>
        <v>69</v>
      </c>
      <c r="F93" s="243">
        <f t="shared" si="4"/>
        <v>40.417212530126193</v>
      </c>
      <c r="G93" s="240">
        <f>Effort!I93+Aide!I93/Taux!C93+Effort!K93/Taux!C93</f>
        <v>4.6918147231735681</v>
      </c>
      <c r="H93" s="83">
        <f t="shared" si="5"/>
        <v>45.109027253299757</v>
      </c>
      <c r="I93" s="225">
        <f t="shared" si="6"/>
        <v>0</v>
      </c>
      <c r="J93" s="42">
        <f t="shared" si="7"/>
        <v>0</v>
      </c>
      <c r="K93" s="5"/>
      <c r="L93" s="10"/>
      <c r="M93" s="11"/>
      <c r="R93" s="11"/>
    </row>
    <row r="94" spans="1:18" x14ac:dyDescent="0.25">
      <c r="A94" s="38">
        <f>Données!A94</f>
        <v>5556</v>
      </c>
      <c r="B94" s="199" t="str">
        <f>Données!B94</f>
        <v>Fiez</v>
      </c>
      <c r="C94" s="351">
        <f>VPI!R94</f>
        <v>14574.59084541063</v>
      </c>
      <c r="D94" s="531">
        <f>Données!AP94</f>
        <v>23.333598865450533</v>
      </c>
      <c r="E94" s="418">
        <f>VPI!Q94</f>
        <v>69</v>
      </c>
      <c r="F94" s="243">
        <f t="shared" si="4"/>
        <v>45.666401134549467</v>
      </c>
      <c r="G94" s="240">
        <f>Effort!I94+Aide!I94/Taux!C94+Effort!K94/Taux!C94</f>
        <v>14.398241186357971</v>
      </c>
      <c r="H94" s="83">
        <f t="shared" si="5"/>
        <v>60.064642320907438</v>
      </c>
      <c r="I94" s="225">
        <f t="shared" si="6"/>
        <v>0</v>
      </c>
      <c r="J94" s="42">
        <f t="shared" si="7"/>
        <v>0</v>
      </c>
      <c r="K94" s="5"/>
      <c r="L94" s="10"/>
      <c r="M94" s="11"/>
      <c r="R94" s="11"/>
    </row>
    <row r="95" spans="1:18" x14ac:dyDescent="0.25">
      <c r="A95" s="38">
        <f>Données!A95</f>
        <v>5557</v>
      </c>
      <c r="B95" s="199" t="str">
        <f>Données!B95</f>
        <v>Fontaines-sur-Grandson</v>
      </c>
      <c r="C95" s="351">
        <f>VPI!R95</f>
        <v>4232.7078260869557</v>
      </c>
      <c r="D95" s="531">
        <f>Données!AP95</f>
        <v>21.066321044073071</v>
      </c>
      <c r="E95" s="418">
        <f>VPI!Q95</f>
        <v>69</v>
      </c>
      <c r="F95" s="243">
        <f t="shared" si="4"/>
        <v>47.933678955926929</v>
      </c>
      <c r="G95" s="240">
        <f>Effort!I95+Aide!I95/Taux!C95+Effort!K95/Taux!C95</f>
        <v>-11.032659426196869</v>
      </c>
      <c r="H95" s="83">
        <f t="shared" si="5"/>
        <v>36.901019529730064</v>
      </c>
      <c r="I95" s="225">
        <f t="shared" si="6"/>
        <v>0</v>
      </c>
      <c r="J95" s="42">
        <f t="shared" si="7"/>
        <v>0</v>
      </c>
      <c r="K95" s="5"/>
      <c r="L95" s="10"/>
      <c r="M95" s="11"/>
      <c r="R95" s="11"/>
    </row>
    <row r="96" spans="1:18" x14ac:dyDescent="0.25">
      <c r="A96" s="38">
        <f>Données!A96</f>
        <v>5559</v>
      </c>
      <c r="B96" s="199" t="str">
        <f>Données!B96</f>
        <v>Giez</v>
      </c>
      <c r="C96" s="351">
        <f>VPI!R96</f>
        <v>23427.520303030306</v>
      </c>
      <c r="D96" s="531">
        <f>Données!AP96</f>
        <v>32.222604424084587</v>
      </c>
      <c r="E96" s="418">
        <f>VPI!Q96</f>
        <v>66</v>
      </c>
      <c r="F96" s="243">
        <f t="shared" si="4"/>
        <v>33.777395575915413</v>
      </c>
      <c r="G96" s="240">
        <f>Effort!I96+Aide!I96/Taux!C96+Effort!K96/Taux!C96</f>
        <v>30.770858616964325</v>
      </c>
      <c r="H96" s="83">
        <f t="shared" si="5"/>
        <v>64.548254192879739</v>
      </c>
      <c r="I96" s="225">
        <f t="shared" si="6"/>
        <v>0</v>
      </c>
      <c r="J96" s="42">
        <f t="shared" si="7"/>
        <v>0</v>
      </c>
      <c r="K96" s="5"/>
      <c r="L96" s="10"/>
      <c r="M96" s="11"/>
      <c r="R96" s="11"/>
    </row>
    <row r="97" spans="1:18" x14ac:dyDescent="0.25">
      <c r="A97" s="38">
        <f>Données!A97</f>
        <v>5560</v>
      </c>
      <c r="B97" s="199" t="str">
        <f>Données!B97</f>
        <v>Grandevent</v>
      </c>
      <c r="C97" s="351">
        <f>VPI!R97</f>
        <v>7003.3020588235295</v>
      </c>
      <c r="D97" s="531">
        <f>Données!AP97</f>
        <v>18.709024337552925</v>
      </c>
      <c r="E97" s="418">
        <f>VPI!Q97</f>
        <v>68</v>
      </c>
      <c r="F97" s="243">
        <f t="shared" si="4"/>
        <v>49.290975662447075</v>
      </c>
      <c r="G97" s="240">
        <f>Effort!I97+Aide!I97/Taux!C97+Effort!K97/Taux!C97</f>
        <v>13.800138279370154</v>
      </c>
      <c r="H97" s="83">
        <f t="shared" si="5"/>
        <v>63.091113941817227</v>
      </c>
      <c r="I97" s="225">
        <f t="shared" si="6"/>
        <v>0</v>
      </c>
      <c r="J97" s="42">
        <f t="shared" si="7"/>
        <v>0</v>
      </c>
      <c r="K97" s="5"/>
      <c r="L97" s="10"/>
      <c r="M97" s="11"/>
      <c r="R97" s="11"/>
    </row>
    <row r="98" spans="1:18" x14ac:dyDescent="0.25">
      <c r="A98" s="38">
        <f>Données!A98</f>
        <v>5561</v>
      </c>
      <c r="B98" s="199" t="str">
        <f>Données!B98</f>
        <v>Grandson</v>
      </c>
      <c r="C98" s="351">
        <f>VPI!R98</f>
        <v>114496.59724637681</v>
      </c>
      <c r="D98" s="531">
        <f>Données!AP98</f>
        <v>22.373112792150248</v>
      </c>
      <c r="E98" s="418">
        <f>VPI!Q98</f>
        <v>69</v>
      </c>
      <c r="F98" s="243">
        <f t="shared" si="4"/>
        <v>46.626887207849748</v>
      </c>
      <c r="G98" s="240">
        <f>Effort!I98+Aide!I98/Taux!C98+Effort!K98/Taux!C98</f>
        <v>6.2561190832538536</v>
      </c>
      <c r="H98" s="83">
        <f t="shared" si="5"/>
        <v>52.883006291103598</v>
      </c>
      <c r="I98" s="225">
        <f t="shared" si="6"/>
        <v>0</v>
      </c>
      <c r="J98" s="42">
        <f t="shared" si="7"/>
        <v>0</v>
      </c>
      <c r="K98" s="5"/>
      <c r="L98" s="10"/>
      <c r="M98" s="11"/>
      <c r="R98" s="11"/>
    </row>
    <row r="99" spans="1:18" x14ac:dyDescent="0.25">
      <c r="A99" s="38">
        <f>Données!A99</f>
        <v>5562</v>
      </c>
      <c r="B99" s="199" t="str">
        <f>Données!B99</f>
        <v>Mauborget</v>
      </c>
      <c r="C99" s="351">
        <f>VPI!R99</f>
        <v>6099.4266904761898</v>
      </c>
      <c r="D99" s="531">
        <f>Données!AP99</f>
        <v>33.52335444572573</v>
      </c>
      <c r="E99" s="418">
        <f>VPI!Q99</f>
        <v>70</v>
      </c>
      <c r="F99" s="243">
        <f t="shared" si="4"/>
        <v>36.47664555427427</v>
      </c>
      <c r="G99" s="240">
        <f>Effort!I99+Aide!I99/Taux!C99+Effort!K99/Taux!C99</f>
        <v>26.374035854229167</v>
      </c>
      <c r="H99" s="83">
        <f t="shared" si="5"/>
        <v>62.850681408503434</v>
      </c>
      <c r="I99" s="225">
        <f t="shared" si="6"/>
        <v>0</v>
      </c>
      <c r="J99" s="42">
        <f t="shared" si="7"/>
        <v>0</v>
      </c>
      <c r="K99" s="5"/>
      <c r="L99" s="10"/>
      <c r="M99" s="11"/>
      <c r="R99" s="11"/>
    </row>
    <row r="100" spans="1:18" x14ac:dyDescent="0.25">
      <c r="A100" s="38">
        <f>Données!A100</f>
        <v>5563</v>
      </c>
      <c r="B100" s="199" t="str">
        <f>Données!B100</f>
        <v>Mutrux</v>
      </c>
      <c r="C100" s="351">
        <f>VPI!R100</f>
        <v>4282.2106250000006</v>
      </c>
      <c r="D100" s="531">
        <f>Données!AP100</f>
        <v>14.504097857020703</v>
      </c>
      <c r="E100" s="418">
        <f>VPI!Q100</f>
        <v>80</v>
      </c>
      <c r="F100" s="243">
        <f t="shared" si="4"/>
        <v>65.495902142979304</v>
      </c>
      <c r="G100" s="240">
        <f>Effort!I100+Aide!I100/Taux!C100+Effort!K100/Taux!C100</f>
        <v>4.8327782532100656</v>
      </c>
      <c r="H100" s="83">
        <f t="shared" si="5"/>
        <v>70.32868039618937</v>
      </c>
      <c r="I100" s="225">
        <f t="shared" si="6"/>
        <v>0</v>
      </c>
      <c r="J100" s="42">
        <f t="shared" si="7"/>
        <v>0</v>
      </c>
      <c r="K100" s="5"/>
      <c r="L100" s="10"/>
      <c r="M100" s="11"/>
      <c r="R100" s="11"/>
    </row>
    <row r="101" spans="1:18" x14ac:dyDescent="0.25">
      <c r="A101" s="38">
        <f>Données!A101</f>
        <v>5564</v>
      </c>
      <c r="B101" s="199" t="str">
        <f>Données!B101</f>
        <v>Novalles</v>
      </c>
      <c r="C101" s="351">
        <f>VPI!R101</f>
        <v>2099.5443749999999</v>
      </c>
      <c r="D101" s="531">
        <f>Données!AP101</f>
        <v>6.9433424665333554</v>
      </c>
      <c r="E101" s="418">
        <f>VPI!Q101</f>
        <v>76</v>
      </c>
      <c r="F101" s="243">
        <f t="shared" si="4"/>
        <v>69.056657533466648</v>
      </c>
      <c r="G101" s="240">
        <f>Effort!I101+Aide!I101/Taux!C101+Effort!K101/Taux!C101</f>
        <v>-20.384850360065119</v>
      </c>
      <c r="H101" s="83">
        <f t="shared" si="5"/>
        <v>48.671807173401533</v>
      </c>
      <c r="I101" s="225">
        <f t="shared" si="6"/>
        <v>0</v>
      </c>
      <c r="J101" s="42">
        <f t="shared" si="7"/>
        <v>0</v>
      </c>
      <c r="K101" s="5"/>
      <c r="L101" s="10"/>
      <c r="M101" s="11"/>
      <c r="R101" s="11"/>
    </row>
    <row r="102" spans="1:18" x14ac:dyDescent="0.25">
      <c r="A102" s="38">
        <f>Données!A102</f>
        <v>5565</v>
      </c>
      <c r="B102" s="199" t="str">
        <f>Données!B102</f>
        <v>Onnens</v>
      </c>
      <c r="C102" s="351">
        <f>VPI!R102</f>
        <v>22684.162047244088</v>
      </c>
      <c r="D102" s="531">
        <f>Données!AP102</f>
        <v>29.194510897922715</v>
      </c>
      <c r="E102" s="418">
        <f>VPI!Q102</f>
        <v>63.5</v>
      </c>
      <c r="F102" s="243">
        <f t="shared" si="4"/>
        <v>34.305489102077289</v>
      </c>
      <c r="G102" s="240">
        <f>Effort!I102+Aide!I102/Taux!C102+Effort!K102/Taux!C102</f>
        <v>25.418141395529066</v>
      </c>
      <c r="H102" s="83">
        <f t="shared" si="5"/>
        <v>59.723630497606351</v>
      </c>
      <c r="I102" s="225">
        <f t="shared" si="6"/>
        <v>0</v>
      </c>
      <c r="J102" s="42">
        <f t="shared" si="7"/>
        <v>0</v>
      </c>
      <c r="K102" s="5"/>
      <c r="L102" s="10"/>
      <c r="M102" s="11"/>
      <c r="R102" s="11"/>
    </row>
    <row r="103" spans="1:18" x14ac:dyDescent="0.25">
      <c r="A103" s="38">
        <f>Données!A103</f>
        <v>5566</v>
      </c>
      <c r="B103" s="199" t="str">
        <f>Données!B103</f>
        <v>Provence</v>
      </c>
      <c r="C103" s="351">
        <f>VPI!R103</f>
        <v>9377.2088888888902</v>
      </c>
      <c r="D103" s="531">
        <f>Données!AP103</f>
        <v>1.2860821466149972</v>
      </c>
      <c r="E103" s="418">
        <f>VPI!Q103</f>
        <v>81</v>
      </c>
      <c r="F103" s="243">
        <f t="shared" si="4"/>
        <v>79.713917853384999</v>
      </c>
      <c r="G103" s="240">
        <f>Effort!I103+Aide!I103/Taux!C103+Effort!K103/Taux!C103</f>
        <v>-43.48929132844043</v>
      </c>
      <c r="H103" s="83">
        <f t="shared" si="5"/>
        <v>36.224626524944568</v>
      </c>
      <c r="I103" s="225">
        <f t="shared" si="6"/>
        <v>0</v>
      </c>
      <c r="J103" s="42">
        <f t="shared" si="7"/>
        <v>0</v>
      </c>
      <c r="K103" s="5"/>
      <c r="L103" s="10"/>
      <c r="M103" s="11"/>
      <c r="R103" s="11"/>
    </row>
    <row r="104" spans="1:18" x14ac:dyDescent="0.25">
      <c r="A104" s="38">
        <f>Données!A104</f>
        <v>5568</v>
      </c>
      <c r="B104" s="199" t="str">
        <f>Données!B104</f>
        <v>Sainte-Croix</v>
      </c>
      <c r="C104" s="351">
        <f>VPI!R104</f>
        <v>109152.09599999999</v>
      </c>
      <c r="D104" s="531">
        <f>Données!AP104</f>
        <v>4.8548440747218482</v>
      </c>
      <c r="E104" s="418">
        <f>VPI!Q104</f>
        <v>70</v>
      </c>
      <c r="F104" s="243">
        <f t="shared" si="4"/>
        <v>65.145155925278146</v>
      </c>
      <c r="G104" s="240">
        <f>Effort!I104+Aide!I104/Taux!C104+Effort!K104/Taux!C104</f>
        <v>-22.634557599878004</v>
      </c>
      <c r="H104" s="83">
        <f t="shared" si="5"/>
        <v>42.510598325400139</v>
      </c>
      <c r="I104" s="225">
        <f t="shared" si="6"/>
        <v>0</v>
      </c>
      <c r="J104" s="42">
        <f t="shared" si="7"/>
        <v>0</v>
      </c>
      <c r="K104" s="5"/>
      <c r="L104" s="10"/>
      <c r="M104" s="11"/>
      <c r="R104" s="11"/>
    </row>
    <row r="105" spans="1:18" x14ac:dyDescent="0.25">
      <c r="A105" s="38">
        <f>Données!A105</f>
        <v>5571</v>
      </c>
      <c r="B105" s="199" t="str">
        <f>Données!B105</f>
        <v>Tévenon</v>
      </c>
      <c r="C105" s="351">
        <f>VPI!R105</f>
        <v>25324.815594405594</v>
      </c>
      <c r="D105" s="531">
        <f>Données!AP105</f>
        <v>13.073164350260065</v>
      </c>
      <c r="E105" s="418">
        <f>VPI!Q105</f>
        <v>71.5</v>
      </c>
      <c r="F105" s="243">
        <f t="shared" si="4"/>
        <v>58.426835649739935</v>
      </c>
      <c r="G105" s="240">
        <f>Effort!I105+Aide!I105/Taux!C105+Effort!K105/Taux!C105</f>
        <v>5.0113472617363097</v>
      </c>
      <c r="H105" s="83">
        <f t="shared" si="5"/>
        <v>63.438182911476247</v>
      </c>
      <c r="I105" s="225">
        <f t="shared" si="6"/>
        <v>0</v>
      </c>
      <c r="J105" s="42">
        <f t="shared" si="7"/>
        <v>0</v>
      </c>
      <c r="K105" s="5"/>
      <c r="L105" s="10"/>
      <c r="M105" s="11"/>
      <c r="R105" s="11"/>
    </row>
    <row r="106" spans="1:18" x14ac:dyDescent="0.25">
      <c r="A106" s="38">
        <f>Données!A106</f>
        <v>5581</v>
      </c>
      <c r="B106" s="199" t="str">
        <f>Données!B106</f>
        <v>Belmont-sur-Lausanne</v>
      </c>
      <c r="C106" s="351">
        <f>VPI!R106</f>
        <v>215428.66976851854</v>
      </c>
      <c r="D106" s="531">
        <f>Données!AP106</f>
        <v>34.764256664546977</v>
      </c>
      <c r="E106" s="418">
        <f>VPI!Q106</f>
        <v>72</v>
      </c>
      <c r="F106" s="243">
        <f t="shared" si="4"/>
        <v>37.235743335453023</v>
      </c>
      <c r="G106" s="240">
        <f>Effort!I106+Aide!I106/Taux!C106+Effort!K106/Taux!C106</f>
        <v>24.144321178999757</v>
      </c>
      <c r="H106" s="83">
        <f t="shared" si="5"/>
        <v>61.380064514452783</v>
      </c>
      <c r="I106" s="225">
        <f t="shared" si="6"/>
        <v>0</v>
      </c>
      <c r="J106" s="42">
        <f t="shared" si="7"/>
        <v>0</v>
      </c>
      <c r="K106" s="5"/>
      <c r="L106" s="10"/>
      <c r="M106" s="11"/>
      <c r="R106" s="11"/>
    </row>
    <row r="107" spans="1:18" x14ac:dyDescent="0.25">
      <c r="A107" s="38">
        <f>Données!A107</f>
        <v>5582</v>
      </c>
      <c r="B107" s="199" t="str">
        <f>Données!B107</f>
        <v>Cheseaux-sur-Lausanne</v>
      </c>
      <c r="C107" s="351">
        <f>VPI!R107</f>
        <v>167486.36602739722</v>
      </c>
      <c r="D107" s="531">
        <f>Données!AP107</f>
        <v>22.365781763842051</v>
      </c>
      <c r="E107" s="418">
        <f>VPI!Q107</f>
        <v>73</v>
      </c>
      <c r="F107" s="243">
        <f t="shared" si="4"/>
        <v>50.634218236157949</v>
      </c>
      <c r="G107" s="240">
        <f>Effort!I107+Aide!I107/Taux!C107+Effort!K107/Taux!C107</f>
        <v>13.732530596344992</v>
      </c>
      <c r="H107" s="83">
        <f t="shared" si="5"/>
        <v>64.366748832502935</v>
      </c>
      <c r="I107" s="225">
        <f t="shared" si="6"/>
        <v>0</v>
      </c>
      <c r="J107" s="42">
        <f t="shared" si="7"/>
        <v>0</v>
      </c>
      <c r="K107" s="5"/>
      <c r="L107" s="10"/>
      <c r="M107" s="11"/>
      <c r="R107" s="11"/>
    </row>
    <row r="108" spans="1:18" x14ac:dyDescent="0.25">
      <c r="A108" s="38">
        <f>Données!A108</f>
        <v>5583</v>
      </c>
      <c r="B108" s="199" t="str">
        <f>Données!B108</f>
        <v>Crissier</v>
      </c>
      <c r="C108" s="351">
        <f>VPI!R108</f>
        <v>337339.7176377952</v>
      </c>
      <c r="D108" s="531">
        <f>Données!AP108</f>
        <v>25.197197531648829</v>
      </c>
      <c r="E108" s="418">
        <f>VPI!Q108</f>
        <v>63.5</v>
      </c>
      <c r="F108" s="243">
        <f t="shared" si="4"/>
        <v>38.302802468351175</v>
      </c>
      <c r="G108" s="240">
        <f>Effort!I108+Aide!I108/Taux!C108+Effort!K108/Taux!C108</f>
        <v>6.0168840883384931</v>
      </c>
      <c r="H108" s="83">
        <f t="shared" si="5"/>
        <v>44.319686556689668</v>
      </c>
      <c r="I108" s="225">
        <f t="shared" si="6"/>
        <v>0</v>
      </c>
      <c r="J108" s="42">
        <f t="shared" si="7"/>
        <v>0</v>
      </c>
      <c r="K108" s="5"/>
      <c r="L108" s="10"/>
      <c r="M108" s="11"/>
      <c r="R108" s="11"/>
    </row>
    <row r="109" spans="1:18" x14ac:dyDescent="0.25">
      <c r="A109" s="38">
        <f>Données!A109</f>
        <v>5584</v>
      </c>
      <c r="B109" s="199" t="str">
        <f>Données!B109</f>
        <v>Epalinges</v>
      </c>
      <c r="C109" s="351">
        <f>VPI!R109</f>
        <v>516682.33689922479</v>
      </c>
      <c r="D109" s="531">
        <f>Données!AP109</f>
        <v>28.444513171195194</v>
      </c>
      <c r="E109" s="418">
        <f>VPI!Q109</f>
        <v>64.5</v>
      </c>
      <c r="F109" s="243">
        <f t="shared" si="4"/>
        <v>36.055486828804803</v>
      </c>
      <c r="G109" s="240">
        <f>Effort!I109+Aide!I109/Taux!C109+Effort!K109/Taux!C109</f>
        <v>15.560849968415475</v>
      </c>
      <c r="H109" s="83">
        <f t="shared" si="5"/>
        <v>51.616336797220278</v>
      </c>
      <c r="I109" s="225">
        <f t="shared" si="6"/>
        <v>0</v>
      </c>
      <c r="J109" s="42">
        <f t="shared" si="7"/>
        <v>0</v>
      </c>
      <c r="K109" s="5"/>
      <c r="L109" s="10"/>
      <c r="M109" s="11"/>
      <c r="R109" s="11"/>
    </row>
    <row r="110" spans="1:18" x14ac:dyDescent="0.25">
      <c r="A110" s="38">
        <f>Données!A110</f>
        <v>5585</v>
      </c>
      <c r="B110" s="199" t="str">
        <f>Données!B110</f>
        <v>Jouxtens-Mézery</v>
      </c>
      <c r="C110" s="351">
        <f>VPI!R110</f>
        <v>191742.38983050847</v>
      </c>
      <c r="D110" s="531">
        <f>Données!AP110</f>
        <v>50.710019657892396</v>
      </c>
      <c r="E110" s="418">
        <f>VPI!Q110</f>
        <v>59</v>
      </c>
      <c r="F110" s="243">
        <f t="shared" si="4"/>
        <v>8.2899803421076044</v>
      </c>
      <c r="G110" s="240">
        <f>Effort!I110+Aide!I110/Taux!C110+Effort!K110/Taux!C110</f>
        <v>45.507625689896074</v>
      </c>
      <c r="H110" s="83">
        <f t="shared" si="5"/>
        <v>53.797606032003678</v>
      </c>
      <c r="I110" s="225">
        <f t="shared" si="6"/>
        <v>0</v>
      </c>
      <c r="J110" s="42">
        <f t="shared" si="7"/>
        <v>0</v>
      </c>
      <c r="K110" s="5"/>
      <c r="L110" s="10"/>
      <c r="M110" s="11"/>
      <c r="R110" s="11"/>
    </row>
    <row r="111" spans="1:18" x14ac:dyDescent="0.25">
      <c r="A111" s="38">
        <f>Données!A111</f>
        <v>5586</v>
      </c>
      <c r="B111" s="199" t="str">
        <f>Données!B111</f>
        <v>Lausanne</v>
      </c>
      <c r="C111" s="351">
        <f>VPI!R111</f>
        <v>6457900.2123142257</v>
      </c>
      <c r="D111" s="531">
        <f>Données!AP111</f>
        <v>13.263325779319869</v>
      </c>
      <c r="E111" s="418">
        <f>VPI!Q111</f>
        <v>78.5</v>
      </c>
      <c r="F111" s="243">
        <f t="shared" si="4"/>
        <v>65.236674220680129</v>
      </c>
      <c r="G111" s="240">
        <f>Effort!I111+Aide!I111/Taux!C111+Effort!K111/Taux!C111</f>
        <v>0.5059617127116276</v>
      </c>
      <c r="H111" s="83">
        <f t="shared" si="5"/>
        <v>65.742635933391753</v>
      </c>
      <c r="I111" s="225">
        <f t="shared" si="6"/>
        <v>0</v>
      </c>
      <c r="J111" s="42">
        <f t="shared" si="7"/>
        <v>0</v>
      </c>
      <c r="K111" s="5"/>
      <c r="L111" s="10"/>
      <c r="M111" s="11"/>
      <c r="R111" s="11"/>
    </row>
    <row r="112" spans="1:18" x14ac:dyDescent="0.25">
      <c r="A112" s="38">
        <f>Données!A112</f>
        <v>5587</v>
      </c>
      <c r="B112" s="199" t="str">
        <f>Données!B112</f>
        <v>Le Mont-sur-Lausanne</v>
      </c>
      <c r="C112" s="351">
        <f>VPI!R112</f>
        <v>494912.33501133788</v>
      </c>
      <c r="D112" s="531">
        <f>Données!AP112</f>
        <v>28.641076089242805</v>
      </c>
      <c r="E112" s="418">
        <f>VPI!Q112</f>
        <v>73.5</v>
      </c>
      <c r="F112" s="243">
        <f t="shared" si="4"/>
        <v>44.858923910757198</v>
      </c>
      <c r="G112" s="240">
        <f>Effort!I112+Aide!I112/Taux!C112+Effort!K112/Taux!C112</f>
        <v>19.605463887235622</v>
      </c>
      <c r="H112" s="83">
        <f t="shared" si="5"/>
        <v>64.464387797992828</v>
      </c>
      <c r="I112" s="225">
        <f t="shared" si="6"/>
        <v>0</v>
      </c>
      <c r="J112" s="42">
        <f t="shared" si="7"/>
        <v>0</v>
      </c>
      <c r="K112" s="5"/>
      <c r="L112" s="10"/>
      <c r="M112" s="11"/>
      <c r="R112" s="11"/>
    </row>
    <row r="113" spans="1:18" x14ac:dyDescent="0.25">
      <c r="A113" s="38">
        <f>Données!A113</f>
        <v>5588</v>
      </c>
      <c r="B113" s="199" t="str">
        <f>Données!B113</f>
        <v>Paudex</v>
      </c>
      <c r="C113" s="351">
        <f>VPI!R113</f>
        <v>140525.78356605806</v>
      </c>
      <c r="D113" s="531">
        <f>Données!AP113</f>
        <v>43.67601796550651</v>
      </c>
      <c r="E113" s="418">
        <f>VPI!Q113</f>
        <v>66.5</v>
      </c>
      <c r="F113" s="243">
        <f t="shared" si="4"/>
        <v>22.82398203449349</v>
      </c>
      <c r="G113" s="240">
        <f>Effort!I113+Aide!I113/Taux!C113+Effort!K113/Taux!C113</f>
        <v>39.784399526855516</v>
      </c>
      <c r="H113" s="83">
        <f t="shared" si="5"/>
        <v>62.608381561349006</v>
      </c>
      <c r="I113" s="225">
        <f t="shared" si="6"/>
        <v>0</v>
      </c>
      <c r="J113" s="42">
        <f t="shared" si="7"/>
        <v>0</v>
      </c>
      <c r="K113" s="5"/>
      <c r="L113" s="10"/>
      <c r="M113" s="11"/>
      <c r="R113" s="11"/>
    </row>
    <row r="114" spans="1:18" x14ac:dyDescent="0.25">
      <c r="A114" s="38">
        <f>Données!A114</f>
        <v>5589</v>
      </c>
      <c r="B114" s="199" t="str">
        <f>Données!B114</f>
        <v>Prilly</v>
      </c>
      <c r="C114" s="351">
        <f>VPI!R114</f>
        <v>419337.60911405843</v>
      </c>
      <c r="D114" s="531">
        <f>Données!AP114</f>
        <v>15.508276687923184</v>
      </c>
      <c r="E114" s="418">
        <f>VPI!Q114</f>
        <v>72.5</v>
      </c>
      <c r="F114" s="243">
        <f t="shared" si="4"/>
        <v>56.991723312076815</v>
      </c>
      <c r="G114" s="240">
        <f>Effort!I114+Aide!I114/Taux!C114+Effort!K114/Taux!C114</f>
        <v>-2.0690075754283583</v>
      </c>
      <c r="H114" s="83">
        <f t="shared" si="5"/>
        <v>54.922715736648456</v>
      </c>
      <c r="I114" s="225">
        <f t="shared" si="6"/>
        <v>0</v>
      </c>
      <c r="J114" s="42">
        <f t="shared" si="7"/>
        <v>0</v>
      </c>
      <c r="K114" s="5"/>
      <c r="L114" s="10"/>
      <c r="M114" s="11"/>
      <c r="R114" s="11"/>
    </row>
    <row r="115" spans="1:18" x14ac:dyDescent="0.25">
      <c r="A115" s="38">
        <f>Données!A115</f>
        <v>5590</v>
      </c>
      <c r="B115" s="199" t="str">
        <f>Données!B115</f>
        <v>Pully</v>
      </c>
      <c r="C115" s="351">
        <f>VPI!R115</f>
        <v>1602221.7514051518</v>
      </c>
      <c r="D115" s="531">
        <f>Données!AP115</f>
        <v>35.294446812893206</v>
      </c>
      <c r="E115" s="418">
        <f>VPI!Q115</f>
        <v>61</v>
      </c>
      <c r="F115" s="243">
        <f t="shared" si="4"/>
        <v>25.705553187106794</v>
      </c>
      <c r="G115" s="240">
        <f>Effort!I115+Aide!I115/Taux!C115+Effort!K115/Taux!C115</f>
        <v>29.603162081869939</v>
      </c>
      <c r="H115" s="83">
        <f t="shared" si="5"/>
        <v>55.308715268976734</v>
      </c>
      <c r="I115" s="225">
        <f t="shared" si="6"/>
        <v>0</v>
      </c>
      <c r="J115" s="42">
        <f t="shared" si="7"/>
        <v>0</v>
      </c>
      <c r="K115" s="5"/>
      <c r="L115" s="10"/>
      <c r="M115" s="11"/>
      <c r="R115" s="11"/>
    </row>
    <row r="116" spans="1:18" x14ac:dyDescent="0.25">
      <c r="A116" s="38">
        <f>Données!A116</f>
        <v>5591</v>
      </c>
      <c r="B116" s="199" t="str">
        <f>Données!B116</f>
        <v>Renens</v>
      </c>
      <c r="C116" s="351">
        <f>VPI!R116</f>
        <v>569549.93361781072</v>
      </c>
      <c r="D116" s="531">
        <f>Données!AP116</f>
        <v>-2.5991715403116742</v>
      </c>
      <c r="E116" s="418">
        <f>VPI!Q116</f>
        <v>77</v>
      </c>
      <c r="F116" s="243">
        <f t="shared" si="4"/>
        <v>79.599171540311673</v>
      </c>
      <c r="G116" s="240">
        <f>Effort!I116+Aide!I116/Taux!C116+Effort!K116/Taux!C116</f>
        <v>-25.827191153895377</v>
      </c>
      <c r="H116" s="83">
        <f t="shared" si="5"/>
        <v>53.771980386416296</v>
      </c>
      <c r="I116" s="225">
        <f t="shared" si="6"/>
        <v>0</v>
      </c>
      <c r="J116" s="42">
        <f t="shared" si="7"/>
        <v>0</v>
      </c>
      <c r="K116" s="5"/>
      <c r="L116" s="10"/>
      <c r="M116" s="11"/>
      <c r="R116" s="11"/>
    </row>
    <row r="117" spans="1:18" x14ac:dyDescent="0.25">
      <c r="A117" s="38">
        <f>Données!A117</f>
        <v>5592</v>
      </c>
      <c r="B117" s="199" t="str">
        <f>Données!B117</f>
        <v>Romanel-sur-Lausanne</v>
      </c>
      <c r="C117" s="351">
        <f>VPI!R117</f>
        <v>121058.65858156027</v>
      </c>
      <c r="D117" s="531">
        <f>Données!AP117</f>
        <v>23.517364319481594</v>
      </c>
      <c r="E117" s="418">
        <f>VPI!Q117</f>
        <v>70.5</v>
      </c>
      <c r="F117" s="243">
        <f t="shared" si="4"/>
        <v>46.982635680518406</v>
      </c>
      <c r="G117" s="240">
        <f>Effort!I117+Aide!I117/Taux!C117+Effort!K117/Taux!C117</f>
        <v>13.30543447870974</v>
      </c>
      <c r="H117" s="83">
        <f t="shared" si="5"/>
        <v>60.288070159228148</v>
      </c>
      <c r="I117" s="225">
        <f t="shared" si="6"/>
        <v>0</v>
      </c>
      <c r="J117" s="42">
        <f t="shared" si="7"/>
        <v>0</v>
      </c>
      <c r="K117" s="5"/>
      <c r="L117" s="10"/>
      <c r="M117" s="11"/>
      <c r="R117" s="11"/>
    </row>
    <row r="118" spans="1:18" x14ac:dyDescent="0.25">
      <c r="A118" s="38">
        <f>Données!A118</f>
        <v>5601</v>
      </c>
      <c r="B118" s="199" t="str">
        <f>Données!B118</f>
        <v>Chexbres</v>
      </c>
      <c r="C118" s="351">
        <f>VPI!R118</f>
        <v>105964.39288888889</v>
      </c>
      <c r="D118" s="531">
        <f>Données!AP118</f>
        <v>35.606356765719347</v>
      </c>
      <c r="E118" s="418">
        <f>VPI!Q118</f>
        <v>67.5</v>
      </c>
      <c r="F118" s="243">
        <f t="shared" si="4"/>
        <v>31.893643234280653</v>
      </c>
      <c r="G118" s="240">
        <f>Effort!I118+Aide!I118/Taux!C118+Effort!K118/Taux!C118</f>
        <v>23.705145851474068</v>
      </c>
      <c r="H118" s="83">
        <f t="shared" si="5"/>
        <v>55.598789085754717</v>
      </c>
      <c r="I118" s="225">
        <f t="shared" si="6"/>
        <v>0</v>
      </c>
      <c r="J118" s="42">
        <f t="shared" si="7"/>
        <v>0</v>
      </c>
      <c r="K118" s="5"/>
      <c r="L118" s="10"/>
      <c r="M118" s="11"/>
      <c r="R118" s="11"/>
    </row>
    <row r="119" spans="1:18" x14ac:dyDescent="0.25">
      <c r="A119" s="38">
        <f>Données!A119</f>
        <v>5604</v>
      </c>
      <c r="B119" s="199" t="str">
        <f>Données!B119</f>
        <v>Forel (Lavaux)</v>
      </c>
      <c r="C119" s="351">
        <f>VPI!R119</f>
        <v>75806.642898550723</v>
      </c>
      <c r="D119" s="531">
        <f>Données!AP119</f>
        <v>22.365358385863257</v>
      </c>
      <c r="E119" s="418">
        <f>VPI!Q119</f>
        <v>69</v>
      </c>
      <c r="F119" s="243">
        <f t="shared" si="4"/>
        <v>46.63464161413674</v>
      </c>
      <c r="G119" s="240">
        <f>Effort!I119+Aide!I119/Taux!C119+Effort!K119/Taux!C119</f>
        <v>14.166712441769773</v>
      </c>
      <c r="H119" s="83">
        <f t="shared" si="5"/>
        <v>60.801354055906515</v>
      </c>
      <c r="I119" s="225">
        <f t="shared" si="6"/>
        <v>0</v>
      </c>
      <c r="J119" s="42">
        <f t="shared" si="7"/>
        <v>0</v>
      </c>
      <c r="K119" s="5"/>
      <c r="L119" s="10"/>
      <c r="M119" s="11"/>
      <c r="R119" s="11"/>
    </row>
    <row r="120" spans="1:18" x14ac:dyDescent="0.25">
      <c r="A120" s="38">
        <f>Données!A120</f>
        <v>5606</v>
      </c>
      <c r="B120" s="199" t="str">
        <f>Données!B120</f>
        <v>Lutry</v>
      </c>
      <c r="C120" s="351">
        <f>VPI!R120</f>
        <v>959386.53714285709</v>
      </c>
      <c r="D120" s="531">
        <f>Données!AP120</f>
        <v>38.359394109181387</v>
      </c>
      <c r="E120" s="418">
        <f>VPI!Q120</f>
        <v>54</v>
      </c>
      <c r="F120" s="243">
        <f t="shared" si="4"/>
        <v>15.640605890818613</v>
      </c>
      <c r="G120" s="240">
        <f>Effort!I120+Aide!I120/Taux!C120+Effort!K120/Taux!C120</f>
        <v>31.756447454793189</v>
      </c>
      <c r="H120" s="83">
        <f t="shared" si="5"/>
        <v>47.397053345611802</v>
      </c>
      <c r="I120" s="225">
        <f t="shared" si="6"/>
        <v>0</v>
      </c>
      <c r="J120" s="42">
        <f t="shared" si="7"/>
        <v>0</v>
      </c>
      <c r="K120" s="5"/>
      <c r="L120" s="10"/>
      <c r="M120" s="11"/>
      <c r="R120" s="11"/>
    </row>
    <row r="121" spans="1:18" x14ac:dyDescent="0.25">
      <c r="A121" s="38">
        <f>Données!A121</f>
        <v>5607</v>
      </c>
      <c r="B121" s="199" t="str">
        <f>Données!B121</f>
        <v>Puidoux</v>
      </c>
      <c r="C121" s="351">
        <f>VPI!R121</f>
        <v>111538.40092668995</v>
      </c>
      <c r="D121" s="531">
        <f>Données!AP121</f>
        <v>26.799429544103596</v>
      </c>
      <c r="E121" s="418">
        <f>VPI!Q121</f>
        <v>68.5</v>
      </c>
      <c r="F121" s="243">
        <f t="shared" si="4"/>
        <v>41.700570455896404</v>
      </c>
      <c r="G121" s="240">
        <f>Effort!I121+Aide!I121/Taux!C121+Effort!K121/Taux!C121</f>
        <v>11.0829895950836</v>
      </c>
      <c r="H121" s="83">
        <f t="shared" si="5"/>
        <v>52.78356005098</v>
      </c>
      <c r="I121" s="225">
        <f t="shared" si="6"/>
        <v>0</v>
      </c>
      <c r="J121" s="42">
        <f t="shared" si="7"/>
        <v>0</v>
      </c>
      <c r="K121" s="5"/>
      <c r="L121" s="10"/>
      <c r="M121" s="11"/>
      <c r="R121" s="11"/>
    </row>
    <row r="122" spans="1:18" x14ac:dyDescent="0.25">
      <c r="A122" s="38">
        <f>Données!A122</f>
        <v>5609</v>
      </c>
      <c r="B122" s="199" t="str">
        <f>Données!B122</f>
        <v>Rivaz</v>
      </c>
      <c r="C122" s="351">
        <f>VPI!R122</f>
        <v>14895.889354838711</v>
      </c>
      <c r="D122" s="531">
        <f>Données!AP122</f>
        <v>33.567121309268174</v>
      </c>
      <c r="E122" s="418">
        <f>VPI!Q122</f>
        <v>62</v>
      </c>
      <c r="F122" s="243">
        <f t="shared" si="4"/>
        <v>28.432878690731826</v>
      </c>
      <c r="G122" s="240">
        <f>Effort!I122+Aide!I122/Taux!C122+Effort!K122/Taux!C122</f>
        <v>24.723164745487104</v>
      </c>
      <c r="H122" s="83">
        <f t="shared" si="5"/>
        <v>53.15604343621893</v>
      </c>
      <c r="I122" s="225">
        <f t="shared" si="6"/>
        <v>0</v>
      </c>
      <c r="J122" s="42">
        <f t="shared" si="7"/>
        <v>0</v>
      </c>
      <c r="K122" s="5"/>
      <c r="L122" s="10"/>
      <c r="M122" s="11"/>
      <c r="R122" s="11"/>
    </row>
    <row r="123" spans="1:18" x14ac:dyDescent="0.25">
      <c r="A123" s="38">
        <f>Données!A123</f>
        <v>5610</v>
      </c>
      <c r="B123" s="199" t="str">
        <f>Données!B123</f>
        <v>St-Saphorin (Lavaux)</v>
      </c>
      <c r="C123" s="351">
        <f>VPI!R123</f>
        <v>23447.805208333331</v>
      </c>
      <c r="D123" s="531">
        <f>Données!AP123</f>
        <v>35.55217940079126</v>
      </c>
      <c r="E123" s="418">
        <f>VPI!Q123</f>
        <v>72</v>
      </c>
      <c r="F123" s="243">
        <f t="shared" si="4"/>
        <v>36.44782059920874</v>
      </c>
      <c r="G123" s="240">
        <f>Effort!I123+Aide!I123/Taux!C123+Effort!K123/Taux!C123</f>
        <v>32.571794796882926</v>
      </c>
      <c r="H123" s="83">
        <f t="shared" si="5"/>
        <v>69.019615396091666</v>
      </c>
      <c r="I123" s="225">
        <f t="shared" si="6"/>
        <v>0</v>
      </c>
      <c r="J123" s="42">
        <f t="shared" si="7"/>
        <v>0</v>
      </c>
      <c r="K123" s="5"/>
      <c r="L123" s="10"/>
      <c r="M123" s="11"/>
      <c r="R123" s="11"/>
    </row>
    <row r="124" spans="1:18" x14ac:dyDescent="0.25">
      <c r="A124" s="38">
        <f>Données!A124</f>
        <v>5611</v>
      </c>
      <c r="B124" s="199" t="str">
        <f>Données!B124</f>
        <v>Savigny</v>
      </c>
      <c r="C124" s="351">
        <f>VPI!R124</f>
        <v>140961.75301932363</v>
      </c>
      <c r="D124" s="531">
        <f>Données!AP124</f>
        <v>27.855612027485122</v>
      </c>
      <c r="E124" s="418">
        <f>VPI!Q124</f>
        <v>69</v>
      </c>
      <c r="F124" s="243">
        <f t="shared" si="4"/>
        <v>41.144387972514878</v>
      </c>
      <c r="G124" s="240">
        <f>Effort!I124+Aide!I124/Taux!C124+Effort!K124/Taux!C124</f>
        <v>17.255236418341173</v>
      </c>
      <c r="H124" s="83">
        <f t="shared" si="5"/>
        <v>58.399624390856047</v>
      </c>
      <c r="I124" s="225">
        <f t="shared" si="6"/>
        <v>0</v>
      </c>
      <c r="J124" s="42">
        <f t="shared" si="7"/>
        <v>0</v>
      </c>
      <c r="K124" s="5"/>
      <c r="L124" s="10"/>
      <c r="M124" s="11"/>
      <c r="R124" s="11"/>
    </row>
    <row r="125" spans="1:18" x14ac:dyDescent="0.25">
      <c r="A125" s="38">
        <f>Données!A125</f>
        <v>5613</v>
      </c>
      <c r="B125" s="199" t="str">
        <f>Données!B125</f>
        <v>Bourg-en-Lavaux</v>
      </c>
      <c r="C125" s="351">
        <f>VPI!R125</f>
        <v>357200.5696533334</v>
      </c>
      <c r="D125" s="531">
        <f>Données!AP125</f>
        <v>34.577661028254518</v>
      </c>
      <c r="E125" s="418">
        <f>VPI!Q125</f>
        <v>62.5</v>
      </c>
      <c r="F125" s="243">
        <f t="shared" si="4"/>
        <v>27.922338971745482</v>
      </c>
      <c r="G125" s="240">
        <f>Effort!I125+Aide!I125/Taux!C125+Effort!K125/Taux!C125</f>
        <v>30.410904791791136</v>
      </c>
      <c r="H125" s="83">
        <f t="shared" si="5"/>
        <v>58.333243763536615</v>
      </c>
      <c r="I125" s="225">
        <f t="shared" si="6"/>
        <v>0</v>
      </c>
      <c r="J125" s="42">
        <f t="shared" si="7"/>
        <v>0</v>
      </c>
      <c r="K125" s="5"/>
      <c r="L125" s="10"/>
      <c r="M125" s="11"/>
      <c r="R125" s="11"/>
    </row>
    <row r="126" spans="1:18" x14ac:dyDescent="0.25">
      <c r="A126" s="38">
        <f>Données!A126</f>
        <v>5621</v>
      </c>
      <c r="B126" s="199" t="str">
        <f>Données!B126</f>
        <v>Aclens</v>
      </c>
      <c r="C126" s="351">
        <f>VPI!R126</f>
        <v>32245.149105571847</v>
      </c>
      <c r="D126" s="531">
        <f>Données!AP126</f>
        <v>39.863999252945895</v>
      </c>
      <c r="E126" s="418">
        <f>VPI!Q126</f>
        <v>62</v>
      </c>
      <c r="F126" s="243">
        <f t="shared" si="4"/>
        <v>22.136000747054105</v>
      </c>
      <c r="G126" s="240">
        <f>Effort!I126+Aide!I126/Taux!C126+Effort!K126/Taux!C126</f>
        <v>32.137590781122995</v>
      </c>
      <c r="H126" s="83">
        <f t="shared" si="5"/>
        <v>54.2735915281771</v>
      </c>
      <c r="I126" s="225">
        <f t="shared" si="6"/>
        <v>0</v>
      </c>
      <c r="J126" s="42">
        <f t="shared" si="7"/>
        <v>0</v>
      </c>
      <c r="K126" s="5"/>
      <c r="L126" s="10"/>
      <c r="M126" s="11"/>
      <c r="R126" s="11"/>
    </row>
    <row r="127" spans="1:18" x14ac:dyDescent="0.25">
      <c r="A127" s="38">
        <f>Données!A127</f>
        <v>5622</v>
      </c>
      <c r="B127" s="199" t="str">
        <f>Données!B127</f>
        <v>Bremblens</v>
      </c>
      <c r="C127" s="351">
        <f>VPI!R127</f>
        <v>28642.58897058824</v>
      </c>
      <c r="D127" s="531">
        <f>Données!AP127</f>
        <v>33.568916523240581</v>
      </c>
      <c r="E127" s="418">
        <f>VPI!Q127</f>
        <v>68</v>
      </c>
      <c r="F127" s="243">
        <f t="shared" si="4"/>
        <v>34.431083476759419</v>
      </c>
      <c r="G127" s="240">
        <f>Effort!I127+Aide!I127/Taux!C127+Effort!K127/Taux!C127</f>
        <v>28.597341723161605</v>
      </c>
      <c r="H127" s="83">
        <f t="shared" si="5"/>
        <v>63.028425199921024</v>
      </c>
      <c r="I127" s="225">
        <f t="shared" si="6"/>
        <v>0</v>
      </c>
      <c r="J127" s="42">
        <f t="shared" si="7"/>
        <v>0</v>
      </c>
      <c r="K127" s="5"/>
      <c r="L127" s="10"/>
      <c r="M127" s="11"/>
      <c r="R127" s="11"/>
    </row>
    <row r="128" spans="1:18" x14ac:dyDescent="0.25">
      <c r="A128" s="38">
        <f>Données!A128</f>
        <v>5623</v>
      </c>
      <c r="B128" s="199" t="str">
        <f>Données!B128</f>
        <v>Buchillon</v>
      </c>
      <c r="C128" s="351">
        <f>VPI!R128</f>
        <v>89223.972115384619</v>
      </c>
      <c r="D128" s="531">
        <f>Données!AP128</f>
        <v>48.504997725372412</v>
      </c>
      <c r="E128" s="418">
        <f>VPI!Q128</f>
        <v>52</v>
      </c>
      <c r="F128" s="243">
        <f t="shared" si="4"/>
        <v>3.4950022746275877</v>
      </c>
      <c r="G128" s="240">
        <f>Effort!I128+Aide!I128/Taux!C128+Effort!K128/Taux!C128</f>
        <v>44.485941749411701</v>
      </c>
      <c r="H128" s="83">
        <f t="shared" si="5"/>
        <v>47.980944024039289</v>
      </c>
      <c r="I128" s="225">
        <f t="shared" si="6"/>
        <v>0</v>
      </c>
      <c r="J128" s="42">
        <f t="shared" si="7"/>
        <v>0</v>
      </c>
      <c r="K128" s="5"/>
      <c r="L128" s="10"/>
      <c r="M128" s="11"/>
      <c r="R128" s="11"/>
    </row>
    <row r="129" spans="1:18" x14ac:dyDescent="0.25">
      <c r="A129" s="38">
        <f>Données!A129</f>
        <v>5624</v>
      </c>
      <c r="B129" s="199" t="str">
        <f>Données!B129</f>
        <v>Bussigny</v>
      </c>
      <c r="C129" s="351">
        <f>VPI!R129</f>
        <v>441652.56160000002</v>
      </c>
      <c r="D129" s="531">
        <f>Données!AP129</f>
        <v>21.047670186358207</v>
      </c>
      <c r="E129" s="418">
        <f>VPI!Q129</f>
        <v>62.5</v>
      </c>
      <c r="F129" s="243">
        <f t="shared" si="4"/>
        <v>41.452329813641796</v>
      </c>
      <c r="G129" s="240">
        <f>Effort!I129+Aide!I129/Taux!C129+Effort!K129/Taux!C129</f>
        <v>14.703489663318351</v>
      </c>
      <c r="H129" s="83">
        <f t="shared" si="5"/>
        <v>56.155819476960147</v>
      </c>
      <c r="I129" s="225">
        <f t="shared" si="6"/>
        <v>0</v>
      </c>
      <c r="J129" s="42">
        <f t="shared" si="7"/>
        <v>0</v>
      </c>
      <c r="K129" s="5"/>
      <c r="L129" s="10"/>
      <c r="M129" s="11"/>
      <c r="R129" s="11"/>
    </row>
    <row r="130" spans="1:18" x14ac:dyDescent="0.25">
      <c r="A130" s="38">
        <f>Données!A130</f>
        <v>5627</v>
      </c>
      <c r="B130" s="199" t="str">
        <f>Données!B130</f>
        <v>Chavannes-près-Renens</v>
      </c>
      <c r="C130" s="351">
        <f>VPI!R130</f>
        <v>194013.68774193546</v>
      </c>
      <c r="D130" s="531">
        <f>Données!AP130</f>
        <v>-8.0000000000000036</v>
      </c>
      <c r="E130" s="418">
        <f>VPI!Q130</f>
        <v>77.5</v>
      </c>
      <c r="F130" s="243">
        <f t="shared" si="4"/>
        <v>85.5</v>
      </c>
      <c r="G130" s="240">
        <f>Effort!I130+Aide!I130/Taux!C130+Effort!K130/Taux!C130</f>
        <v>-23.264278685777864</v>
      </c>
      <c r="H130" s="83">
        <f t="shared" si="5"/>
        <v>62.235721314222133</v>
      </c>
      <c r="I130" s="225">
        <f t="shared" si="6"/>
        <v>0</v>
      </c>
      <c r="J130" s="42">
        <f t="shared" si="7"/>
        <v>0</v>
      </c>
      <c r="K130" s="5"/>
      <c r="L130" s="10"/>
      <c r="M130" s="11"/>
      <c r="R130" s="11"/>
    </row>
    <row r="131" spans="1:18" x14ac:dyDescent="0.25">
      <c r="A131" s="38">
        <f>Données!A131</f>
        <v>5628</v>
      </c>
      <c r="B131" s="199" t="str">
        <f>Données!B131</f>
        <v>Chigny</v>
      </c>
      <c r="C131" s="351">
        <f>VPI!R131</f>
        <v>25790.655967741935</v>
      </c>
      <c r="D131" s="531">
        <f>Données!AP131</f>
        <v>38.260002820716714</v>
      </c>
      <c r="E131" s="418">
        <f>VPI!Q131</f>
        <v>62</v>
      </c>
      <c r="F131" s="243">
        <f t="shared" si="4"/>
        <v>23.739997179283286</v>
      </c>
      <c r="G131" s="240">
        <f>Effort!I131+Aide!I131/Taux!C131+Effort!K131/Taux!C131</f>
        <v>33.61503497648448</v>
      </c>
      <c r="H131" s="83">
        <f t="shared" si="5"/>
        <v>57.355032155767766</v>
      </c>
      <c r="I131" s="225">
        <f t="shared" si="6"/>
        <v>0</v>
      </c>
      <c r="J131" s="42">
        <f t="shared" si="7"/>
        <v>0</v>
      </c>
      <c r="K131" s="5"/>
      <c r="L131" s="10"/>
      <c r="M131" s="11"/>
      <c r="R131" s="11"/>
    </row>
    <row r="132" spans="1:18" x14ac:dyDescent="0.25">
      <c r="A132" s="38">
        <f>Données!A132</f>
        <v>5629</v>
      </c>
      <c r="B132" s="199" t="str">
        <f>Données!B132</f>
        <v>Clarmont</v>
      </c>
      <c r="C132" s="351">
        <f>VPI!R132</f>
        <v>9947.9383673469401</v>
      </c>
      <c r="D132" s="531">
        <f>Données!AP132</f>
        <v>29.145003818597946</v>
      </c>
      <c r="E132" s="418">
        <f>VPI!Q132</f>
        <v>73.5</v>
      </c>
      <c r="F132" s="243">
        <f t="shared" si="4"/>
        <v>44.354996181402058</v>
      </c>
      <c r="G132" s="240">
        <f>Effort!I132+Aide!I132/Taux!C132+Effort!K132/Taux!C132</f>
        <v>23.967800994318086</v>
      </c>
      <c r="H132" s="83">
        <f t="shared" si="5"/>
        <v>68.32279717572014</v>
      </c>
      <c r="I132" s="225">
        <f t="shared" si="6"/>
        <v>0</v>
      </c>
      <c r="J132" s="42">
        <f t="shared" si="7"/>
        <v>0</v>
      </c>
      <c r="K132" s="5"/>
      <c r="L132" s="10"/>
      <c r="M132" s="11"/>
      <c r="R132" s="11"/>
    </row>
    <row r="133" spans="1:18" x14ac:dyDescent="0.25">
      <c r="A133" s="38">
        <f>Données!A133</f>
        <v>5631</v>
      </c>
      <c r="B133" s="199" t="str">
        <f>Données!B133</f>
        <v>Denens</v>
      </c>
      <c r="C133" s="351">
        <f>VPI!R133</f>
        <v>43289.846911764696</v>
      </c>
      <c r="D133" s="531">
        <f>Données!AP133</f>
        <v>39.26527263499009</v>
      </c>
      <c r="E133" s="418">
        <f>VPI!Q133</f>
        <v>68</v>
      </c>
      <c r="F133" s="243">
        <f t="shared" si="4"/>
        <v>28.73472736500991</v>
      </c>
      <c r="G133" s="240">
        <f>Effort!I133+Aide!I133/Taux!C133+Effort!K133/Taux!C133</f>
        <v>32.529380296611016</v>
      </c>
      <c r="H133" s="83">
        <f t="shared" si="5"/>
        <v>61.264107661620926</v>
      </c>
      <c r="I133" s="225">
        <f t="shared" si="6"/>
        <v>0</v>
      </c>
      <c r="J133" s="42">
        <f t="shared" si="7"/>
        <v>0</v>
      </c>
      <c r="K133" s="5"/>
      <c r="L133" s="10"/>
      <c r="M133" s="11"/>
      <c r="R133" s="11"/>
    </row>
    <row r="134" spans="1:18" x14ac:dyDescent="0.25">
      <c r="A134" s="38">
        <f>Données!A134</f>
        <v>5632</v>
      </c>
      <c r="B134" s="199" t="str">
        <f>Données!B134</f>
        <v>Denges</v>
      </c>
      <c r="C134" s="351">
        <f>VPI!R134</f>
        <v>80504.673548387087</v>
      </c>
      <c r="D134" s="531">
        <f>Données!AP134</f>
        <v>30.898757239477249</v>
      </c>
      <c r="E134" s="418">
        <f>VPI!Q134</f>
        <v>62</v>
      </c>
      <c r="F134" s="243">
        <f t="shared" si="4"/>
        <v>31.101242760522751</v>
      </c>
      <c r="G134" s="240">
        <f>Effort!I134+Aide!I134/Taux!C134+Effort!K134/Taux!C134</f>
        <v>25.134568536825633</v>
      </c>
      <c r="H134" s="83">
        <f t="shared" si="5"/>
        <v>56.235811297348384</v>
      </c>
      <c r="I134" s="225">
        <f t="shared" si="6"/>
        <v>0</v>
      </c>
      <c r="J134" s="42">
        <f t="shared" si="7"/>
        <v>0</v>
      </c>
      <c r="K134" s="5"/>
      <c r="L134" s="10"/>
      <c r="M134" s="11"/>
      <c r="R134" s="11"/>
    </row>
    <row r="135" spans="1:18" x14ac:dyDescent="0.25">
      <c r="A135" s="38">
        <f>Données!A135</f>
        <v>5633</v>
      </c>
      <c r="B135" s="199" t="str">
        <f>Données!B135</f>
        <v>Echandens</v>
      </c>
      <c r="C135" s="351">
        <f>VPI!R135</f>
        <v>168819.8966942149</v>
      </c>
      <c r="D135" s="531">
        <f>Données!AP135</f>
        <v>35.895220065316678</v>
      </c>
      <c r="E135" s="418">
        <f>VPI!Q135</f>
        <v>60.5</v>
      </c>
      <c r="F135" s="243">
        <f t="shared" ref="F135:F198" si="8">E135-D135</f>
        <v>24.604779934683322</v>
      </c>
      <c r="G135" s="240">
        <f>Effort!I135+Aide!I135/Taux!C135+Effort!K135/Taux!C135</f>
        <v>26.732497499701456</v>
      </c>
      <c r="H135" s="83">
        <f t="shared" ref="H135:H198" si="9">F135+G135</f>
        <v>51.337277434384774</v>
      </c>
      <c r="I135" s="225">
        <f t="shared" ref="I135:I198" si="10">IF(H135&gt;$I$5,H135-$I$5,0)</f>
        <v>0</v>
      </c>
      <c r="J135" s="42">
        <f t="shared" ref="J135:J198" si="11">-I135*C135</f>
        <v>0</v>
      </c>
      <c r="K135" s="5"/>
      <c r="L135" s="10"/>
      <c r="M135" s="11"/>
      <c r="R135" s="11"/>
    </row>
    <row r="136" spans="1:18" x14ac:dyDescent="0.25">
      <c r="A136" s="38">
        <f>Données!A136</f>
        <v>5634</v>
      </c>
      <c r="B136" s="199" t="str">
        <f>Données!B136</f>
        <v>Echichens</v>
      </c>
      <c r="C136" s="351">
        <f>VPI!R136</f>
        <v>152560.86727272728</v>
      </c>
      <c r="D136" s="531">
        <f>Données!AP136</f>
        <v>32.563794250399646</v>
      </c>
      <c r="E136" s="418">
        <f>VPI!Q136</f>
        <v>66</v>
      </c>
      <c r="F136" s="243">
        <f t="shared" si="8"/>
        <v>33.436205749600354</v>
      </c>
      <c r="G136" s="240">
        <f>Effort!I136+Aide!I136/Taux!C136+Effort!K136/Taux!C136</f>
        <v>25.259608204456427</v>
      </c>
      <c r="H136" s="83">
        <f t="shared" si="9"/>
        <v>58.695813954056781</v>
      </c>
      <c r="I136" s="225">
        <f t="shared" si="10"/>
        <v>0</v>
      </c>
      <c r="J136" s="42">
        <f t="shared" si="11"/>
        <v>0</v>
      </c>
      <c r="K136" s="5"/>
      <c r="L136" s="10"/>
      <c r="M136" s="11"/>
      <c r="R136" s="11"/>
    </row>
    <row r="137" spans="1:18" x14ac:dyDescent="0.25">
      <c r="A137" s="38">
        <f>Données!A137</f>
        <v>5635</v>
      </c>
      <c r="B137" s="199" t="str">
        <f>Données!B137</f>
        <v>Ecublens</v>
      </c>
      <c r="C137" s="351">
        <f>VPI!R137</f>
        <v>655936.21421333333</v>
      </c>
      <c r="D137" s="531">
        <f>Données!AP137</f>
        <v>19.176649382931217</v>
      </c>
      <c r="E137" s="418">
        <f>VPI!Q137</f>
        <v>62.5</v>
      </c>
      <c r="F137" s="243">
        <f t="shared" si="8"/>
        <v>43.323350617068783</v>
      </c>
      <c r="G137" s="240">
        <f>Effort!I137+Aide!I137/Taux!C137+Effort!K137/Taux!C137</f>
        <v>15.929609076286551</v>
      </c>
      <c r="H137" s="83">
        <f t="shared" si="9"/>
        <v>59.252959693355336</v>
      </c>
      <c r="I137" s="225">
        <f t="shared" si="10"/>
        <v>0</v>
      </c>
      <c r="J137" s="42">
        <f t="shared" si="11"/>
        <v>0</v>
      </c>
      <c r="K137" s="5"/>
      <c r="L137" s="10"/>
      <c r="M137" s="11"/>
      <c r="R137" s="11"/>
    </row>
    <row r="138" spans="1:18" x14ac:dyDescent="0.25">
      <c r="A138" s="38">
        <f>Données!A138</f>
        <v>5636</v>
      </c>
      <c r="B138" s="199" t="str">
        <f>Données!B138</f>
        <v>Etoy</v>
      </c>
      <c r="C138" s="351">
        <f>VPI!R138</f>
        <v>186941.23816666668</v>
      </c>
      <c r="D138" s="531">
        <f>Données!AP138</f>
        <v>35.946716043588609</v>
      </c>
      <c r="E138" s="418">
        <f>VPI!Q138</f>
        <v>60</v>
      </c>
      <c r="F138" s="243">
        <f t="shared" si="8"/>
        <v>24.053283956411391</v>
      </c>
      <c r="G138" s="240">
        <f>Effort!I138+Aide!I138/Taux!C138+Effort!K138/Taux!C138</f>
        <v>31.212795523037094</v>
      </c>
      <c r="H138" s="83">
        <f t="shared" si="9"/>
        <v>55.266079479448486</v>
      </c>
      <c r="I138" s="225">
        <f t="shared" si="10"/>
        <v>0</v>
      </c>
      <c r="J138" s="42">
        <f t="shared" si="11"/>
        <v>0</v>
      </c>
      <c r="K138" s="5"/>
      <c r="L138" s="10"/>
      <c r="M138" s="11"/>
      <c r="R138" s="11"/>
    </row>
    <row r="139" spans="1:18" x14ac:dyDescent="0.25">
      <c r="A139" s="38">
        <f>Données!A139</f>
        <v>5637</v>
      </c>
      <c r="B139" s="199" t="str">
        <f>Données!B139</f>
        <v>Lavigny</v>
      </c>
      <c r="C139" s="351">
        <f>VPI!R139</f>
        <v>37899.400821917814</v>
      </c>
      <c r="D139" s="531">
        <f>Données!AP139</f>
        <v>32.255120035388714</v>
      </c>
      <c r="E139" s="418">
        <f>VPI!Q139</f>
        <v>73</v>
      </c>
      <c r="F139" s="243">
        <f t="shared" si="8"/>
        <v>40.744879964611286</v>
      </c>
      <c r="G139" s="240">
        <f>Effort!I139+Aide!I139/Taux!C139+Effort!K139/Taux!C139</f>
        <v>18.96278987318847</v>
      </c>
      <c r="H139" s="83">
        <f t="shared" si="9"/>
        <v>59.707669837799756</v>
      </c>
      <c r="I139" s="225">
        <f t="shared" si="10"/>
        <v>0</v>
      </c>
      <c r="J139" s="42">
        <f t="shared" si="11"/>
        <v>0</v>
      </c>
      <c r="K139" s="5"/>
      <c r="L139" s="10"/>
      <c r="M139" s="11"/>
      <c r="R139" s="11"/>
    </row>
    <row r="140" spans="1:18" x14ac:dyDescent="0.25">
      <c r="A140" s="38">
        <f>Données!A140</f>
        <v>5638</v>
      </c>
      <c r="B140" s="199" t="str">
        <f>Données!B140</f>
        <v>Lonay</v>
      </c>
      <c r="C140" s="351">
        <f>VPI!R140</f>
        <v>174116.12454545454</v>
      </c>
      <c r="D140" s="531">
        <f>Données!AP140</f>
        <v>38.434506841527707</v>
      </c>
      <c r="E140" s="418">
        <f>VPI!Q140</f>
        <v>55</v>
      </c>
      <c r="F140" s="243">
        <f t="shared" si="8"/>
        <v>16.565493158472293</v>
      </c>
      <c r="G140" s="240">
        <f>Effort!I140+Aide!I140/Taux!C140+Effort!K140/Taux!C140</f>
        <v>28.651645876073569</v>
      </c>
      <c r="H140" s="83">
        <f t="shared" si="9"/>
        <v>45.217139034545866</v>
      </c>
      <c r="I140" s="225">
        <f t="shared" si="10"/>
        <v>0</v>
      </c>
      <c r="J140" s="42">
        <f t="shared" si="11"/>
        <v>0</v>
      </c>
      <c r="K140" s="5"/>
      <c r="L140" s="10"/>
      <c r="M140" s="11"/>
      <c r="R140" s="11"/>
    </row>
    <row r="141" spans="1:18" x14ac:dyDescent="0.25">
      <c r="A141" s="38">
        <f>Données!A141</f>
        <v>5639</v>
      </c>
      <c r="B141" s="199" t="str">
        <f>Données!B141</f>
        <v>Lully</v>
      </c>
      <c r="C141" s="351">
        <f>VPI!R141</f>
        <v>53706.334426229514</v>
      </c>
      <c r="D141" s="531">
        <f>Données!AP141</f>
        <v>35.330041043809203</v>
      </c>
      <c r="E141" s="418">
        <f>VPI!Q141</f>
        <v>61</v>
      </c>
      <c r="F141" s="243">
        <f t="shared" si="8"/>
        <v>25.669958956190797</v>
      </c>
      <c r="G141" s="240">
        <f>Effort!I141+Aide!I141/Taux!C141+Effort!K141/Taux!C141</f>
        <v>33.860595523964875</v>
      </c>
      <c r="H141" s="83">
        <f t="shared" si="9"/>
        <v>59.530554480155672</v>
      </c>
      <c r="I141" s="225">
        <f t="shared" si="10"/>
        <v>0</v>
      </c>
      <c r="J141" s="42">
        <f t="shared" si="11"/>
        <v>0</v>
      </c>
      <c r="K141" s="5"/>
      <c r="L141" s="10"/>
      <c r="M141" s="11"/>
      <c r="R141" s="11"/>
    </row>
    <row r="142" spans="1:18" x14ac:dyDescent="0.25">
      <c r="A142" s="38">
        <f>Données!A142</f>
        <v>5640</v>
      </c>
      <c r="B142" s="199" t="str">
        <f>Données!B142</f>
        <v>Lussy-sur-Morges</v>
      </c>
      <c r="C142" s="351">
        <f>VPI!R142</f>
        <v>70525.081395348854</v>
      </c>
      <c r="D142" s="531">
        <f>Données!AP142</f>
        <v>43.538700830720344</v>
      </c>
      <c r="E142" s="418">
        <f>VPI!Q142</f>
        <v>64.5</v>
      </c>
      <c r="F142" s="243">
        <f t="shared" si="8"/>
        <v>20.961299169279656</v>
      </c>
      <c r="G142" s="240">
        <f>Effort!I142+Aide!I142/Taux!C142+Effort!K142/Taux!C142</f>
        <v>41.174229512211667</v>
      </c>
      <c r="H142" s="83">
        <f t="shared" si="9"/>
        <v>62.135528681491323</v>
      </c>
      <c r="I142" s="225">
        <f t="shared" si="10"/>
        <v>0</v>
      </c>
      <c r="J142" s="42">
        <f t="shared" si="11"/>
        <v>0</v>
      </c>
      <c r="K142" s="5"/>
      <c r="L142" s="10"/>
      <c r="M142" s="11"/>
      <c r="R142" s="11"/>
    </row>
    <row r="143" spans="1:18" x14ac:dyDescent="0.25">
      <c r="A143" s="38">
        <f>Données!A143</f>
        <v>5642</v>
      </c>
      <c r="B143" s="199" t="str">
        <f>Données!B143</f>
        <v>Morges</v>
      </c>
      <c r="C143" s="351">
        <f>VPI!R143</f>
        <v>838094.10597014928</v>
      </c>
      <c r="D143" s="531">
        <f>Données!AP143</f>
        <v>26.89222001001475</v>
      </c>
      <c r="E143" s="418">
        <f>VPI!Q143</f>
        <v>67</v>
      </c>
      <c r="F143" s="243">
        <f t="shared" si="8"/>
        <v>40.107779989985247</v>
      </c>
      <c r="G143" s="240">
        <f>Effort!I143+Aide!I143/Taux!C143+Effort!K143/Taux!C143</f>
        <v>16.844006933396638</v>
      </c>
      <c r="H143" s="83">
        <f t="shared" si="9"/>
        <v>56.951786923381889</v>
      </c>
      <c r="I143" s="225">
        <f t="shared" si="10"/>
        <v>0</v>
      </c>
      <c r="J143" s="42">
        <f t="shared" si="11"/>
        <v>0</v>
      </c>
      <c r="K143" s="5"/>
      <c r="L143" s="10"/>
      <c r="M143" s="11"/>
      <c r="R143" s="11"/>
    </row>
    <row r="144" spans="1:18" x14ac:dyDescent="0.25">
      <c r="A144" s="38">
        <f>Données!A144</f>
        <v>5643</v>
      </c>
      <c r="B144" s="199" t="str">
        <f>Données!B144</f>
        <v>Préverenges</v>
      </c>
      <c r="C144" s="351">
        <f>VPI!R144</f>
        <v>257720.44144</v>
      </c>
      <c r="D144" s="531">
        <f>Données!AP144</f>
        <v>29.054785112444456</v>
      </c>
      <c r="E144" s="418">
        <f>VPI!Q144</f>
        <v>62.5</v>
      </c>
      <c r="F144" s="243">
        <f t="shared" si="8"/>
        <v>33.445214887555544</v>
      </c>
      <c r="G144" s="240">
        <f>Effort!I144+Aide!I144/Taux!C144+Effort!K144/Taux!C144</f>
        <v>24.557926095717011</v>
      </c>
      <c r="H144" s="83">
        <f t="shared" si="9"/>
        <v>58.003140983272559</v>
      </c>
      <c r="I144" s="225">
        <f t="shared" si="10"/>
        <v>0</v>
      </c>
      <c r="J144" s="42">
        <f t="shared" si="11"/>
        <v>0</v>
      </c>
      <c r="K144" s="5"/>
      <c r="L144" s="10"/>
      <c r="M144" s="11"/>
      <c r="R144" s="11"/>
    </row>
    <row r="145" spans="1:18" x14ac:dyDescent="0.25">
      <c r="A145" s="38">
        <f>Données!A145</f>
        <v>5645</v>
      </c>
      <c r="B145" s="199" t="str">
        <f>Données!B145</f>
        <v>Romanel-sur-Morges</v>
      </c>
      <c r="C145" s="351">
        <f>VPI!R145</f>
        <v>26576.594107142857</v>
      </c>
      <c r="D145" s="531">
        <f>Données!AP145</f>
        <v>38.003789057467586</v>
      </c>
      <c r="E145" s="418">
        <f>VPI!Q145</f>
        <v>56</v>
      </c>
      <c r="F145" s="243">
        <f t="shared" si="8"/>
        <v>17.996210942532414</v>
      </c>
      <c r="G145" s="240">
        <f>Effort!I145+Aide!I145/Taux!C145+Effort!K145/Taux!C145</f>
        <v>31.488342762814831</v>
      </c>
      <c r="H145" s="83">
        <f t="shared" si="9"/>
        <v>49.484553705347246</v>
      </c>
      <c r="I145" s="225">
        <f t="shared" si="10"/>
        <v>0</v>
      </c>
      <c r="J145" s="42">
        <f t="shared" si="11"/>
        <v>0</v>
      </c>
      <c r="K145" s="5"/>
      <c r="L145" s="10"/>
      <c r="M145" s="11"/>
      <c r="R145" s="11"/>
    </row>
    <row r="146" spans="1:18" x14ac:dyDescent="0.25">
      <c r="A146" s="38">
        <f>Données!A146</f>
        <v>5646</v>
      </c>
      <c r="B146" s="199" t="str">
        <f>Données!B146</f>
        <v>Saint-Prex</v>
      </c>
      <c r="C146" s="351">
        <f>VPI!R146</f>
        <v>527362.62542372884</v>
      </c>
      <c r="D146" s="531">
        <f>Données!AP146</f>
        <v>41.113924823065467</v>
      </c>
      <c r="E146" s="418">
        <f>VPI!Q146</f>
        <v>59</v>
      </c>
      <c r="F146" s="243">
        <f t="shared" si="8"/>
        <v>17.886075176934533</v>
      </c>
      <c r="G146" s="240">
        <f>Effort!I146+Aide!I146/Taux!C146+Effort!K146/Taux!C146</f>
        <v>36.201014765511232</v>
      </c>
      <c r="H146" s="83">
        <f t="shared" si="9"/>
        <v>54.087089942445765</v>
      </c>
      <c r="I146" s="225">
        <f t="shared" si="10"/>
        <v>0</v>
      </c>
      <c r="J146" s="42">
        <f t="shared" si="11"/>
        <v>0</v>
      </c>
      <c r="K146" s="5"/>
      <c r="L146" s="10"/>
      <c r="M146" s="11"/>
      <c r="R146" s="11"/>
    </row>
    <row r="147" spans="1:18" x14ac:dyDescent="0.25">
      <c r="A147" s="38">
        <f>Données!A147</f>
        <v>5648</v>
      </c>
      <c r="B147" s="199" t="str">
        <f>Données!B147</f>
        <v>Saint-Sulpice</v>
      </c>
      <c r="C147" s="351">
        <f>VPI!R147</f>
        <v>394357.66704545449</v>
      </c>
      <c r="D147" s="531">
        <f>Données!AP147</f>
        <v>38.673488428514034</v>
      </c>
      <c r="E147" s="418">
        <f>VPI!Q147</f>
        <v>55</v>
      </c>
      <c r="F147" s="243">
        <f t="shared" si="8"/>
        <v>16.326511571485966</v>
      </c>
      <c r="G147" s="240">
        <f>Effort!I147+Aide!I147/Taux!C147+Effort!K147/Taux!C147</f>
        <v>33.79083405301138</v>
      </c>
      <c r="H147" s="83">
        <f t="shared" si="9"/>
        <v>50.117345624497347</v>
      </c>
      <c r="I147" s="225">
        <f t="shared" si="10"/>
        <v>0</v>
      </c>
      <c r="J147" s="42">
        <f t="shared" si="11"/>
        <v>0</v>
      </c>
      <c r="K147" s="5"/>
      <c r="L147" s="10"/>
      <c r="M147" s="11"/>
      <c r="R147" s="11"/>
    </row>
    <row r="148" spans="1:18" x14ac:dyDescent="0.25">
      <c r="A148" s="38">
        <f>Données!A148</f>
        <v>5649</v>
      </c>
      <c r="B148" s="199" t="str">
        <f>Données!B148</f>
        <v>Tolochenaz</v>
      </c>
      <c r="C148" s="351">
        <f>VPI!R148</f>
        <v>155562.29718749996</v>
      </c>
      <c r="D148" s="531">
        <f>Données!AP148</f>
        <v>46.648358762405771</v>
      </c>
      <c r="E148" s="418">
        <f>VPI!Q148</f>
        <v>64</v>
      </c>
      <c r="F148" s="243">
        <f t="shared" si="8"/>
        <v>17.351641237594229</v>
      </c>
      <c r="G148" s="240">
        <f>Effort!I148+Aide!I148/Taux!C148+Effort!K148/Taux!C148</f>
        <v>35.911752500886301</v>
      </c>
      <c r="H148" s="83">
        <f t="shared" si="9"/>
        <v>53.263393738480531</v>
      </c>
      <c r="I148" s="225">
        <f t="shared" si="10"/>
        <v>0</v>
      </c>
      <c r="J148" s="42">
        <f t="shared" si="11"/>
        <v>0</v>
      </c>
      <c r="K148" s="5"/>
      <c r="L148" s="10"/>
      <c r="M148" s="11"/>
      <c r="R148" s="11"/>
    </row>
    <row r="149" spans="1:18" x14ac:dyDescent="0.25">
      <c r="A149" s="38">
        <f>Données!A149</f>
        <v>5650</v>
      </c>
      <c r="B149" s="199" t="str">
        <f>Données!B149</f>
        <v>Vaux-sur-Morges</v>
      </c>
      <c r="C149" s="351">
        <f>VPI!R149</f>
        <v>83125.210178571419</v>
      </c>
      <c r="D149" s="531">
        <f>Données!AP149</f>
        <v>48.306994971408955</v>
      </c>
      <c r="E149" s="418">
        <f>VPI!Q149</f>
        <v>56</v>
      </c>
      <c r="F149" s="243">
        <f t="shared" si="8"/>
        <v>7.6930050285910454</v>
      </c>
      <c r="G149" s="240">
        <f>Effort!I149+Aide!I149/Taux!C149+Effort!K149/Taux!C149</f>
        <v>48</v>
      </c>
      <c r="H149" s="83">
        <f t="shared" si="9"/>
        <v>55.693005028591045</v>
      </c>
      <c r="I149" s="225">
        <f t="shared" si="10"/>
        <v>0</v>
      </c>
      <c r="J149" s="42">
        <f t="shared" si="11"/>
        <v>0</v>
      </c>
      <c r="K149" s="5"/>
      <c r="L149" s="10"/>
      <c r="M149" s="11"/>
      <c r="R149" s="11"/>
    </row>
    <row r="150" spans="1:18" x14ac:dyDescent="0.25">
      <c r="A150" s="38">
        <f>Données!A150</f>
        <v>5651</v>
      </c>
      <c r="B150" s="199" t="str">
        <f>Données!B150</f>
        <v>Villars-Sainte-Croix</v>
      </c>
      <c r="C150" s="351">
        <f>VPI!R150</f>
        <v>57448.170743801653</v>
      </c>
      <c r="D150" s="531">
        <f>Données!AP150</f>
        <v>37.910737660133144</v>
      </c>
      <c r="E150" s="418">
        <f>VPI!Q150</f>
        <v>60.5</v>
      </c>
      <c r="F150" s="243">
        <f t="shared" si="8"/>
        <v>22.589262339866856</v>
      </c>
      <c r="G150" s="240">
        <f>Effort!I150+Aide!I150/Taux!C150+Effort!K150/Taux!C150</f>
        <v>32.49835661325389</v>
      </c>
      <c r="H150" s="83">
        <f t="shared" si="9"/>
        <v>55.087618953120746</v>
      </c>
      <c r="I150" s="225">
        <f t="shared" si="10"/>
        <v>0</v>
      </c>
      <c r="J150" s="42">
        <f t="shared" si="11"/>
        <v>0</v>
      </c>
      <c r="K150" s="5"/>
      <c r="L150" s="10"/>
      <c r="M150" s="11"/>
      <c r="R150" s="11"/>
    </row>
    <row r="151" spans="1:18" x14ac:dyDescent="0.25">
      <c r="A151" s="38">
        <f>Données!A151</f>
        <v>5652</v>
      </c>
      <c r="B151" s="199" t="str">
        <f>Données!B151</f>
        <v>Villars-sous-Yens</v>
      </c>
      <c r="C151" s="351">
        <f>VPI!R151</f>
        <v>25907.601491228066</v>
      </c>
      <c r="D151" s="531">
        <f>Données!AP151</f>
        <v>31.615317232029362</v>
      </c>
      <c r="E151" s="418">
        <f>VPI!Q151</f>
        <v>76</v>
      </c>
      <c r="F151" s="243">
        <f t="shared" si="8"/>
        <v>44.384682767970638</v>
      </c>
      <c r="G151" s="240">
        <f>Effort!I151+Aide!I151/Taux!C151+Effort!K151/Taux!C151</f>
        <v>24.197701103427747</v>
      </c>
      <c r="H151" s="83">
        <f t="shared" si="9"/>
        <v>68.582383871398378</v>
      </c>
      <c r="I151" s="225">
        <f t="shared" si="10"/>
        <v>0</v>
      </c>
      <c r="J151" s="42">
        <f t="shared" si="11"/>
        <v>0</v>
      </c>
      <c r="K151" s="5"/>
      <c r="L151" s="10"/>
      <c r="M151" s="11"/>
      <c r="R151" s="11"/>
    </row>
    <row r="152" spans="1:18" x14ac:dyDescent="0.25">
      <c r="A152" s="38">
        <f>Données!A152</f>
        <v>5653</v>
      </c>
      <c r="B152" s="199" t="str">
        <f>Données!B152</f>
        <v>Vufflens-le-Château</v>
      </c>
      <c r="C152" s="351">
        <f>VPI!R152</f>
        <v>67686.262735042736</v>
      </c>
      <c r="D152" s="531">
        <f>Données!AP152</f>
        <v>42.146846225974741</v>
      </c>
      <c r="E152" s="418">
        <f>VPI!Q152</f>
        <v>58.5</v>
      </c>
      <c r="F152" s="243">
        <f t="shared" si="8"/>
        <v>16.353153774025259</v>
      </c>
      <c r="G152" s="240">
        <f>Effort!I152+Aide!I152/Taux!C152+Effort!K152/Taux!C152</f>
        <v>36.263701440119178</v>
      </c>
      <c r="H152" s="83">
        <f t="shared" si="9"/>
        <v>52.616855214144437</v>
      </c>
      <c r="I152" s="225">
        <f t="shared" si="10"/>
        <v>0</v>
      </c>
      <c r="J152" s="42">
        <f t="shared" si="11"/>
        <v>0</v>
      </c>
      <c r="K152" s="5"/>
      <c r="L152" s="10"/>
      <c r="M152" s="11"/>
      <c r="R152" s="11"/>
    </row>
    <row r="153" spans="1:18" x14ac:dyDescent="0.25">
      <c r="A153" s="38">
        <f>Données!A153</f>
        <v>5654</v>
      </c>
      <c r="B153" s="199" t="str">
        <f>Données!B153</f>
        <v>Vullierens</v>
      </c>
      <c r="C153" s="351">
        <f>VPI!R153</f>
        <v>20663.918947368424</v>
      </c>
      <c r="D153" s="531">
        <f>Données!AP153</f>
        <v>27.572553924672114</v>
      </c>
      <c r="E153" s="418">
        <f>VPI!Q153</f>
        <v>76</v>
      </c>
      <c r="F153" s="243">
        <f t="shared" si="8"/>
        <v>48.427446075327886</v>
      </c>
      <c r="G153" s="240">
        <f>Effort!I153+Aide!I153/Taux!C153+Effort!K153/Taux!C153</f>
        <v>16.628679365928797</v>
      </c>
      <c r="H153" s="83">
        <f t="shared" si="9"/>
        <v>65.056125441256683</v>
      </c>
      <c r="I153" s="225">
        <f t="shared" si="10"/>
        <v>0</v>
      </c>
      <c r="J153" s="42">
        <f t="shared" si="11"/>
        <v>0</v>
      </c>
      <c r="K153" s="5"/>
      <c r="L153" s="10"/>
      <c r="M153" s="11"/>
      <c r="R153" s="11"/>
    </row>
    <row r="154" spans="1:18" x14ac:dyDescent="0.25">
      <c r="A154" s="38">
        <f>Données!A154</f>
        <v>5655</v>
      </c>
      <c r="B154" s="199" t="str">
        <f>Données!B154</f>
        <v>Yens</v>
      </c>
      <c r="C154" s="351">
        <f>VPI!R154</f>
        <v>73733.325734265731</v>
      </c>
      <c r="D154" s="531">
        <f>Données!AP154</f>
        <v>37.379688550683021</v>
      </c>
      <c r="E154" s="418">
        <f>VPI!Q154</f>
        <v>71.5</v>
      </c>
      <c r="F154" s="243">
        <f t="shared" si="8"/>
        <v>34.120311449316979</v>
      </c>
      <c r="G154" s="240">
        <f>Effort!I154+Aide!I154/Taux!C154+Effort!K154/Taux!C154</f>
        <v>28.145046226083728</v>
      </c>
      <c r="H154" s="83">
        <f t="shared" si="9"/>
        <v>62.265357675400708</v>
      </c>
      <c r="I154" s="225">
        <f t="shared" si="10"/>
        <v>0</v>
      </c>
      <c r="J154" s="42">
        <f t="shared" si="11"/>
        <v>0</v>
      </c>
      <c r="K154" s="5"/>
      <c r="L154" s="10"/>
      <c r="M154" s="11"/>
      <c r="R154" s="11"/>
    </row>
    <row r="155" spans="1:18" x14ac:dyDescent="0.25">
      <c r="A155" s="38">
        <f>Données!A155</f>
        <v>5656</v>
      </c>
      <c r="B155" s="199" t="str">
        <f>Données!B155</f>
        <v>Hautemorges</v>
      </c>
      <c r="C155" s="351">
        <f>VPI!R155</f>
        <v>172159.8076957982</v>
      </c>
      <c r="D155" s="531">
        <f>Données!AP155</f>
        <v>23.49632391717925</v>
      </c>
      <c r="E155" s="418">
        <f>VPI!Q155</f>
        <v>73.459999999999994</v>
      </c>
      <c r="F155" s="243">
        <f t="shared" si="8"/>
        <v>49.96367608282074</v>
      </c>
      <c r="G155" s="240">
        <f>Effort!I155+Aide!I155/Taux!C155+Effort!K155/Taux!C155</f>
        <v>8.5594870329840695</v>
      </c>
      <c r="H155" s="83">
        <f t="shared" si="9"/>
        <v>58.523163115804806</v>
      </c>
      <c r="I155" s="225">
        <f t="shared" si="10"/>
        <v>0</v>
      </c>
      <c r="J155" s="42">
        <f t="shared" si="11"/>
        <v>0</v>
      </c>
      <c r="K155" s="5"/>
      <c r="L155" s="10"/>
      <c r="M155" s="11"/>
      <c r="R155" s="11"/>
    </row>
    <row r="156" spans="1:18" x14ac:dyDescent="0.25">
      <c r="A156" s="38">
        <f>Données!A156</f>
        <v>5661</v>
      </c>
      <c r="B156" s="199" t="str">
        <f>Données!B156</f>
        <v>Boulens</v>
      </c>
      <c r="C156" s="351">
        <f>VPI!R156</f>
        <v>11226.317902097902</v>
      </c>
      <c r="D156" s="531">
        <f>Données!AP156</f>
        <v>17.126841970291277</v>
      </c>
      <c r="E156" s="418">
        <f>VPI!Q156</f>
        <v>71.5</v>
      </c>
      <c r="F156" s="243">
        <f t="shared" si="8"/>
        <v>54.373158029708719</v>
      </c>
      <c r="G156" s="240">
        <f>Effort!I156+Aide!I156/Taux!C156+Effort!K156/Taux!C156</f>
        <v>14.23679605562821</v>
      </c>
      <c r="H156" s="83">
        <f t="shared" si="9"/>
        <v>68.609954085336923</v>
      </c>
      <c r="I156" s="225">
        <f t="shared" si="10"/>
        <v>0</v>
      </c>
      <c r="J156" s="42">
        <f t="shared" si="11"/>
        <v>0</v>
      </c>
      <c r="K156" s="5"/>
      <c r="L156" s="10"/>
      <c r="M156" s="11"/>
      <c r="R156" s="11"/>
    </row>
    <row r="157" spans="1:18" x14ac:dyDescent="0.25">
      <c r="A157" s="38">
        <f>Données!A157</f>
        <v>5663</v>
      </c>
      <c r="B157" s="199" t="str">
        <f>Données!B157</f>
        <v>Bussy-sur-Moudon</v>
      </c>
      <c r="C157" s="351">
        <f>VPI!R157</f>
        <v>5263.613630573248</v>
      </c>
      <c r="D157" s="531">
        <f>Données!AP157</f>
        <v>8.4414532447888071</v>
      </c>
      <c r="E157" s="418">
        <f>VPI!Q157</f>
        <v>78.5</v>
      </c>
      <c r="F157" s="243">
        <f t="shared" si="8"/>
        <v>70.058546755211196</v>
      </c>
      <c r="G157" s="240">
        <f>Effort!I157+Aide!I157/Taux!C157+Effort!K157/Taux!C157</f>
        <v>-4.1766322635509923</v>
      </c>
      <c r="H157" s="83">
        <f t="shared" si="9"/>
        <v>65.881914491660211</v>
      </c>
      <c r="I157" s="225">
        <f t="shared" si="10"/>
        <v>0</v>
      </c>
      <c r="J157" s="42">
        <f t="shared" si="11"/>
        <v>0</v>
      </c>
      <c r="K157" s="5"/>
      <c r="L157" s="10"/>
      <c r="M157" s="11"/>
      <c r="R157" s="11"/>
    </row>
    <row r="158" spans="1:18" x14ac:dyDescent="0.25">
      <c r="A158" s="38">
        <f>Données!A158</f>
        <v>5665</v>
      </c>
      <c r="B158" s="199" t="str">
        <f>Données!B158</f>
        <v>Chavannes-sur-Moudon</v>
      </c>
      <c r="C158" s="351">
        <f>VPI!R158</f>
        <v>4920.7560000000012</v>
      </c>
      <c r="D158" s="531">
        <f>Données!AP158</f>
        <v>22.799086366639344</v>
      </c>
      <c r="E158" s="418">
        <f>VPI!Q158</f>
        <v>70</v>
      </c>
      <c r="F158" s="243">
        <f t="shared" si="8"/>
        <v>47.200913633360656</v>
      </c>
      <c r="G158" s="240">
        <f>Effort!I158+Aide!I158/Taux!C158+Effort!K158/Taux!C158</f>
        <v>2.876418863630672</v>
      </c>
      <c r="H158" s="83">
        <f t="shared" si="9"/>
        <v>50.077332496991332</v>
      </c>
      <c r="I158" s="225">
        <f t="shared" si="10"/>
        <v>0</v>
      </c>
      <c r="J158" s="42">
        <f t="shared" si="11"/>
        <v>0</v>
      </c>
      <c r="K158" s="5"/>
      <c r="L158" s="10"/>
      <c r="M158" s="11"/>
      <c r="R158" s="11"/>
    </row>
    <row r="159" spans="1:18" x14ac:dyDescent="0.25">
      <c r="A159" s="38">
        <f>Données!A159</f>
        <v>5669</v>
      </c>
      <c r="B159" s="199" t="str">
        <f>Données!B159</f>
        <v>Curtilles</v>
      </c>
      <c r="C159" s="351">
        <f>VPI!R159</f>
        <v>9337.6116438356166</v>
      </c>
      <c r="D159" s="531">
        <f>Données!AP159</f>
        <v>24.219006441093146</v>
      </c>
      <c r="E159" s="418">
        <f>VPI!Q159</f>
        <v>73</v>
      </c>
      <c r="F159" s="243">
        <f t="shared" si="8"/>
        <v>48.780993558906857</v>
      </c>
      <c r="G159" s="240">
        <f>Effort!I159+Aide!I159/Taux!C159+Effort!K159/Taux!C159</f>
        <v>16.819696191576554</v>
      </c>
      <c r="H159" s="83">
        <f t="shared" si="9"/>
        <v>65.600689750483411</v>
      </c>
      <c r="I159" s="225">
        <f t="shared" si="10"/>
        <v>0</v>
      </c>
      <c r="J159" s="42">
        <f t="shared" si="11"/>
        <v>0</v>
      </c>
      <c r="K159" s="5"/>
      <c r="L159" s="10"/>
      <c r="M159" s="11"/>
      <c r="R159" s="11"/>
    </row>
    <row r="160" spans="1:18" x14ac:dyDescent="0.25">
      <c r="A160" s="38">
        <f>Données!A160</f>
        <v>5671</v>
      </c>
      <c r="B160" s="199" t="str">
        <f>Données!B160</f>
        <v>Dompierre</v>
      </c>
      <c r="C160" s="351">
        <f>VPI!R160</f>
        <v>6463.499743589743</v>
      </c>
      <c r="D160" s="531">
        <f>Données!AP160</f>
        <v>12.280786506597034</v>
      </c>
      <c r="E160" s="418">
        <f>VPI!Q160</f>
        <v>78</v>
      </c>
      <c r="F160" s="243">
        <f t="shared" si="8"/>
        <v>65.719213493402961</v>
      </c>
      <c r="G160" s="240">
        <f>Effort!I160+Aide!I160/Taux!C160+Effort!K160/Taux!C160</f>
        <v>7.0291652322730283</v>
      </c>
      <c r="H160" s="83">
        <f t="shared" si="9"/>
        <v>72.748378725675991</v>
      </c>
      <c r="I160" s="225">
        <f t="shared" si="10"/>
        <v>0</v>
      </c>
      <c r="J160" s="42">
        <f t="shared" si="11"/>
        <v>0</v>
      </c>
      <c r="K160" s="5"/>
      <c r="L160" s="10"/>
      <c r="M160" s="11"/>
      <c r="R160" s="11"/>
    </row>
    <row r="161" spans="1:18" x14ac:dyDescent="0.25">
      <c r="A161" s="38">
        <f>Données!A161</f>
        <v>5673</v>
      </c>
      <c r="B161" s="199" t="str">
        <f>Données!B161</f>
        <v>Hermenches</v>
      </c>
      <c r="C161" s="351">
        <f>VPI!R161</f>
        <v>10227.21768707483</v>
      </c>
      <c r="D161" s="531">
        <f>Données!AP161</f>
        <v>16.214043546999786</v>
      </c>
      <c r="E161" s="418">
        <f>VPI!Q161</f>
        <v>73.5</v>
      </c>
      <c r="F161" s="243">
        <f t="shared" si="8"/>
        <v>57.28595645300021</v>
      </c>
      <c r="G161" s="240">
        <f>Effort!I161+Aide!I161/Taux!C161+Effort!K161/Taux!C161</f>
        <v>-10.012392006116219</v>
      </c>
      <c r="H161" s="83">
        <f t="shared" si="9"/>
        <v>47.273564446883995</v>
      </c>
      <c r="I161" s="225">
        <f t="shared" si="10"/>
        <v>0</v>
      </c>
      <c r="J161" s="42">
        <f t="shared" si="11"/>
        <v>0</v>
      </c>
      <c r="K161" s="5"/>
      <c r="L161" s="10"/>
      <c r="M161" s="11"/>
      <c r="R161" s="11"/>
    </row>
    <row r="162" spans="1:18" x14ac:dyDescent="0.25">
      <c r="A162" s="38">
        <f>Données!A162</f>
        <v>5674</v>
      </c>
      <c r="B162" s="199" t="str">
        <f>Données!B162</f>
        <v>Lovatens</v>
      </c>
      <c r="C162" s="351">
        <f>VPI!R162</f>
        <v>4222.7066666666669</v>
      </c>
      <c r="D162" s="531">
        <f>Données!AP162</f>
        <v>19.153201344823181</v>
      </c>
      <c r="E162" s="418">
        <f>VPI!Q162</f>
        <v>75</v>
      </c>
      <c r="F162" s="243">
        <f t="shared" si="8"/>
        <v>55.846798655176819</v>
      </c>
      <c r="G162" s="240">
        <f>Effort!I162+Aide!I162/Taux!C162+Effort!K162/Taux!C162</f>
        <v>6.6566227566229159</v>
      </c>
      <c r="H162" s="83">
        <f t="shared" si="9"/>
        <v>62.503421411799735</v>
      </c>
      <c r="I162" s="225">
        <f t="shared" si="10"/>
        <v>0</v>
      </c>
      <c r="J162" s="42">
        <f t="shared" si="11"/>
        <v>0</v>
      </c>
      <c r="K162" s="5"/>
      <c r="L162" s="10"/>
      <c r="M162" s="11"/>
      <c r="R162" s="11"/>
    </row>
    <row r="163" spans="1:18" x14ac:dyDescent="0.25">
      <c r="A163" s="38">
        <f>Données!A163</f>
        <v>5675</v>
      </c>
      <c r="B163" s="199" t="str">
        <f>Données!B163</f>
        <v>Lucens</v>
      </c>
      <c r="C163" s="351">
        <f>VPI!R163</f>
        <v>105149.82705723906</v>
      </c>
      <c r="D163" s="531">
        <f>Données!AP163</f>
        <v>2.1446855747194893</v>
      </c>
      <c r="E163" s="418">
        <f>VPI!Q163</f>
        <v>67.5</v>
      </c>
      <c r="F163" s="243">
        <f t="shared" si="8"/>
        <v>65.355314425280511</v>
      </c>
      <c r="G163" s="240">
        <f>Effort!I163+Aide!I163/Taux!C163+Effort!K163/Taux!C163</f>
        <v>-5.963523731756279</v>
      </c>
      <c r="H163" s="83">
        <f t="shared" si="9"/>
        <v>59.391790693524229</v>
      </c>
      <c r="I163" s="225">
        <f t="shared" si="10"/>
        <v>0</v>
      </c>
      <c r="J163" s="42">
        <f t="shared" si="11"/>
        <v>0</v>
      </c>
      <c r="K163" s="5"/>
      <c r="L163" s="10"/>
      <c r="M163" s="11"/>
      <c r="R163" s="11"/>
    </row>
    <row r="164" spans="1:18" x14ac:dyDescent="0.25">
      <c r="A164" s="38">
        <f>Données!A164</f>
        <v>5678</v>
      </c>
      <c r="B164" s="199" t="str">
        <f>Données!B164</f>
        <v>Moudon</v>
      </c>
      <c r="C164" s="351">
        <f>VPI!R164</f>
        <v>124814.5703448276</v>
      </c>
      <c r="D164" s="531">
        <f>Données!AP164</f>
        <v>-7.1986477036989571</v>
      </c>
      <c r="E164" s="418">
        <f>VPI!Q164</f>
        <v>72.5</v>
      </c>
      <c r="F164" s="243">
        <f t="shared" si="8"/>
        <v>79.698647703698953</v>
      </c>
      <c r="G164" s="240">
        <f>Effort!I164+Aide!I164/Taux!C164+Effort!K164/Taux!C164</f>
        <v>-26.192311736184507</v>
      </c>
      <c r="H164" s="83">
        <f t="shared" si="9"/>
        <v>53.506335967514445</v>
      </c>
      <c r="I164" s="225">
        <f t="shared" si="10"/>
        <v>0</v>
      </c>
      <c r="J164" s="42">
        <f t="shared" si="11"/>
        <v>0</v>
      </c>
      <c r="K164" s="5"/>
      <c r="L164" s="10"/>
      <c r="M164" s="11"/>
      <c r="R164" s="11"/>
    </row>
    <row r="165" spans="1:18" x14ac:dyDescent="0.25">
      <c r="A165" s="38">
        <f>Données!A165</f>
        <v>5680</v>
      </c>
      <c r="B165" s="199" t="str">
        <f>Données!B165</f>
        <v>Ogens</v>
      </c>
      <c r="C165" s="351">
        <f>VPI!R165</f>
        <v>8501.7127777777787</v>
      </c>
      <c r="D165" s="531">
        <f>Données!AP165</f>
        <v>20.745836945167024</v>
      </c>
      <c r="E165" s="418">
        <f>VPI!Q165</f>
        <v>78</v>
      </c>
      <c r="F165" s="243">
        <f t="shared" si="8"/>
        <v>57.254163054832972</v>
      </c>
      <c r="G165" s="240">
        <f>Effort!I165+Aide!I165/Taux!C165+Effort!K165/Taux!C165</f>
        <v>5.2571192453064359</v>
      </c>
      <c r="H165" s="83">
        <f t="shared" si="9"/>
        <v>62.511282300139406</v>
      </c>
      <c r="I165" s="225">
        <f t="shared" si="10"/>
        <v>0</v>
      </c>
      <c r="J165" s="42">
        <f t="shared" si="11"/>
        <v>0</v>
      </c>
      <c r="K165" s="5"/>
      <c r="L165" s="10"/>
      <c r="M165" s="11"/>
      <c r="R165" s="11"/>
    </row>
    <row r="166" spans="1:18" x14ac:dyDescent="0.25">
      <c r="A166" s="38">
        <f>Données!A166</f>
        <v>5683</v>
      </c>
      <c r="B166" s="199" t="str">
        <f>Données!B166</f>
        <v>Prévonloup</v>
      </c>
      <c r="C166" s="351">
        <f>VPI!R166</f>
        <v>5386.3598620689654</v>
      </c>
      <c r="D166" s="531">
        <f>Données!AP166</f>
        <v>11.10191555555979</v>
      </c>
      <c r="E166" s="418">
        <f>VPI!Q166</f>
        <v>72.5</v>
      </c>
      <c r="F166" s="243">
        <f t="shared" si="8"/>
        <v>61.398084444440208</v>
      </c>
      <c r="G166" s="240">
        <f>Effort!I166+Aide!I166/Taux!C166+Effort!K166/Taux!C166</f>
        <v>7.6477323551855712</v>
      </c>
      <c r="H166" s="83">
        <f t="shared" si="9"/>
        <v>69.045816799625783</v>
      </c>
      <c r="I166" s="225">
        <f t="shared" si="10"/>
        <v>0</v>
      </c>
      <c r="J166" s="42">
        <f t="shared" si="11"/>
        <v>0</v>
      </c>
      <c r="K166" s="5"/>
      <c r="L166" s="10"/>
      <c r="M166" s="11"/>
      <c r="R166" s="11"/>
    </row>
    <row r="167" spans="1:18" x14ac:dyDescent="0.25">
      <c r="A167" s="38">
        <f>Données!A167</f>
        <v>5684</v>
      </c>
      <c r="B167" s="199" t="str">
        <f>Données!B167</f>
        <v>Rossenges</v>
      </c>
      <c r="C167" s="351">
        <f>VPI!R167</f>
        <v>3253.4312666666665</v>
      </c>
      <c r="D167" s="531">
        <f>Données!AP167</f>
        <v>32.935110682338454</v>
      </c>
      <c r="E167" s="418">
        <f>VPI!Q167</f>
        <v>75</v>
      </c>
      <c r="F167" s="243">
        <f t="shared" si="8"/>
        <v>42.064889317661546</v>
      </c>
      <c r="G167" s="240">
        <f>Effort!I167+Aide!I167/Taux!C167+Effort!K167/Taux!C167</f>
        <v>19.968454175444691</v>
      </c>
      <c r="H167" s="83">
        <f t="shared" si="9"/>
        <v>62.033343493106237</v>
      </c>
      <c r="I167" s="225">
        <f t="shared" si="10"/>
        <v>0</v>
      </c>
      <c r="J167" s="42">
        <f t="shared" si="11"/>
        <v>0</v>
      </c>
      <c r="K167" s="5"/>
      <c r="L167" s="10"/>
      <c r="M167" s="11"/>
      <c r="R167" s="11"/>
    </row>
    <row r="168" spans="1:18" x14ac:dyDescent="0.25">
      <c r="A168" s="38">
        <f>Données!A168</f>
        <v>5688</v>
      </c>
      <c r="B168" s="199" t="str">
        <f>Données!B168</f>
        <v>Syens</v>
      </c>
      <c r="C168" s="351">
        <f>VPI!R168</f>
        <v>6192.4015384615377</v>
      </c>
      <c r="D168" s="531">
        <f>Données!AP168</f>
        <v>10.481998676194769</v>
      </c>
      <c r="E168" s="418">
        <f>VPI!Q168</f>
        <v>65</v>
      </c>
      <c r="F168" s="243">
        <f t="shared" si="8"/>
        <v>54.51800132380523</v>
      </c>
      <c r="G168" s="240">
        <f>Effort!I168+Aide!I168/Taux!C168+Effort!K168/Taux!C168</f>
        <v>20.546775524762577</v>
      </c>
      <c r="H168" s="83">
        <f t="shared" si="9"/>
        <v>75.064776848567803</v>
      </c>
      <c r="I168" s="225">
        <f t="shared" si="10"/>
        <v>0</v>
      </c>
      <c r="J168" s="42">
        <f t="shared" si="11"/>
        <v>0</v>
      </c>
      <c r="K168" s="5"/>
      <c r="L168" s="10"/>
      <c r="M168" s="11"/>
      <c r="R168" s="11"/>
    </row>
    <row r="169" spans="1:18" x14ac:dyDescent="0.25">
      <c r="A169" s="38">
        <f>Données!A169</f>
        <v>5690</v>
      </c>
      <c r="B169" s="199" t="str">
        <f>Données!B169</f>
        <v>Villars-le-Comte</v>
      </c>
      <c r="C169" s="351">
        <f>VPI!R169</f>
        <v>3509.9673809523806</v>
      </c>
      <c r="D169" s="531">
        <f>Données!AP169</f>
        <v>23.027357729491602</v>
      </c>
      <c r="E169" s="418">
        <f>VPI!Q169</f>
        <v>70</v>
      </c>
      <c r="F169" s="243">
        <f t="shared" si="8"/>
        <v>46.972642270508402</v>
      </c>
      <c r="G169" s="240">
        <f>Effort!I169+Aide!I169/Taux!C169+Effort!K169/Taux!C169</f>
        <v>5.1299921827278894</v>
      </c>
      <c r="H169" s="83">
        <f t="shared" si="9"/>
        <v>52.102634453236291</v>
      </c>
      <c r="I169" s="225">
        <f t="shared" si="10"/>
        <v>0</v>
      </c>
      <c r="J169" s="42">
        <f t="shared" si="11"/>
        <v>0</v>
      </c>
      <c r="K169" s="5"/>
      <c r="L169" s="10"/>
      <c r="M169" s="11"/>
      <c r="R169" s="11"/>
    </row>
    <row r="170" spans="1:18" x14ac:dyDescent="0.25">
      <c r="A170" s="38">
        <f>Données!A170</f>
        <v>5692</v>
      </c>
      <c r="B170" s="199" t="str">
        <f>Données!B170</f>
        <v>Vucherens</v>
      </c>
      <c r="C170" s="351">
        <f>VPI!R170</f>
        <v>18792.58012987013</v>
      </c>
      <c r="D170" s="531">
        <f>Données!AP170</f>
        <v>18.884019493819064</v>
      </c>
      <c r="E170" s="418">
        <f>VPI!Q170</f>
        <v>77</v>
      </c>
      <c r="F170" s="243">
        <f t="shared" si="8"/>
        <v>58.115980506180932</v>
      </c>
      <c r="G170" s="240">
        <f>Effort!I170+Aide!I170/Taux!C170+Effort!K170/Taux!C170</f>
        <v>9.481639825064736</v>
      </c>
      <c r="H170" s="83">
        <f t="shared" si="9"/>
        <v>67.597620331245665</v>
      </c>
      <c r="I170" s="225">
        <f t="shared" si="10"/>
        <v>0</v>
      </c>
      <c r="J170" s="42">
        <f t="shared" si="11"/>
        <v>0</v>
      </c>
      <c r="K170" s="5"/>
      <c r="L170" s="10"/>
      <c r="M170" s="11"/>
      <c r="R170" s="11"/>
    </row>
    <row r="171" spans="1:18" x14ac:dyDescent="0.25">
      <c r="A171" s="38">
        <f>Données!A171</f>
        <v>5693</v>
      </c>
      <c r="B171" s="199" t="str">
        <f>Données!B171</f>
        <v>Montanaire</v>
      </c>
      <c r="C171" s="351">
        <f>VPI!R171</f>
        <v>75687.075428571436</v>
      </c>
      <c r="D171" s="531">
        <f>Données!AP171</f>
        <v>10.237317280130908</v>
      </c>
      <c r="E171" s="418">
        <f>VPI!Q171</f>
        <v>70</v>
      </c>
      <c r="F171" s="243">
        <f t="shared" si="8"/>
        <v>59.76268271986909</v>
      </c>
      <c r="G171" s="240">
        <f>Effort!I171+Aide!I171/Taux!C171+Effort!K171/Taux!C171</f>
        <v>0.56912251163086225</v>
      </c>
      <c r="H171" s="83">
        <f t="shared" si="9"/>
        <v>60.331805231499956</v>
      </c>
      <c r="I171" s="225">
        <f t="shared" si="10"/>
        <v>0</v>
      </c>
      <c r="J171" s="42">
        <f t="shared" si="11"/>
        <v>0</v>
      </c>
      <c r="K171" s="5"/>
      <c r="L171" s="10"/>
      <c r="M171" s="11"/>
      <c r="R171" s="11"/>
    </row>
    <row r="172" spans="1:18" x14ac:dyDescent="0.25">
      <c r="A172" s="38">
        <f>Données!A172</f>
        <v>5701</v>
      </c>
      <c r="B172" s="199" t="str">
        <f>Données!B172</f>
        <v>Arnex-sur-Nyon</v>
      </c>
      <c r="C172" s="351">
        <f>VPI!R172</f>
        <v>14488.632285714286</v>
      </c>
      <c r="D172" s="531">
        <f>Données!AP172</f>
        <v>39.216673151126592</v>
      </c>
      <c r="E172" s="418">
        <f>VPI!Q172</f>
        <v>70</v>
      </c>
      <c r="F172" s="243">
        <f t="shared" si="8"/>
        <v>30.783326848873408</v>
      </c>
      <c r="G172" s="240">
        <f>Effort!I172+Aide!I172/Taux!C172+Effort!K172/Taux!C172</f>
        <v>34.214302587639096</v>
      </c>
      <c r="H172" s="83">
        <f t="shared" si="9"/>
        <v>64.997629436512511</v>
      </c>
      <c r="I172" s="225">
        <f t="shared" si="10"/>
        <v>0</v>
      </c>
      <c r="J172" s="42">
        <f t="shared" si="11"/>
        <v>0</v>
      </c>
      <c r="K172" s="5"/>
      <c r="L172" s="10"/>
      <c r="M172" s="11"/>
      <c r="R172" s="11"/>
    </row>
    <row r="173" spans="1:18" x14ac:dyDescent="0.25">
      <c r="A173" s="38">
        <f>Données!A173</f>
        <v>5702</v>
      </c>
      <c r="B173" s="199" t="str">
        <f>Données!B173</f>
        <v>Arzier-Le Muids</v>
      </c>
      <c r="C173" s="351">
        <f>VPI!R173</f>
        <v>174855.39411458338</v>
      </c>
      <c r="D173" s="531">
        <f>Données!AP173</f>
        <v>34.78383447397001</v>
      </c>
      <c r="E173" s="418">
        <f>VPI!Q173</f>
        <v>64</v>
      </c>
      <c r="F173" s="243">
        <f t="shared" si="8"/>
        <v>29.21616552602999</v>
      </c>
      <c r="G173" s="240">
        <f>Effort!I173+Aide!I173/Taux!C173+Effort!K173/Taux!C173</f>
        <v>27.191186491337398</v>
      </c>
      <c r="H173" s="83">
        <f t="shared" si="9"/>
        <v>56.407352017367387</v>
      </c>
      <c r="I173" s="225">
        <f t="shared" si="10"/>
        <v>0</v>
      </c>
      <c r="J173" s="42">
        <f t="shared" si="11"/>
        <v>0</v>
      </c>
      <c r="K173" s="5"/>
      <c r="L173" s="10"/>
      <c r="M173" s="11"/>
      <c r="R173" s="11"/>
    </row>
    <row r="174" spans="1:18" x14ac:dyDescent="0.25">
      <c r="A174" s="38">
        <f>Données!A174</f>
        <v>5703</v>
      </c>
      <c r="B174" s="199" t="str">
        <f>Données!B174</f>
        <v>Bassins</v>
      </c>
      <c r="C174" s="351">
        <f>VPI!R174</f>
        <v>66798.778167487675</v>
      </c>
      <c r="D174" s="531">
        <f>Données!AP174</f>
        <v>32.990007039526702</v>
      </c>
      <c r="E174" s="418">
        <f>VPI!Q174</f>
        <v>72.5</v>
      </c>
      <c r="F174" s="243">
        <f t="shared" si="8"/>
        <v>39.509992960473298</v>
      </c>
      <c r="G174" s="240">
        <f>Effort!I174+Aide!I174/Taux!C174+Effort!K174/Taux!C174</f>
        <v>26.002017649144221</v>
      </c>
      <c r="H174" s="83">
        <f t="shared" si="9"/>
        <v>65.512010609617519</v>
      </c>
      <c r="I174" s="225">
        <f t="shared" si="10"/>
        <v>0</v>
      </c>
      <c r="J174" s="42">
        <f t="shared" si="11"/>
        <v>0</v>
      </c>
      <c r="K174" s="5"/>
      <c r="L174" s="10"/>
      <c r="M174" s="11"/>
      <c r="R174" s="11"/>
    </row>
    <row r="175" spans="1:18" x14ac:dyDescent="0.25">
      <c r="A175" s="38">
        <f>Données!A175</f>
        <v>5704</v>
      </c>
      <c r="B175" s="199" t="str">
        <f>Données!B175</f>
        <v>Begnins</v>
      </c>
      <c r="C175" s="351">
        <f>VPI!R175</f>
        <v>146339.67776000002</v>
      </c>
      <c r="D175" s="531">
        <f>Données!AP175</f>
        <v>38.653457506959839</v>
      </c>
      <c r="E175" s="418">
        <f>VPI!Q175</f>
        <v>62.5</v>
      </c>
      <c r="F175" s="243">
        <f t="shared" si="8"/>
        <v>23.846542493040161</v>
      </c>
      <c r="G175" s="240">
        <f>Effort!I175+Aide!I175/Taux!C175+Effort!K175/Taux!C175</f>
        <v>35.094538502506502</v>
      </c>
      <c r="H175" s="83">
        <f t="shared" si="9"/>
        <v>58.941080995546663</v>
      </c>
      <c r="I175" s="225">
        <f t="shared" si="10"/>
        <v>0</v>
      </c>
      <c r="J175" s="42">
        <f t="shared" si="11"/>
        <v>0</v>
      </c>
      <c r="K175" s="5"/>
      <c r="L175" s="10"/>
      <c r="M175" s="11"/>
      <c r="R175" s="11"/>
    </row>
    <row r="176" spans="1:18" x14ac:dyDescent="0.25">
      <c r="A176" s="38">
        <f>Données!A176</f>
        <v>5705</v>
      </c>
      <c r="B176" s="199" t="str">
        <f>Données!B176</f>
        <v>Bogis-Bossey</v>
      </c>
      <c r="C176" s="351">
        <f>VPI!R176</f>
        <v>51950.537852349</v>
      </c>
      <c r="D176" s="531">
        <f>Données!AP176</f>
        <v>41.570304820263104</v>
      </c>
      <c r="E176" s="418">
        <f>VPI!Q176</f>
        <v>74.5</v>
      </c>
      <c r="F176" s="243">
        <f t="shared" si="8"/>
        <v>32.929695179736896</v>
      </c>
      <c r="G176" s="240">
        <f>Effort!I176+Aide!I176/Taux!C176+Effort!K176/Taux!C176</f>
        <v>32.586714508175007</v>
      </c>
      <c r="H176" s="83">
        <f t="shared" si="9"/>
        <v>65.516409687911903</v>
      </c>
      <c r="I176" s="225">
        <f t="shared" si="10"/>
        <v>0</v>
      </c>
      <c r="J176" s="42">
        <f t="shared" si="11"/>
        <v>0</v>
      </c>
      <c r="K176" s="5"/>
      <c r="L176" s="10"/>
      <c r="M176" s="11"/>
      <c r="R176" s="11"/>
    </row>
    <row r="177" spans="1:18" x14ac:dyDescent="0.25">
      <c r="A177" s="38">
        <f>Données!A177</f>
        <v>5706</v>
      </c>
      <c r="B177" s="199" t="str">
        <f>Données!B177</f>
        <v>Borex</v>
      </c>
      <c r="C177" s="351">
        <f>VPI!R177</f>
        <v>71207.729649122819</v>
      </c>
      <c r="D177" s="531">
        <f>Données!AP177</f>
        <v>38.967208371326052</v>
      </c>
      <c r="E177" s="418">
        <f>VPI!Q177</f>
        <v>57</v>
      </c>
      <c r="F177" s="243">
        <f t="shared" si="8"/>
        <v>18.032791628673948</v>
      </c>
      <c r="G177" s="240">
        <f>Effort!I177+Aide!I177/Taux!C177+Effort!K177/Taux!C177</f>
        <v>32.121816323060955</v>
      </c>
      <c r="H177" s="83">
        <f t="shared" si="9"/>
        <v>50.154607951734903</v>
      </c>
      <c r="I177" s="225">
        <f t="shared" si="10"/>
        <v>0</v>
      </c>
      <c r="J177" s="42">
        <f t="shared" si="11"/>
        <v>0</v>
      </c>
      <c r="K177" s="5"/>
      <c r="L177" s="10"/>
      <c r="M177" s="11"/>
      <c r="R177" s="11"/>
    </row>
    <row r="178" spans="1:18" x14ac:dyDescent="0.25">
      <c r="A178" s="38">
        <f>Données!A178</f>
        <v>5707</v>
      </c>
      <c r="B178" s="199" t="str">
        <f>Données!B178</f>
        <v>Chavannes-de-Bogis</v>
      </c>
      <c r="C178" s="351">
        <f>VPI!R178</f>
        <v>88004.58971264369</v>
      </c>
      <c r="D178" s="531">
        <f>Données!AP178</f>
        <v>39.456585785588118</v>
      </c>
      <c r="E178" s="418">
        <f>VPI!Q178</f>
        <v>58</v>
      </c>
      <c r="F178" s="243">
        <f t="shared" si="8"/>
        <v>18.543414214411882</v>
      </c>
      <c r="G178" s="240">
        <f>Effort!I178+Aide!I178/Taux!C178+Effort!K178/Taux!C178</f>
        <v>33.109162981631222</v>
      </c>
      <c r="H178" s="83">
        <f t="shared" si="9"/>
        <v>51.652577196043104</v>
      </c>
      <c r="I178" s="225">
        <f t="shared" si="10"/>
        <v>0</v>
      </c>
      <c r="J178" s="42">
        <f t="shared" si="11"/>
        <v>0</v>
      </c>
      <c r="K178" s="5"/>
      <c r="L178" s="10"/>
      <c r="M178" s="11"/>
      <c r="R178" s="11"/>
    </row>
    <row r="179" spans="1:18" x14ac:dyDescent="0.25">
      <c r="A179" s="38">
        <f>Données!A179</f>
        <v>5708</v>
      </c>
      <c r="B179" s="199" t="str">
        <f>Données!B179</f>
        <v>Chavannes-des-Bois</v>
      </c>
      <c r="C179" s="351">
        <f>VPI!R179</f>
        <v>66993.89235294117</v>
      </c>
      <c r="D179" s="531">
        <f>Données!AP179</f>
        <v>39.402993101748081</v>
      </c>
      <c r="E179" s="418">
        <f>VPI!Q179</f>
        <v>68</v>
      </c>
      <c r="F179" s="243">
        <f t="shared" si="8"/>
        <v>28.597006898251919</v>
      </c>
      <c r="G179" s="240">
        <f>Effort!I179+Aide!I179/Taux!C179+Effort!K179/Taux!C179</f>
        <v>34.775272233245133</v>
      </c>
      <c r="H179" s="83">
        <f t="shared" si="9"/>
        <v>63.372279131497052</v>
      </c>
      <c r="I179" s="225">
        <f t="shared" si="10"/>
        <v>0</v>
      </c>
      <c r="J179" s="42">
        <f t="shared" si="11"/>
        <v>0</v>
      </c>
      <c r="K179" s="5"/>
      <c r="L179" s="10"/>
      <c r="M179" s="11"/>
      <c r="R179" s="11"/>
    </row>
    <row r="180" spans="1:18" x14ac:dyDescent="0.25">
      <c r="A180" s="38">
        <f>Données!A180</f>
        <v>5709</v>
      </c>
      <c r="B180" s="199" t="str">
        <f>Données!B180</f>
        <v>Chéserex</v>
      </c>
      <c r="C180" s="351">
        <f>VPI!R180</f>
        <v>88341.005087719284</v>
      </c>
      <c r="D180" s="531">
        <f>Données!AP180</f>
        <v>40.979310037978493</v>
      </c>
      <c r="E180" s="418">
        <f>VPI!Q180</f>
        <v>57</v>
      </c>
      <c r="F180" s="243">
        <f t="shared" si="8"/>
        <v>16.020689962021507</v>
      </c>
      <c r="G180" s="240">
        <f>Effort!I180+Aide!I180/Taux!C180+Effort!K180/Taux!C180</f>
        <v>34.039111914020786</v>
      </c>
      <c r="H180" s="83">
        <f t="shared" si="9"/>
        <v>50.059801876042293</v>
      </c>
      <c r="I180" s="225">
        <f t="shared" si="10"/>
        <v>0</v>
      </c>
      <c r="J180" s="42">
        <f t="shared" si="11"/>
        <v>0</v>
      </c>
      <c r="K180" s="5"/>
      <c r="L180" s="10"/>
      <c r="M180" s="11"/>
      <c r="R180" s="11"/>
    </row>
    <row r="181" spans="1:18" x14ac:dyDescent="0.25">
      <c r="A181" s="38">
        <f>Données!A181</f>
        <v>5710</v>
      </c>
      <c r="B181" s="199" t="str">
        <f>Données!B181</f>
        <v>Coinsins</v>
      </c>
      <c r="C181" s="351">
        <f>VPI!R181</f>
        <v>43388.780196078442</v>
      </c>
      <c r="D181" s="531">
        <f>Données!AP181</f>
        <v>39.984328554420749</v>
      </c>
      <c r="E181" s="418">
        <f>VPI!Q181</f>
        <v>51</v>
      </c>
      <c r="F181" s="243">
        <f t="shared" si="8"/>
        <v>11.015671445579251</v>
      </c>
      <c r="G181" s="240">
        <f>Effort!I181+Aide!I181/Taux!C181+Effort!K181/Taux!C181</f>
        <v>37.412203084558897</v>
      </c>
      <c r="H181" s="83">
        <f t="shared" si="9"/>
        <v>48.427874530138148</v>
      </c>
      <c r="I181" s="225">
        <f t="shared" si="10"/>
        <v>0</v>
      </c>
      <c r="J181" s="42">
        <f t="shared" si="11"/>
        <v>0</v>
      </c>
      <c r="K181" s="5"/>
      <c r="L181" s="10"/>
      <c r="M181" s="11"/>
      <c r="R181" s="11"/>
    </row>
    <row r="182" spans="1:18" x14ac:dyDescent="0.25">
      <c r="A182" s="38">
        <f>Données!A182</f>
        <v>5711</v>
      </c>
      <c r="B182" s="199" t="str">
        <f>Données!B182</f>
        <v>Commugny</v>
      </c>
      <c r="C182" s="351">
        <f>VPI!R182</f>
        <v>286267.46263340261</v>
      </c>
      <c r="D182" s="531">
        <f>Données!AP182</f>
        <v>40.981965869694918</v>
      </c>
      <c r="E182" s="418">
        <f>VPI!Q182</f>
        <v>55.5</v>
      </c>
      <c r="F182" s="243">
        <f t="shared" si="8"/>
        <v>14.518034130305082</v>
      </c>
      <c r="G182" s="240">
        <f>Effort!I182+Aide!I182/Taux!C182+Effort!K182/Taux!C182</f>
        <v>38.090903758697252</v>
      </c>
      <c r="H182" s="83">
        <f t="shared" si="9"/>
        <v>52.608937889002334</v>
      </c>
      <c r="I182" s="225">
        <f t="shared" si="10"/>
        <v>0</v>
      </c>
      <c r="J182" s="42">
        <f t="shared" si="11"/>
        <v>0</v>
      </c>
      <c r="K182" s="5"/>
      <c r="L182" s="10"/>
      <c r="M182" s="11"/>
      <c r="R182" s="11"/>
    </row>
    <row r="183" spans="1:18" x14ac:dyDescent="0.25">
      <c r="A183" s="38">
        <f>Données!A183</f>
        <v>5712</v>
      </c>
      <c r="B183" s="199" t="str">
        <f>Données!B183</f>
        <v>Coppet</v>
      </c>
      <c r="C183" s="351">
        <f>VPI!R183</f>
        <v>333743.32396226411</v>
      </c>
      <c r="D183" s="531">
        <f>Données!AP183</f>
        <v>46.068741410954964</v>
      </c>
      <c r="E183" s="418">
        <f>VPI!Q183</f>
        <v>53</v>
      </c>
      <c r="F183" s="243">
        <f t="shared" si="8"/>
        <v>6.9312585890450364</v>
      </c>
      <c r="G183" s="240">
        <f>Effort!I183+Aide!I183/Taux!C183+Effort!K183/Taux!C183</f>
        <v>39.220881530283933</v>
      </c>
      <c r="H183" s="83">
        <f t="shared" si="9"/>
        <v>46.152140119328969</v>
      </c>
      <c r="I183" s="225">
        <f t="shared" si="10"/>
        <v>0</v>
      </c>
      <c r="J183" s="42">
        <f t="shared" si="11"/>
        <v>0</v>
      </c>
      <c r="K183" s="5"/>
      <c r="L183" s="10"/>
      <c r="M183" s="11"/>
      <c r="R183" s="11"/>
    </row>
    <row r="184" spans="1:18" x14ac:dyDescent="0.25">
      <c r="A184" s="38">
        <f>Données!A184</f>
        <v>5713</v>
      </c>
      <c r="B184" s="199" t="str">
        <f>Données!B184</f>
        <v>Crans</v>
      </c>
      <c r="C184" s="351">
        <f>VPI!R184</f>
        <v>302501.76750000002</v>
      </c>
      <c r="D184" s="531">
        <f>Données!AP184</f>
        <v>49.909846531988435</v>
      </c>
      <c r="E184" s="418">
        <f>VPI!Q184</f>
        <v>56</v>
      </c>
      <c r="F184" s="243">
        <f t="shared" si="8"/>
        <v>6.0901534680115645</v>
      </c>
      <c r="G184" s="240">
        <f>Effort!I184+Aide!I184/Taux!C184+Effort!K184/Taux!C184</f>
        <v>43.800586380400361</v>
      </c>
      <c r="H184" s="83">
        <f t="shared" si="9"/>
        <v>49.890739848411926</v>
      </c>
      <c r="I184" s="225">
        <f t="shared" si="10"/>
        <v>0</v>
      </c>
      <c r="J184" s="42">
        <f t="shared" si="11"/>
        <v>0</v>
      </c>
      <c r="K184" s="5"/>
      <c r="L184" s="10"/>
      <c r="M184" s="11"/>
      <c r="R184" s="11"/>
    </row>
    <row r="185" spans="1:18" x14ac:dyDescent="0.25">
      <c r="A185" s="38">
        <f>Données!A185</f>
        <v>5714</v>
      </c>
      <c r="B185" s="199" t="str">
        <f>Données!B185</f>
        <v>Crassier</v>
      </c>
      <c r="C185" s="351">
        <f>VPI!R185</f>
        <v>62133.653235294114</v>
      </c>
      <c r="D185" s="531">
        <f>Données!AP185</f>
        <v>33.143405263935989</v>
      </c>
      <c r="E185" s="418">
        <f>VPI!Q185</f>
        <v>68</v>
      </c>
      <c r="F185" s="243">
        <f t="shared" si="8"/>
        <v>34.856594736064011</v>
      </c>
      <c r="G185" s="240">
        <f>Effort!I185+Aide!I185/Taux!C185+Effort!K185/Taux!C185</f>
        <v>29.288828675533949</v>
      </c>
      <c r="H185" s="83">
        <f t="shared" si="9"/>
        <v>64.14542341159796</v>
      </c>
      <c r="I185" s="225">
        <f t="shared" si="10"/>
        <v>0</v>
      </c>
      <c r="J185" s="42">
        <f t="shared" si="11"/>
        <v>0</v>
      </c>
      <c r="K185" s="5"/>
      <c r="L185" s="10"/>
      <c r="M185" s="11"/>
      <c r="R185" s="11"/>
    </row>
    <row r="186" spans="1:18" x14ac:dyDescent="0.25">
      <c r="A186" s="38">
        <f>Données!A186</f>
        <v>5715</v>
      </c>
      <c r="B186" s="199" t="str">
        <f>Données!B186</f>
        <v>Duillier</v>
      </c>
      <c r="C186" s="351">
        <f>VPI!R186</f>
        <v>70392.808484848487</v>
      </c>
      <c r="D186" s="531">
        <f>Données!AP186</f>
        <v>36.91974046650629</v>
      </c>
      <c r="E186" s="418">
        <f>VPI!Q186</f>
        <v>66</v>
      </c>
      <c r="F186" s="243">
        <f t="shared" si="8"/>
        <v>29.08025953349371</v>
      </c>
      <c r="G186" s="240">
        <f>Effort!I186+Aide!I186/Taux!C186+Effort!K186/Taux!C186</f>
        <v>32.711642654110122</v>
      </c>
      <c r="H186" s="83">
        <f t="shared" si="9"/>
        <v>61.791902187603831</v>
      </c>
      <c r="I186" s="225">
        <f t="shared" si="10"/>
        <v>0</v>
      </c>
      <c r="J186" s="42">
        <f t="shared" si="11"/>
        <v>0</v>
      </c>
      <c r="K186" s="5"/>
      <c r="L186" s="10"/>
      <c r="M186" s="11"/>
      <c r="R186" s="11"/>
    </row>
    <row r="187" spans="1:18" x14ac:dyDescent="0.25">
      <c r="A187" s="38">
        <f>Données!A187</f>
        <v>5716</v>
      </c>
      <c r="B187" s="199" t="str">
        <f>Données!B187</f>
        <v>Eysins</v>
      </c>
      <c r="C187" s="351">
        <f>VPI!R187</f>
        <v>203469.72924369748</v>
      </c>
      <c r="D187" s="531">
        <f>Données!AP187</f>
        <v>50.735239042658975</v>
      </c>
      <c r="E187" s="418">
        <f>VPI!Q187</f>
        <v>59.5</v>
      </c>
      <c r="F187" s="243">
        <f t="shared" si="8"/>
        <v>8.764760957341025</v>
      </c>
      <c r="G187" s="240">
        <f>Effort!I187+Aide!I187/Taux!C187+Effort!K187/Taux!C187</f>
        <v>43.480661549341704</v>
      </c>
      <c r="H187" s="83">
        <f t="shared" si="9"/>
        <v>52.245422506682729</v>
      </c>
      <c r="I187" s="225">
        <f t="shared" si="10"/>
        <v>0</v>
      </c>
      <c r="J187" s="42">
        <f t="shared" si="11"/>
        <v>0</v>
      </c>
      <c r="K187" s="5"/>
      <c r="L187" s="10"/>
      <c r="M187" s="11"/>
      <c r="R187" s="11"/>
    </row>
    <row r="188" spans="1:18" x14ac:dyDescent="0.25">
      <c r="A188" s="38">
        <f>Données!A188</f>
        <v>5717</v>
      </c>
      <c r="B188" s="199" t="str">
        <f>Données!B188</f>
        <v>Founex</v>
      </c>
      <c r="C188" s="351">
        <f>VPI!R188</f>
        <v>390717.85842105263</v>
      </c>
      <c r="D188" s="531">
        <f>Données!AP188</f>
        <v>44.580240189298891</v>
      </c>
      <c r="E188" s="418">
        <f>VPI!Q188</f>
        <v>57</v>
      </c>
      <c r="F188" s="243">
        <f t="shared" si="8"/>
        <v>12.419759810701109</v>
      </c>
      <c r="G188" s="240">
        <f>Effort!I188+Aide!I188/Taux!C188+Effort!K188/Taux!C188</f>
        <v>39.303120830195375</v>
      </c>
      <c r="H188" s="83">
        <f t="shared" si="9"/>
        <v>51.722880640896484</v>
      </c>
      <c r="I188" s="225">
        <f t="shared" si="10"/>
        <v>0</v>
      </c>
      <c r="J188" s="42">
        <f t="shared" si="11"/>
        <v>0</v>
      </c>
      <c r="K188" s="5"/>
      <c r="L188" s="10"/>
      <c r="M188" s="11"/>
      <c r="R188" s="11"/>
    </row>
    <row r="189" spans="1:18" x14ac:dyDescent="0.25">
      <c r="A189" s="38">
        <f>Données!A189</f>
        <v>5718</v>
      </c>
      <c r="B189" s="199" t="str">
        <f>Données!B189</f>
        <v>Genolier</v>
      </c>
      <c r="C189" s="351">
        <f>VPI!R189</f>
        <v>192258.25363636363</v>
      </c>
      <c r="D189" s="531">
        <f>Données!AP189</f>
        <v>47.487535040591908</v>
      </c>
      <c r="E189" s="418">
        <f>VPI!Q189</f>
        <v>55</v>
      </c>
      <c r="F189" s="243">
        <f t="shared" si="8"/>
        <v>7.5124649594080921</v>
      </c>
      <c r="G189" s="240">
        <f>Effort!I189+Aide!I189/Taux!C189+Effort!K189/Taux!C189</f>
        <v>38.351972843767683</v>
      </c>
      <c r="H189" s="83">
        <f t="shared" si="9"/>
        <v>45.864437803175775</v>
      </c>
      <c r="I189" s="225">
        <f t="shared" si="10"/>
        <v>0</v>
      </c>
      <c r="J189" s="42">
        <f t="shared" si="11"/>
        <v>0</v>
      </c>
      <c r="K189" s="5"/>
      <c r="L189" s="10"/>
      <c r="M189" s="11"/>
      <c r="R189" s="11"/>
    </row>
    <row r="190" spans="1:18" x14ac:dyDescent="0.25">
      <c r="A190" s="38">
        <f>Données!A190</f>
        <v>5719</v>
      </c>
      <c r="B190" s="199" t="str">
        <f>Données!B190</f>
        <v>Gingins</v>
      </c>
      <c r="C190" s="351">
        <f>VPI!R190</f>
        <v>151290.43366666668</v>
      </c>
      <c r="D190" s="531">
        <f>Données!AP190</f>
        <v>47.093203961525937</v>
      </c>
      <c r="E190" s="418">
        <f>VPI!Q190</f>
        <v>60</v>
      </c>
      <c r="F190" s="243">
        <f t="shared" si="8"/>
        <v>12.906796038474063</v>
      </c>
      <c r="G190" s="240">
        <f>Effort!I190+Aide!I190/Taux!C190+Effort!K190/Taux!C190</f>
        <v>44.377644435565514</v>
      </c>
      <c r="H190" s="83">
        <f t="shared" si="9"/>
        <v>57.284440474039577</v>
      </c>
      <c r="I190" s="225">
        <f t="shared" si="10"/>
        <v>0</v>
      </c>
      <c r="J190" s="42">
        <f t="shared" si="11"/>
        <v>0</v>
      </c>
      <c r="K190" s="5"/>
      <c r="L190" s="10"/>
      <c r="M190" s="11"/>
      <c r="R190" s="11"/>
    </row>
    <row r="191" spans="1:18" x14ac:dyDescent="0.25">
      <c r="A191" s="38">
        <f>Données!A191</f>
        <v>5720</v>
      </c>
      <c r="B191" s="199" t="str">
        <f>Données!B191</f>
        <v>Givrins</v>
      </c>
      <c r="C191" s="351">
        <f>VPI!R191</f>
        <v>74789.584809286913</v>
      </c>
      <c r="D191" s="531">
        <f>Données!AP191</f>
        <v>44.507195285870729</v>
      </c>
      <c r="E191" s="418">
        <f>VPI!Q191</f>
        <v>67</v>
      </c>
      <c r="F191" s="243">
        <f t="shared" si="8"/>
        <v>22.492804714129271</v>
      </c>
      <c r="G191" s="240">
        <f>Effort!I191+Aide!I191/Taux!C191+Effort!K191/Taux!C191</f>
        <v>36.005188126374563</v>
      </c>
      <c r="H191" s="83">
        <f t="shared" si="9"/>
        <v>58.497992840503834</v>
      </c>
      <c r="I191" s="225">
        <f t="shared" si="10"/>
        <v>0</v>
      </c>
      <c r="J191" s="42">
        <f t="shared" si="11"/>
        <v>0</v>
      </c>
      <c r="K191" s="5"/>
      <c r="L191" s="10"/>
      <c r="M191" s="11"/>
      <c r="R191" s="11"/>
    </row>
    <row r="192" spans="1:18" x14ac:dyDescent="0.25">
      <c r="A192" s="38">
        <f>Données!A192</f>
        <v>5721</v>
      </c>
      <c r="B192" s="199" t="str">
        <f>Données!B192</f>
        <v>Gland</v>
      </c>
      <c r="C192" s="351">
        <f>VPI!R192</f>
        <v>722641.89508196723</v>
      </c>
      <c r="D192" s="531">
        <f>Données!AP192</f>
        <v>25.629859306115055</v>
      </c>
      <c r="E192" s="418">
        <f>VPI!Q192</f>
        <v>61</v>
      </c>
      <c r="F192" s="243">
        <f t="shared" si="8"/>
        <v>35.370140693884949</v>
      </c>
      <c r="G192" s="240">
        <f>Effort!I192+Aide!I192/Taux!C192+Effort!K192/Taux!C192</f>
        <v>21.86470528127883</v>
      </c>
      <c r="H192" s="83">
        <f t="shared" si="9"/>
        <v>57.234845975163779</v>
      </c>
      <c r="I192" s="225">
        <f t="shared" si="10"/>
        <v>0</v>
      </c>
      <c r="J192" s="42">
        <f t="shared" si="11"/>
        <v>0</v>
      </c>
      <c r="K192" s="5"/>
      <c r="L192" s="10"/>
      <c r="M192" s="11"/>
      <c r="R192" s="11"/>
    </row>
    <row r="193" spans="1:18" x14ac:dyDescent="0.25">
      <c r="A193" s="38">
        <f>Données!A193</f>
        <v>5722</v>
      </c>
      <c r="B193" s="199" t="str">
        <f>Données!B193</f>
        <v>Grens</v>
      </c>
      <c r="C193" s="351">
        <f>VPI!R193</f>
        <v>22316.235806451619</v>
      </c>
      <c r="D193" s="531">
        <f>Données!AP193</f>
        <v>36.398459826000582</v>
      </c>
      <c r="E193" s="418">
        <f>VPI!Q193</f>
        <v>62</v>
      </c>
      <c r="F193" s="243">
        <f t="shared" si="8"/>
        <v>25.601540173999418</v>
      </c>
      <c r="G193" s="240">
        <f>Effort!I193+Aide!I193/Taux!C193+Effort!K193/Taux!C193</f>
        <v>31.376243486280565</v>
      </c>
      <c r="H193" s="83">
        <f t="shared" si="9"/>
        <v>56.977783660279982</v>
      </c>
      <c r="I193" s="225">
        <f t="shared" si="10"/>
        <v>0</v>
      </c>
      <c r="J193" s="42">
        <f t="shared" si="11"/>
        <v>0</v>
      </c>
      <c r="K193" s="5"/>
      <c r="L193" s="10"/>
      <c r="M193" s="11"/>
      <c r="R193" s="11"/>
    </row>
    <row r="194" spans="1:18" x14ac:dyDescent="0.25">
      <c r="A194" s="38">
        <f>Données!A194</f>
        <v>5723</v>
      </c>
      <c r="B194" s="199" t="str">
        <f>Données!B194</f>
        <v>Mies</v>
      </c>
      <c r="C194" s="351">
        <f>VPI!R194</f>
        <v>245963.39999999997</v>
      </c>
      <c r="D194" s="531">
        <f>Données!AP194</f>
        <v>42.736202790849994</v>
      </c>
      <c r="E194" s="418">
        <f>VPI!Q194</f>
        <v>52</v>
      </c>
      <c r="F194" s="243">
        <f t="shared" si="8"/>
        <v>9.263797209150006</v>
      </c>
      <c r="G194" s="240">
        <f>Effort!I194+Aide!I194/Taux!C194+Effort!K194/Taux!C194</f>
        <v>40.792027091144277</v>
      </c>
      <c r="H194" s="83">
        <f t="shared" si="9"/>
        <v>50.055824300294283</v>
      </c>
      <c r="I194" s="225">
        <f t="shared" si="10"/>
        <v>0</v>
      </c>
      <c r="J194" s="42">
        <f t="shared" si="11"/>
        <v>0</v>
      </c>
      <c r="K194" s="5"/>
      <c r="L194" s="10"/>
      <c r="M194" s="11"/>
      <c r="R194" s="11"/>
    </row>
    <row r="195" spans="1:18" x14ac:dyDescent="0.25">
      <c r="A195" s="38">
        <f>Données!A195</f>
        <v>5724</v>
      </c>
      <c r="B195" s="199" t="str">
        <f>Données!B195</f>
        <v>Nyon</v>
      </c>
      <c r="C195" s="351">
        <f>VPI!R195</f>
        <v>1461398.290765027</v>
      </c>
      <c r="D195" s="531">
        <f>Données!AP195</f>
        <v>32.0239380636013</v>
      </c>
      <c r="E195" s="418">
        <f>VPI!Q195</f>
        <v>61</v>
      </c>
      <c r="F195" s="243">
        <f t="shared" si="8"/>
        <v>28.9760619363987</v>
      </c>
      <c r="G195" s="240">
        <f>Effort!I195+Aide!I195/Taux!C195+Effort!K195/Taux!C195</f>
        <v>23.365236448205081</v>
      </c>
      <c r="H195" s="83">
        <f t="shared" si="9"/>
        <v>52.341298384603782</v>
      </c>
      <c r="I195" s="225">
        <f t="shared" si="10"/>
        <v>0</v>
      </c>
      <c r="J195" s="42">
        <f t="shared" si="11"/>
        <v>0</v>
      </c>
      <c r="K195" s="5"/>
      <c r="L195" s="10"/>
      <c r="M195" s="11"/>
      <c r="R195" s="11"/>
    </row>
    <row r="196" spans="1:18" x14ac:dyDescent="0.25">
      <c r="A196" s="38">
        <f>Données!A196</f>
        <v>5725</v>
      </c>
      <c r="B196" s="199" t="str">
        <f>Données!B196</f>
        <v>Prangins</v>
      </c>
      <c r="C196" s="351">
        <f>VPI!R196</f>
        <v>354965.57820779225</v>
      </c>
      <c r="D196" s="531">
        <f>Données!AP196</f>
        <v>38.613154700847261</v>
      </c>
      <c r="E196" s="418">
        <f>VPI!Q196</f>
        <v>55</v>
      </c>
      <c r="F196" s="243">
        <f t="shared" si="8"/>
        <v>16.386845299152739</v>
      </c>
      <c r="G196" s="240">
        <f>Effort!I196+Aide!I196/Taux!C196+Effort!K196/Taux!C196</f>
        <v>35.86261057971484</v>
      </c>
      <c r="H196" s="83">
        <f t="shared" si="9"/>
        <v>52.249455878867579</v>
      </c>
      <c r="I196" s="225">
        <f t="shared" si="10"/>
        <v>0</v>
      </c>
      <c r="J196" s="42">
        <f t="shared" si="11"/>
        <v>0</v>
      </c>
      <c r="K196" s="5"/>
      <c r="L196" s="10"/>
      <c r="M196" s="11"/>
      <c r="R196" s="11"/>
    </row>
    <row r="197" spans="1:18" x14ac:dyDescent="0.25">
      <c r="A197" s="38">
        <f>Données!A197</f>
        <v>5726</v>
      </c>
      <c r="B197" s="199" t="str">
        <f>Données!B197</f>
        <v>La Rippe</v>
      </c>
      <c r="C197" s="351">
        <f>VPI!R197</f>
        <v>70364.194375000006</v>
      </c>
      <c r="D197" s="531">
        <f>Données!AP197</f>
        <v>38.483878170185541</v>
      </c>
      <c r="E197" s="418">
        <f>VPI!Q197</f>
        <v>64</v>
      </c>
      <c r="F197" s="243">
        <f t="shared" si="8"/>
        <v>25.516121829814459</v>
      </c>
      <c r="G197" s="240">
        <f>Effort!I197+Aide!I197/Taux!C197+Effort!K197/Taux!C197</f>
        <v>32.240894069327979</v>
      </c>
      <c r="H197" s="83">
        <f t="shared" si="9"/>
        <v>57.757015899142438</v>
      </c>
      <c r="I197" s="225">
        <f t="shared" si="10"/>
        <v>0</v>
      </c>
      <c r="J197" s="42">
        <f t="shared" si="11"/>
        <v>0</v>
      </c>
      <c r="K197" s="5"/>
      <c r="L197" s="10"/>
      <c r="M197" s="11"/>
      <c r="R197" s="11"/>
    </row>
    <row r="198" spans="1:18" x14ac:dyDescent="0.25">
      <c r="A198" s="38">
        <f>Données!A198</f>
        <v>5727</v>
      </c>
      <c r="B198" s="199" t="str">
        <f>Données!B198</f>
        <v>Saint-Cergue</v>
      </c>
      <c r="C198" s="351">
        <f>VPI!R198</f>
        <v>106171.3535858586</v>
      </c>
      <c r="D198" s="531">
        <f>Données!AP198</f>
        <v>27.64511226538114</v>
      </c>
      <c r="E198" s="418">
        <f>VPI!Q198</f>
        <v>66</v>
      </c>
      <c r="F198" s="243">
        <f t="shared" si="8"/>
        <v>38.354887734618856</v>
      </c>
      <c r="G198" s="240">
        <f>Effort!I198+Aide!I198/Taux!C198+Effort!K198/Taux!C198</f>
        <v>16.105926985715527</v>
      </c>
      <c r="H198" s="83">
        <f t="shared" si="9"/>
        <v>54.460814720334383</v>
      </c>
      <c r="I198" s="225">
        <f t="shared" si="10"/>
        <v>0</v>
      </c>
      <c r="J198" s="42">
        <f t="shared" si="11"/>
        <v>0</v>
      </c>
      <c r="K198" s="5"/>
      <c r="L198" s="10"/>
      <c r="M198" s="11"/>
      <c r="R198" s="11"/>
    </row>
    <row r="199" spans="1:18" x14ac:dyDescent="0.25">
      <c r="A199" s="38">
        <f>Données!A199</f>
        <v>5728</v>
      </c>
      <c r="B199" s="199" t="str">
        <f>Données!B199</f>
        <v>Signy-Avenex</v>
      </c>
      <c r="C199" s="351">
        <f>VPI!R199</f>
        <v>56428.273965517248</v>
      </c>
      <c r="D199" s="531">
        <f>Données!AP199</f>
        <v>43.04045191864035</v>
      </c>
      <c r="E199" s="418">
        <f>VPI!Q199</f>
        <v>58</v>
      </c>
      <c r="F199" s="243">
        <f t="shared" ref="F199:F262" si="12">E199-D199</f>
        <v>14.95954808135965</v>
      </c>
      <c r="G199" s="240">
        <f>Effort!I199+Aide!I199/Taux!C199+Effort!K199/Taux!C199</f>
        <v>40.36196574781809</v>
      </c>
      <c r="H199" s="83">
        <f t="shared" ref="H199:H262" si="13">F199+G199</f>
        <v>55.321513829177739</v>
      </c>
      <c r="I199" s="225">
        <f t="shared" ref="I199:I262" si="14">IF(H199&gt;$I$5,H199-$I$5,0)</f>
        <v>0</v>
      </c>
      <c r="J199" s="42">
        <f t="shared" ref="J199:J262" si="15">-I199*C199</f>
        <v>0</v>
      </c>
      <c r="K199" s="5"/>
      <c r="L199" s="10"/>
      <c r="M199" s="11"/>
      <c r="R199" s="11"/>
    </row>
    <row r="200" spans="1:18" x14ac:dyDescent="0.25">
      <c r="A200" s="38">
        <f>Données!A200</f>
        <v>5729</v>
      </c>
      <c r="B200" s="199" t="str">
        <f>Données!B200</f>
        <v>Tannay</v>
      </c>
      <c r="C200" s="351">
        <f>VPI!R200</f>
        <v>161668.92523415975</v>
      </c>
      <c r="D200" s="531">
        <f>Données!AP200</f>
        <v>43.215234880943775</v>
      </c>
      <c r="E200" s="418">
        <f>VPI!Q200</f>
        <v>60.5</v>
      </c>
      <c r="F200" s="243">
        <f t="shared" si="12"/>
        <v>17.284765119056225</v>
      </c>
      <c r="G200" s="240">
        <f>Effort!I200+Aide!I200/Taux!C200+Effort!K200/Taux!C200</f>
        <v>40.229881663908074</v>
      </c>
      <c r="H200" s="83">
        <f t="shared" si="13"/>
        <v>57.514646782964299</v>
      </c>
      <c r="I200" s="225">
        <f t="shared" si="14"/>
        <v>0</v>
      </c>
      <c r="J200" s="42">
        <f t="shared" si="15"/>
        <v>0</v>
      </c>
      <c r="K200" s="5"/>
      <c r="L200" s="10"/>
      <c r="M200" s="11"/>
      <c r="R200" s="11"/>
    </row>
    <row r="201" spans="1:18" x14ac:dyDescent="0.25">
      <c r="A201" s="38">
        <f>Données!A201</f>
        <v>5730</v>
      </c>
      <c r="B201" s="199" t="str">
        <f>Données!B201</f>
        <v>Trélex</v>
      </c>
      <c r="C201" s="351">
        <f>VPI!R201</f>
        <v>125084.29905905908</v>
      </c>
      <c r="D201" s="531">
        <f>Données!AP201</f>
        <v>41.525228333526535</v>
      </c>
      <c r="E201" s="418">
        <f>VPI!Q201</f>
        <v>55.5</v>
      </c>
      <c r="F201" s="243">
        <f t="shared" si="12"/>
        <v>13.974771666473465</v>
      </c>
      <c r="G201" s="240">
        <f>Effort!I201+Aide!I201/Taux!C201+Effort!K201/Taux!C201</f>
        <v>37.491357922467557</v>
      </c>
      <c r="H201" s="83">
        <f t="shared" si="13"/>
        <v>51.466129588941023</v>
      </c>
      <c r="I201" s="225">
        <f t="shared" si="14"/>
        <v>0</v>
      </c>
      <c r="J201" s="42">
        <f t="shared" si="15"/>
        <v>0</v>
      </c>
      <c r="K201" s="5"/>
      <c r="L201" s="10"/>
      <c r="M201" s="11"/>
      <c r="R201" s="11"/>
    </row>
    <row r="202" spans="1:18" x14ac:dyDescent="0.25">
      <c r="A202" s="38">
        <f>Données!A202</f>
        <v>5731</v>
      </c>
      <c r="B202" s="199" t="str">
        <f>Données!B202</f>
        <v>Le Vaud</v>
      </c>
      <c r="C202" s="351">
        <f>VPI!R202</f>
        <v>69594.777477477473</v>
      </c>
      <c r="D202" s="531">
        <f>Données!AP202</f>
        <v>32.411711079617653</v>
      </c>
      <c r="E202" s="418">
        <f>VPI!Q202</f>
        <v>74</v>
      </c>
      <c r="F202" s="243">
        <f t="shared" si="12"/>
        <v>41.588288920382347</v>
      </c>
      <c r="G202" s="240">
        <f>Effort!I202+Aide!I202/Taux!C202+Effort!K202/Taux!C202</f>
        <v>26.550613019018044</v>
      </c>
      <c r="H202" s="83">
        <f t="shared" si="13"/>
        <v>68.138901939400398</v>
      </c>
      <c r="I202" s="225">
        <f t="shared" si="14"/>
        <v>0</v>
      </c>
      <c r="J202" s="42">
        <f t="shared" si="15"/>
        <v>0</v>
      </c>
      <c r="K202" s="5"/>
      <c r="L202" s="10"/>
      <c r="M202" s="11"/>
      <c r="R202" s="11"/>
    </row>
    <row r="203" spans="1:18" x14ac:dyDescent="0.25">
      <c r="A203" s="38">
        <f>Données!A203</f>
        <v>5732</v>
      </c>
      <c r="B203" s="199" t="str">
        <f>Données!B203</f>
        <v>Vich</v>
      </c>
      <c r="C203" s="351">
        <f>VPI!R203</f>
        <v>86531.798253968242</v>
      </c>
      <c r="D203" s="531">
        <f>Données!AP203</f>
        <v>39.233675646656813</v>
      </c>
      <c r="E203" s="418">
        <f>VPI!Q203</f>
        <v>63</v>
      </c>
      <c r="F203" s="243">
        <f t="shared" si="12"/>
        <v>23.766324353343187</v>
      </c>
      <c r="G203" s="240">
        <f>Effort!I203+Aide!I203/Taux!C203+Effort!K203/Taux!C203</f>
        <v>36.051247489918573</v>
      </c>
      <c r="H203" s="83">
        <f t="shared" si="13"/>
        <v>59.81757184326176</v>
      </c>
      <c r="I203" s="225">
        <f t="shared" si="14"/>
        <v>0</v>
      </c>
      <c r="J203" s="42">
        <f t="shared" si="15"/>
        <v>0</v>
      </c>
      <c r="K203" s="5"/>
      <c r="L203" s="10"/>
      <c r="M203" s="11"/>
      <c r="R203" s="11"/>
    </row>
    <row r="204" spans="1:18" x14ac:dyDescent="0.25">
      <c r="A204" s="38">
        <f>Données!A204</f>
        <v>5741</v>
      </c>
      <c r="B204" s="199" t="str">
        <f>Données!B204</f>
        <v>L'Abergement</v>
      </c>
      <c r="C204" s="351">
        <f>VPI!R204</f>
        <v>8987.1447119341574</v>
      </c>
      <c r="D204" s="531">
        <f>Données!AP204</f>
        <v>17.031514949293761</v>
      </c>
      <c r="E204" s="418">
        <f>VPI!Q204</f>
        <v>81</v>
      </c>
      <c r="F204" s="243">
        <f t="shared" si="12"/>
        <v>63.968485050706235</v>
      </c>
      <c r="G204" s="240">
        <f>Effort!I204+Aide!I204/Taux!C204+Effort!K204/Taux!C204</f>
        <v>6.9309014394719171</v>
      </c>
      <c r="H204" s="83">
        <f t="shared" si="13"/>
        <v>70.899386490178159</v>
      </c>
      <c r="I204" s="225">
        <f t="shared" si="14"/>
        <v>0</v>
      </c>
      <c r="J204" s="42">
        <f t="shared" si="15"/>
        <v>0</v>
      </c>
      <c r="K204" s="5"/>
      <c r="L204" s="10"/>
      <c r="M204" s="11"/>
      <c r="R204" s="11"/>
    </row>
    <row r="205" spans="1:18" x14ac:dyDescent="0.25">
      <c r="A205" s="38">
        <f>Données!A205</f>
        <v>5742</v>
      </c>
      <c r="B205" s="199" t="str">
        <f>Données!B205</f>
        <v>Agiez</v>
      </c>
      <c r="C205" s="351">
        <f>VPI!R205</f>
        <v>10159.753552631579</v>
      </c>
      <c r="D205" s="531">
        <f>Données!AP205</f>
        <v>8.5589840935459289</v>
      </c>
      <c r="E205" s="418">
        <f>VPI!Q205</f>
        <v>76</v>
      </c>
      <c r="F205" s="243">
        <f t="shared" si="12"/>
        <v>67.441015906454069</v>
      </c>
      <c r="G205" s="240">
        <f>Effort!I205+Aide!I205/Taux!C205+Effort!K205/Taux!C205</f>
        <v>4.3566760137156066</v>
      </c>
      <c r="H205" s="83">
        <f t="shared" si="13"/>
        <v>71.797691920169683</v>
      </c>
      <c r="I205" s="225">
        <f t="shared" si="14"/>
        <v>0</v>
      </c>
      <c r="J205" s="42">
        <f t="shared" si="15"/>
        <v>0</v>
      </c>
      <c r="K205" s="5"/>
      <c r="L205" s="10"/>
      <c r="M205" s="11"/>
      <c r="R205" s="11"/>
    </row>
    <row r="206" spans="1:18" x14ac:dyDescent="0.25">
      <c r="A206" s="38">
        <f>Données!A206</f>
        <v>5743</v>
      </c>
      <c r="B206" s="199" t="str">
        <f>Données!B206</f>
        <v>Arnex-sur-Orbe</v>
      </c>
      <c r="C206" s="351">
        <f>VPI!R206</f>
        <v>18533.004577464792</v>
      </c>
      <c r="D206" s="531">
        <f>Données!AP206</f>
        <v>22.829090334532456</v>
      </c>
      <c r="E206" s="418">
        <f>VPI!Q206</f>
        <v>71</v>
      </c>
      <c r="F206" s="243">
        <f t="shared" si="12"/>
        <v>48.170909665467548</v>
      </c>
      <c r="G206" s="240">
        <f>Effort!I206+Aide!I206/Taux!C206+Effort!K206/Taux!C206</f>
        <v>7.426654309744233</v>
      </c>
      <c r="H206" s="83">
        <f t="shared" si="13"/>
        <v>55.597563975211784</v>
      </c>
      <c r="I206" s="225">
        <f t="shared" si="14"/>
        <v>0</v>
      </c>
      <c r="J206" s="42">
        <f t="shared" si="15"/>
        <v>0</v>
      </c>
      <c r="K206" s="5"/>
      <c r="L206" s="10"/>
      <c r="M206" s="11"/>
      <c r="R206" s="11"/>
    </row>
    <row r="207" spans="1:18" x14ac:dyDescent="0.25">
      <c r="A207" s="38">
        <f>Données!A207</f>
        <v>5744</v>
      </c>
      <c r="B207" s="199" t="str">
        <f>Données!B207</f>
        <v>Ballaigues</v>
      </c>
      <c r="C207" s="351">
        <f>VPI!R207</f>
        <v>49180.794769230772</v>
      </c>
      <c r="D207" s="531">
        <f>Données!AP207</f>
        <v>35.631768766343939</v>
      </c>
      <c r="E207" s="418">
        <f>VPI!Q207</f>
        <v>65</v>
      </c>
      <c r="F207" s="243">
        <f t="shared" si="12"/>
        <v>29.368231233656061</v>
      </c>
      <c r="G207" s="240">
        <f>Effort!I207+Aide!I207/Taux!C207+Effort!K207/Taux!C207</f>
        <v>17.610422224242825</v>
      </c>
      <c r="H207" s="83">
        <f t="shared" si="13"/>
        <v>46.978653457898886</v>
      </c>
      <c r="I207" s="225">
        <f t="shared" si="14"/>
        <v>0</v>
      </c>
      <c r="J207" s="42">
        <f t="shared" si="15"/>
        <v>0</v>
      </c>
      <c r="K207" s="5"/>
      <c r="L207" s="10"/>
      <c r="M207" s="11"/>
      <c r="R207" s="11"/>
    </row>
    <row r="208" spans="1:18" x14ac:dyDescent="0.25">
      <c r="A208" s="38">
        <f>Données!A208</f>
        <v>5745</v>
      </c>
      <c r="B208" s="199" t="str">
        <f>Données!B208</f>
        <v>Baulmes</v>
      </c>
      <c r="C208" s="351">
        <f>VPI!R208</f>
        <v>28469.206405228757</v>
      </c>
      <c r="D208" s="531">
        <f>Données!AP208</f>
        <v>12.276603431380584</v>
      </c>
      <c r="E208" s="418">
        <f>VPI!Q208</f>
        <v>76.5</v>
      </c>
      <c r="F208" s="243">
        <f t="shared" si="12"/>
        <v>64.223396568619421</v>
      </c>
      <c r="G208" s="240">
        <f>Effort!I208+Aide!I208/Taux!C208+Effort!K208/Taux!C208</f>
        <v>-10.448120368536198</v>
      </c>
      <c r="H208" s="83">
        <f t="shared" si="13"/>
        <v>53.775276200083226</v>
      </c>
      <c r="I208" s="225">
        <f t="shared" si="14"/>
        <v>0</v>
      </c>
      <c r="J208" s="42">
        <f t="shared" si="15"/>
        <v>0</v>
      </c>
      <c r="K208" s="5"/>
      <c r="L208" s="10"/>
      <c r="M208" s="11"/>
      <c r="R208" s="11"/>
    </row>
    <row r="209" spans="1:18" x14ac:dyDescent="0.25">
      <c r="A209" s="38">
        <f>Données!A209</f>
        <v>5746</v>
      </c>
      <c r="B209" s="199" t="str">
        <f>Données!B209</f>
        <v>Bavois</v>
      </c>
      <c r="C209" s="351">
        <f>VPI!R209</f>
        <v>27466.739977168949</v>
      </c>
      <c r="D209" s="531">
        <f>Données!AP209</f>
        <v>25.655951017930356</v>
      </c>
      <c r="E209" s="418">
        <f>VPI!Q209</f>
        <v>73</v>
      </c>
      <c r="F209" s="243">
        <f t="shared" si="12"/>
        <v>47.344048982069644</v>
      </c>
      <c r="G209" s="240">
        <f>Effort!I209+Aide!I209/Taux!C209+Effort!K209/Taux!C209</f>
        <v>5.4111913653948935</v>
      </c>
      <c r="H209" s="83">
        <f t="shared" si="13"/>
        <v>52.755240347464536</v>
      </c>
      <c r="I209" s="225">
        <f t="shared" si="14"/>
        <v>0</v>
      </c>
      <c r="J209" s="42">
        <f t="shared" si="15"/>
        <v>0</v>
      </c>
      <c r="K209" s="5"/>
      <c r="L209" s="10"/>
      <c r="M209" s="11"/>
      <c r="R209" s="11"/>
    </row>
    <row r="210" spans="1:18" x14ac:dyDescent="0.25">
      <c r="A210" s="38">
        <f>Données!A210</f>
        <v>5747</v>
      </c>
      <c r="B210" s="199" t="str">
        <f>Données!B210</f>
        <v>Bofflens</v>
      </c>
      <c r="C210" s="351">
        <f>VPI!R210</f>
        <v>5807.8631884057959</v>
      </c>
      <c r="D210" s="531">
        <f>Données!AP210</f>
        <v>20.274892507159141</v>
      </c>
      <c r="E210" s="418">
        <f>VPI!Q210</f>
        <v>69</v>
      </c>
      <c r="F210" s="243">
        <f t="shared" si="12"/>
        <v>48.725107492840863</v>
      </c>
      <c r="G210" s="240">
        <f>Effort!I210+Aide!I210/Taux!C210+Effort!K210/Taux!C210</f>
        <v>10.04474783243321</v>
      </c>
      <c r="H210" s="83">
        <f t="shared" si="13"/>
        <v>58.769855325274072</v>
      </c>
      <c r="I210" s="225">
        <f t="shared" si="14"/>
        <v>0</v>
      </c>
      <c r="J210" s="42">
        <f t="shared" si="15"/>
        <v>0</v>
      </c>
      <c r="K210" s="5"/>
      <c r="L210" s="10"/>
      <c r="M210" s="11"/>
      <c r="R210" s="11"/>
    </row>
    <row r="211" spans="1:18" x14ac:dyDescent="0.25">
      <c r="A211" s="38">
        <f>Données!A211</f>
        <v>5748</v>
      </c>
      <c r="B211" s="199" t="str">
        <f>Données!B211</f>
        <v>Bretonnières</v>
      </c>
      <c r="C211" s="351">
        <f>VPI!R211</f>
        <v>6643.1211820330973</v>
      </c>
      <c r="D211" s="531">
        <f>Données!AP211</f>
        <v>7.9105771478258662</v>
      </c>
      <c r="E211" s="418">
        <f>VPI!Q211</f>
        <v>70.5</v>
      </c>
      <c r="F211" s="243">
        <f t="shared" si="12"/>
        <v>62.589422852174131</v>
      </c>
      <c r="G211" s="240">
        <f>Effort!I211+Aide!I211/Taux!C211+Effort!K211/Taux!C211</f>
        <v>-0.12305950330109638</v>
      </c>
      <c r="H211" s="83">
        <f t="shared" si="13"/>
        <v>62.466363348873031</v>
      </c>
      <c r="I211" s="225">
        <f t="shared" si="14"/>
        <v>0</v>
      </c>
      <c r="J211" s="42">
        <f t="shared" si="15"/>
        <v>0</v>
      </c>
      <c r="K211" s="5"/>
      <c r="L211" s="10"/>
      <c r="M211" s="11"/>
      <c r="R211" s="11"/>
    </row>
    <row r="212" spans="1:18" x14ac:dyDescent="0.25">
      <c r="A212" s="38">
        <f>Données!A212</f>
        <v>5749</v>
      </c>
      <c r="B212" s="199" t="str">
        <f>Données!B212</f>
        <v>Chavornay</v>
      </c>
      <c r="C212" s="351">
        <f>VPI!R212</f>
        <v>153319.43815602834</v>
      </c>
      <c r="D212" s="531">
        <f>Données!AP212</f>
        <v>9.8772065892238778</v>
      </c>
      <c r="E212" s="418">
        <f>VPI!Q212</f>
        <v>70.5</v>
      </c>
      <c r="F212" s="243">
        <f t="shared" si="12"/>
        <v>60.622793410776126</v>
      </c>
      <c r="G212" s="240">
        <f>Effort!I212+Aide!I212/Taux!C212+Effort!K212/Taux!C212</f>
        <v>0.62076580331592623</v>
      </c>
      <c r="H212" s="83">
        <f t="shared" si="13"/>
        <v>61.243559214092052</v>
      </c>
      <c r="I212" s="225">
        <f t="shared" si="14"/>
        <v>0</v>
      </c>
      <c r="J212" s="42">
        <f t="shared" si="15"/>
        <v>0</v>
      </c>
      <c r="K212" s="5"/>
      <c r="L212" s="10"/>
      <c r="M212" s="11"/>
      <c r="R212" s="11"/>
    </row>
    <row r="213" spans="1:18" x14ac:dyDescent="0.25">
      <c r="A213" s="38">
        <f>Données!A213</f>
        <v>5750</v>
      </c>
      <c r="B213" s="199" t="str">
        <f>Données!B213</f>
        <v>Les Clées</v>
      </c>
      <c r="C213" s="351">
        <f>VPI!R213</f>
        <v>4819.7572916666668</v>
      </c>
      <c r="D213" s="531">
        <f>Données!AP213</f>
        <v>19.398620195627174</v>
      </c>
      <c r="E213" s="418">
        <f>VPI!Q213</f>
        <v>80</v>
      </c>
      <c r="F213" s="243">
        <f t="shared" si="12"/>
        <v>60.601379804372826</v>
      </c>
      <c r="G213" s="240">
        <f>Effort!I213+Aide!I213/Taux!C213+Effort!K213/Taux!C213</f>
        <v>-3.0975783241782473</v>
      </c>
      <c r="H213" s="83">
        <f t="shared" si="13"/>
        <v>57.503801480194582</v>
      </c>
      <c r="I213" s="225">
        <f t="shared" si="14"/>
        <v>0</v>
      </c>
      <c r="J213" s="42">
        <f t="shared" si="15"/>
        <v>0</v>
      </c>
      <c r="K213" s="5"/>
      <c r="L213" s="10"/>
      <c r="M213" s="11"/>
      <c r="R213" s="11"/>
    </row>
    <row r="214" spans="1:18" x14ac:dyDescent="0.25">
      <c r="A214" s="38">
        <f>Données!A214</f>
        <v>5752</v>
      </c>
      <c r="B214" s="199" t="str">
        <f>Données!B214</f>
        <v>Croy</v>
      </c>
      <c r="C214" s="351">
        <f>VPI!R214</f>
        <v>9670.8161776061788</v>
      </c>
      <c r="D214" s="531">
        <f>Données!AP214</f>
        <v>11.42580397375235</v>
      </c>
      <c r="E214" s="418">
        <f>VPI!Q214</f>
        <v>74</v>
      </c>
      <c r="F214" s="243">
        <f t="shared" si="12"/>
        <v>62.574196026247648</v>
      </c>
      <c r="G214" s="240">
        <f>Effort!I214+Aide!I214/Taux!C214+Effort!K214/Taux!C214</f>
        <v>6.3609618111159349</v>
      </c>
      <c r="H214" s="83">
        <f t="shared" si="13"/>
        <v>68.93515783736359</v>
      </c>
      <c r="I214" s="225">
        <f t="shared" si="14"/>
        <v>0</v>
      </c>
      <c r="J214" s="42">
        <f t="shared" si="15"/>
        <v>0</v>
      </c>
      <c r="K214" s="5"/>
      <c r="L214" s="10"/>
      <c r="M214" s="11"/>
      <c r="R214" s="11"/>
    </row>
    <row r="215" spans="1:18" x14ac:dyDescent="0.25">
      <c r="A215" s="38">
        <f>Données!A215</f>
        <v>5754</v>
      </c>
      <c r="B215" s="199" t="str">
        <f>Données!B215</f>
        <v>Juriens</v>
      </c>
      <c r="C215" s="351">
        <f>VPI!R215</f>
        <v>9073.5155696202528</v>
      </c>
      <c r="D215" s="531">
        <f>Données!AP215</f>
        <v>6.9319534710881161</v>
      </c>
      <c r="E215" s="418">
        <f>VPI!Q215</f>
        <v>79</v>
      </c>
      <c r="F215" s="243">
        <f t="shared" si="12"/>
        <v>72.068046528911879</v>
      </c>
      <c r="G215" s="240">
        <f>Effort!I215+Aide!I215/Taux!C215+Effort!K215/Taux!C215</f>
        <v>1.8081612078708318</v>
      </c>
      <c r="H215" s="83">
        <f t="shared" si="13"/>
        <v>73.876207736782703</v>
      </c>
      <c r="I215" s="225">
        <f t="shared" si="14"/>
        <v>0</v>
      </c>
      <c r="J215" s="42">
        <f t="shared" si="15"/>
        <v>0</v>
      </c>
      <c r="K215" s="5"/>
      <c r="L215" s="10"/>
      <c r="M215" s="11"/>
      <c r="R215" s="11"/>
    </row>
    <row r="216" spans="1:18" x14ac:dyDescent="0.25">
      <c r="A216" s="38">
        <f>Données!A216</f>
        <v>5755</v>
      </c>
      <c r="B216" s="199" t="str">
        <f>Données!B216</f>
        <v>Lignerolle</v>
      </c>
      <c r="C216" s="351">
        <f>VPI!R216</f>
        <v>10745.60797088262</v>
      </c>
      <c r="D216" s="531">
        <f>Données!AP216</f>
        <v>13.571554595897521</v>
      </c>
      <c r="E216" s="418">
        <f>VPI!Q216</f>
        <v>78.5</v>
      </c>
      <c r="F216" s="243">
        <f t="shared" si="12"/>
        <v>64.928445404102476</v>
      </c>
      <c r="G216" s="240">
        <f>Effort!I216+Aide!I216/Taux!C216+Effort!K216/Taux!C216</f>
        <v>-20.294100681619295</v>
      </c>
      <c r="H216" s="83">
        <f t="shared" si="13"/>
        <v>44.634344722483178</v>
      </c>
      <c r="I216" s="225">
        <f t="shared" si="14"/>
        <v>0</v>
      </c>
      <c r="J216" s="42">
        <f t="shared" si="15"/>
        <v>0</v>
      </c>
      <c r="K216" s="5"/>
      <c r="L216" s="10"/>
      <c r="M216" s="11"/>
      <c r="R216" s="11"/>
    </row>
    <row r="217" spans="1:18" x14ac:dyDescent="0.25">
      <c r="A217" s="38">
        <f>Données!A217</f>
        <v>5756</v>
      </c>
      <c r="B217" s="199" t="str">
        <f>Données!B217</f>
        <v>Montcherand</v>
      </c>
      <c r="C217" s="351">
        <f>VPI!R217</f>
        <v>17738.051111111108</v>
      </c>
      <c r="D217" s="531">
        <f>Données!AP217</f>
        <v>23.216501576589341</v>
      </c>
      <c r="E217" s="418">
        <f>VPI!Q217</f>
        <v>72</v>
      </c>
      <c r="F217" s="243">
        <f t="shared" si="12"/>
        <v>48.783498423410663</v>
      </c>
      <c r="G217" s="240">
        <f>Effort!I217+Aide!I217/Taux!C217+Effort!K217/Taux!C217</f>
        <v>18.961368247143746</v>
      </c>
      <c r="H217" s="83">
        <f t="shared" si="13"/>
        <v>67.744866670554416</v>
      </c>
      <c r="I217" s="225">
        <f t="shared" si="14"/>
        <v>0</v>
      </c>
      <c r="J217" s="42">
        <f t="shared" si="15"/>
        <v>0</v>
      </c>
      <c r="K217" s="5"/>
      <c r="L217" s="10"/>
      <c r="M217" s="11"/>
      <c r="R217" s="11"/>
    </row>
    <row r="218" spans="1:18" x14ac:dyDescent="0.25">
      <c r="A218" s="38">
        <f>Données!A218</f>
        <v>5757</v>
      </c>
      <c r="B218" s="199" t="str">
        <f>Données!B218</f>
        <v>Orbe</v>
      </c>
      <c r="C218" s="351">
        <f>VPI!R218</f>
        <v>216123.53284768213</v>
      </c>
      <c r="D218" s="531">
        <f>Données!AP218</f>
        <v>11.864718986566379</v>
      </c>
      <c r="E218" s="418">
        <f>VPI!Q218</f>
        <v>75.5</v>
      </c>
      <c r="F218" s="243">
        <f t="shared" si="12"/>
        <v>63.63528101343362</v>
      </c>
      <c r="G218" s="240">
        <f>Effort!I218+Aide!I218/Taux!C218+Effort!K218/Taux!C218</f>
        <v>-8.778589766976264</v>
      </c>
      <c r="H218" s="83">
        <f t="shared" si="13"/>
        <v>54.856691246457359</v>
      </c>
      <c r="I218" s="225">
        <f t="shared" si="14"/>
        <v>0</v>
      </c>
      <c r="J218" s="42">
        <f t="shared" si="15"/>
        <v>0</v>
      </c>
      <c r="K218" s="5"/>
      <c r="L218" s="10"/>
      <c r="M218" s="11"/>
      <c r="R218" s="11"/>
    </row>
    <row r="219" spans="1:18" x14ac:dyDescent="0.25">
      <c r="A219" s="38">
        <f>Données!A219</f>
        <v>5758</v>
      </c>
      <c r="B219" s="199" t="str">
        <f>Données!B219</f>
        <v>La Praz</v>
      </c>
      <c r="C219" s="351">
        <f>VPI!R219</f>
        <v>4771.6656626506028</v>
      </c>
      <c r="D219" s="531">
        <f>Données!AP219</f>
        <v>7.5404688917729734</v>
      </c>
      <c r="E219" s="418">
        <f>VPI!Q219</f>
        <v>83</v>
      </c>
      <c r="F219" s="243">
        <f t="shared" si="12"/>
        <v>75.459531108227026</v>
      </c>
      <c r="G219" s="240">
        <f>Effort!I219+Aide!I219/Taux!C219+Effort!K219/Taux!C219</f>
        <v>-4.1212489376406829</v>
      </c>
      <c r="H219" s="83">
        <f t="shared" si="13"/>
        <v>71.338282170586339</v>
      </c>
      <c r="I219" s="225">
        <f t="shared" si="14"/>
        <v>0</v>
      </c>
      <c r="J219" s="42">
        <f t="shared" si="15"/>
        <v>0</v>
      </c>
      <c r="K219" s="5"/>
      <c r="L219" s="10"/>
      <c r="M219" s="11"/>
      <c r="R219" s="11"/>
    </row>
    <row r="220" spans="1:18" x14ac:dyDescent="0.25">
      <c r="A220" s="38">
        <f>Données!A220</f>
        <v>5759</v>
      </c>
      <c r="B220" s="199" t="str">
        <f>Données!B220</f>
        <v>Premier</v>
      </c>
      <c r="C220" s="351">
        <f>VPI!R220</f>
        <v>5899.9776100628924</v>
      </c>
      <c r="D220" s="531">
        <f>Données!AP220</f>
        <v>9.890505668120424</v>
      </c>
      <c r="E220" s="418">
        <f>VPI!Q220</f>
        <v>79.5</v>
      </c>
      <c r="F220" s="243">
        <f t="shared" si="12"/>
        <v>69.609494331879574</v>
      </c>
      <c r="G220" s="240">
        <f>Effort!I220+Aide!I220/Taux!C220+Effort!K220/Taux!C220</f>
        <v>-7.7863720537225412</v>
      </c>
      <c r="H220" s="83">
        <f t="shared" si="13"/>
        <v>61.82312227815703</v>
      </c>
      <c r="I220" s="225">
        <f t="shared" si="14"/>
        <v>0</v>
      </c>
      <c r="J220" s="42">
        <f t="shared" si="15"/>
        <v>0</v>
      </c>
      <c r="K220" s="5"/>
      <c r="L220" s="10"/>
      <c r="M220" s="11"/>
      <c r="R220" s="11"/>
    </row>
    <row r="221" spans="1:18" x14ac:dyDescent="0.25">
      <c r="A221" s="38">
        <f>Données!A221</f>
        <v>5760</v>
      </c>
      <c r="B221" s="199" t="str">
        <f>Données!B221</f>
        <v>Rances</v>
      </c>
      <c r="C221" s="351">
        <f>VPI!R221</f>
        <v>14480.898997821349</v>
      </c>
      <c r="D221" s="531">
        <f>Données!AP221</f>
        <v>13.240837548519185</v>
      </c>
      <c r="E221" s="418">
        <f>VPI!Q221</f>
        <v>76.5</v>
      </c>
      <c r="F221" s="243">
        <f t="shared" si="12"/>
        <v>63.259162451480819</v>
      </c>
      <c r="G221" s="240">
        <f>Effort!I221+Aide!I221/Taux!C221+Effort!K221/Taux!C221</f>
        <v>2.3636359781937699</v>
      </c>
      <c r="H221" s="83">
        <f t="shared" si="13"/>
        <v>65.622798429674589</v>
      </c>
      <c r="I221" s="225">
        <f t="shared" si="14"/>
        <v>0</v>
      </c>
      <c r="J221" s="42">
        <f t="shared" si="15"/>
        <v>0</v>
      </c>
      <c r="K221" s="5"/>
      <c r="L221" s="10"/>
      <c r="M221" s="11"/>
      <c r="R221" s="11"/>
    </row>
    <row r="222" spans="1:18" x14ac:dyDescent="0.25">
      <c r="A222" s="38">
        <f>Données!A222</f>
        <v>5761</v>
      </c>
      <c r="B222" s="199" t="str">
        <f>Données!B222</f>
        <v>Romainmôtier-Envy</v>
      </c>
      <c r="C222" s="351">
        <f>VPI!R222</f>
        <v>12913.442693602694</v>
      </c>
      <c r="D222" s="531">
        <f>Données!AP222</f>
        <v>9.3262509680432686</v>
      </c>
      <c r="E222" s="418">
        <f>VPI!Q222</f>
        <v>81</v>
      </c>
      <c r="F222" s="243">
        <f t="shared" si="12"/>
        <v>71.673749031956731</v>
      </c>
      <c r="G222" s="240">
        <f>Effort!I222+Aide!I222/Taux!C222+Effort!K222/Taux!C222</f>
        <v>-14.183289238497121</v>
      </c>
      <c r="H222" s="83">
        <f t="shared" si="13"/>
        <v>57.490459793459607</v>
      </c>
      <c r="I222" s="225">
        <f t="shared" si="14"/>
        <v>0</v>
      </c>
      <c r="J222" s="42">
        <f t="shared" si="15"/>
        <v>0</v>
      </c>
      <c r="K222" s="5"/>
      <c r="L222" s="10"/>
      <c r="M222" s="11"/>
      <c r="R222" s="11"/>
    </row>
    <row r="223" spans="1:18" x14ac:dyDescent="0.25">
      <c r="A223" s="38">
        <f>Données!A223</f>
        <v>5762</v>
      </c>
      <c r="B223" s="199" t="str">
        <f>Données!B223</f>
        <v>Sergey</v>
      </c>
      <c r="C223" s="351">
        <f>VPI!R223</f>
        <v>3849.5166666666673</v>
      </c>
      <c r="D223" s="531">
        <f>Données!AP223</f>
        <v>10.151335234529446</v>
      </c>
      <c r="E223" s="418">
        <f>VPI!Q223</f>
        <v>78</v>
      </c>
      <c r="F223" s="243">
        <f t="shared" si="12"/>
        <v>67.848664765470559</v>
      </c>
      <c r="G223" s="240">
        <f>Effort!I223+Aide!I223/Taux!C223+Effort!K223/Taux!C223</f>
        <v>2.0144719027427307</v>
      </c>
      <c r="H223" s="83">
        <f t="shared" si="13"/>
        <v>69.863136668213286</v>
      </c>
      <c r="I223" s="225">
        <f t="shared" si="14"/>
        <v>0</v>
      </c>
      <c r="J223" s="42">
        <f t="shared" si="15"/>
        <v>0</v>
      </c>
      <c r="K223" s="5"/>
      <c r="L223" s="10"/>
      <c r="M223" s="11"/>
      <c r="R223" s="11"/>
    </row>
    <row r="224" spans="1:18" x14ac:dyDescent="0.25">
      <c r="A224" s="38">
        <f>Données!A224</f>
        <v>5763</v>
      </c>
      <c r="B224" s="199" t="str">
        <f>Données!B224</f>
        <v>Valeyres-sous-Rances</v>
      </c>
      <c r="C224" s="351">
        <f>VPI!R224</f>
        <v>22662.54088235294</v>
      </c>
      <c r="D224" s="531">
        <f>Données!AP224</f>
        <v>24.471780899788222</v>
      </c>
      <c r="E224" s="418">
        <f>VPI!Q224</f>
        <v>68</v>
      </c>
      <c r="F224" s="243">
        <f t="shared" si="12"/>
        <v>43.528219100211778</v>
      </c>
      <c r="G224" s="240">
        <f>Effort!I224+Aide!I224/Taux!C224+Effort!K224/Taux!C224</f>
        <v>19.808849643857009</v>
      </c>
      <c r="H224" s="83">
        <f t="shared" si="13"/>
        <v>63.337068744068787</v>
      </c>
      <c r="I224" s="225">
        <f t="shared" si="14"/>
        <v>0</v>
      </c>
      <c r="J224" s="42">
        <f t="shared" si="15"/>
        <v>0</v>
      </c>
      <c r="K224" s="5"/>
      <c r="L224" s="10"/>
      <c r="M224" s="11"/>
      <c r="R224" s="11"/>
    </row>
    <row r="225" spans="1:18" x14ac:dyDescent="0.25">
      <c r="A225" s="38">
        <f>Données!A225</f>
        <v>5764</v>
      </c>
      <c r="B225" s="199" t="str">
        <f>Données!B225</f>
        <v>Vallorbe</v>
      </c>
      <c r="C225" s="351">
        <f>VPI!R225</f>
        <v>83671.674265734255</v>
      </c>
      <c r="D225" s="531">
        <f>Données!AP225</f>
        <v>6.2797899368949279</v>
      </c>
      <c r="E225" s="418">
        <f>VPI!Q225</f>
        <v>71.5</v>
      </c>
      <c r="F225" s="243">
        <f t="shared" si="12"/>
        <v>65.220210063105071</v>
      </c>
      <c r="G225" s="240">
        <f>Effort!I225+Aide!I225/Taux!C225+Effort!K225/Taux!C225</f>
        <v>-35.206609961572056</v>
      </c>
      <c r="H225" s="83">
        <f t="shared" si="13"/>
        <v>30.013600101533015</v>
      </c>
      <c r="I225" s="225">
        <f t="shared" si="14"/>
        <v>0</v>
      </c>
      <c r="J225" s="42">
        <f t="shared" si="15"/>
        <v>0</v>
      </c>
      <c r="K225" s="5"/>
      <c r="L225" s="10"/>
      <c r="M225" s="11"/>
      <c r="R225" s="11"/>
    </row>
    <row r="226" spans="1:18" x14ac:dyDescent="0.25">
      <c r="A226" s="38">
        <f>Données!A226</f>
        <v>5765</v>
      </c>
      <c r="B226" s="199" t="str">
        <f>Données!B226</f>
        <v>Vaulion</v>
      </c>
      <c r="C226" s="351">
        <f>VPI!R226</f>
        <v>10278.622098765432</v>
      </c>
      <c r="D226" s="531">
        <f>Données!AP226</f>
        <v>6.0507811983227739</v>
      </c>
      <c r="E226" s="418">
        <f>VPI!Q226</f>
        <v>81</v>
      </c>
      <c r="F226" s="243">
        <f t="shared" si="12"/>
        <v>74.949218801677233</v>
      </c>
      <c r="G226" s="240">
        <f>Effort!I226+Aide!I226/Taux!C226+Effort!K226/Taux!C226</f>
        <v>-21.021941699491169</v>
      </c>
      <c r="H226" s="83">
        <f t="shared" si="13"/>
        <v>53.927277102186068</v>
      </c>
      <c r="I226" s="225">
        <f t="shared" si="14"/>
        <v>0</v>
      </c>
      <c r="J226" s="42">
        <f t="shared" si="15"/>
        <v>0</v>
      </c>
      <c r="K226" s="5"/>
      <c r="L226" s="10"/>
      <c r="M226" s="11"/>
      <c r="R226" s="11"/>
    </row>
    <row r="227" spans="1:18" x14ac:dyDescent="0.25">
      <c r="A227" s="38">
        <f>Données!A227</f>
        <v>5766</v>
      </c>
      <c r="B227" s="199" t="str">
        <f>Données!B227</f>
        <v>Vuiteboeuf</v>
      </c>
      <c r="C227" s="351">
        <f>VPI!R227</f>
        <v>15553.757238095239</v>
      </c>
      <c r="D227" s="531">
        <f>Données!AP227</f>
        <v>14.729064815540836</v>
      </c>
      <c r="E227" s="418">
        <f>VPI!Q227</f>
        <v>75</v>
      </c>
      <c r="F227" s="243">
        <f t="shared" si="12"/>
        <v>60.270935184459162</v>
      </c>
      <c r="G227" s="240">
        <f>Effort!I227+Aide!I227/Taux!C227+Effort!K227/Taux!C227</f>
        <v>4.7067381763959766</v>
      </c>
      <c r="H227" s="83">
        <f t="shared" si="13"/>
        <v>64.977673360855135</v>
      </c>
      <c r="I227" s="225">
        <f t="shared" si="14"/>
        <v>0</v>
      </c>
      <c r="J227" s="42">
        <f t="shared" si="15"/>
        <v>0</v>
      </c>
      <c r="K227" s="5"/>
      <c r="L227" s="10"/>
      <c r="M227" s="11"/>
      <c r="R227" s="11"/>
    </row>
    <row r="228" spans="1:18" x14ac:dyDescent="0.25">
      <c r="A228" s="38">
        <f>Données!A228</f>
        <v>5785</v>
      </c>
      <c r="B228" s="199" t="str">
        <f>Données!B228</f>
        <v>Corcelles-le-Jorat</v>
      </c>
      <c r="C228" s="351">
        <f>VPI!R228</f>
        <v>14579.038701298701</v>
      </c>
      <c r="D228" s="531">
        <f>Données!AP228</f>
        <v>29.865358610724893</v>
      </c>
      <c r="E228" s="418">
        <f>VPI!Q228</f>
        <v>77</v>
      </c>
      <c r="F228" s="243">
        <f t="shared" si="12"/>
        <v>47.134641389275103</v>
      </c>
      <c r="G228" s="240">
        <f>Effort!I228+Aide!I228/Taux!C228+Effort!K228/Taux!C228</f>
        <v>9.0127790547348887</v>
      </c>
      <c r="H228" s="83">
        <f t="shared" si="13"/>
        <v>56.147420444009995</v>
      </c>
      <c r="I228" s="225">
        <f t="shared" si="14"/>
        <v>0</v>
      </c>
      <c r="J228" s="42">
        <f t="shared" si="15"/>
        <v>0</v>
      </c>
      <c r="K228" s="5"/>
      <c r="L228" s="10"/>
      <c r="M228" s="11"/>
      <c r="R228" s="11"/>
    </row>
    <row r="229" spans="1:18" x14ac:dyDescent="0.25">
      <c r="A229" s="38">
        <f>Données!A229</f>
        <v>5790</v>
      </c>
      <c r="B229" s="199" t="str">
        <f>Données!B229</f>
        <v>Maracon</v>
      </c>
      <c r="C229" s="351">
        <f>VPI!R229</f>
        <v>15171.684832214765</v>
      </c>
      <c r="D229" s="531">
        <f>Données!AP229</f>
        <v>12.119136041534537</v>
      </c>
      <c r="E229" s="418">
        <f>VPI!Q229</f>
        <v>74.5</v>
      </c>
      <c r="F229" s="243">
        <f t="shared" si="12"/>
        <v>62.380863958465461</v>
      </c>
      <c r="G229" s="240">
        <f>Effort!I229+Aide!I229/Taux!C229+Effort!K229/Taux!C229</f>
        <v>4.0345688103235311</v>
      </c>
      <c r="H229" s="83">
        <f t="shared" si="13"/>
        <v>66.415432768788989</v>
      </c>
      <c r="I229" s="225">
        <f t="shared" si="14"/>
        <v>0</v>
      </c>
      <c r="J229" s="42">
        <f t="shared" si="15"/>
        <v>0</v>
      </c>
      <c r="K229" s="5"/>
      <c r="L229" s="10"/>
      <c r="M229" s="11"/>
      <c r="R229" s="11"/>
    </row>
    <row r="230" spans="1:18" x14ac:dyDescent="0.25">
      <c r="A230" s="38">
        <f>Données!A230</f>
        <v>5792</v>
      </c>
      <c r="B230" s="199" t="str">
        <f>Données!B230</f>
        <v>Montpreveyres</v>
      </c>
      <c r="C230" s="351">
        <f>VPI!R230</f>
        <v>20162.237880794706</v>
      </c>
      <c r="D230" s="531">
        <f>Données!AP230</f>
        <v>16.327674377357035</v>
      </c>
      <c r="E230" s="418">
        <f>VPI!Q230</f>
        <v>75.5</v>
      </c>
      <c r="F230" s="243">
        <f t="shared" si="12"/>
        <v>59.172325622642965</v>
      </c>
      <c r="G230" s="240">
        <f>Effort!I230+Aide!I230/Taux!C230+Effort!K230/Taux!C230</f>
        <v>7.4363730850579657</v>
      </c>
      <c r="H230" s="83">
        <f t="shared" si="13"/>
        <v>66.608698707700938</v>
      </c>
      <c r="I230" s="225">
        <f t="shared" si="14"/>
        <v>0</v>
      </c>
      <c r="J230" s="42">
        <f t="shared" si="15"/>
        <v>0</v>
      </c>
      <c r="K230" s="5"/>
      <c r="L230" s="10"/>
      <c r="M230" s="11"/>
      <c r="R230" s="11"/>
    </row>
    <row r="231" spans="1:18" x14ac:dyDescent="0.25">
      <c r="A231" s="38">
        <f>Données!A231</f>
        <v>5798</v>
      </c>
      <c r="B231" s="199" t="str">
        <f>Données!B231</f>
        <v>Ropraz</v>
      </c>
      <c r="C231" s="351">
        <f>VPI!R231</f>
        <v>17442.468645161291</v>
      </c>
      <c r="D231" s="531">
        <f>Données!AP231</f>
        <v>19.074304489898964</v>
      </c>
      <c r="E231" s="418">
        <f>VPI!Q231</f>
        <v>77.5</v>
      </c>
      <c r="F231" s="243">
        <f t="shared" si="12"/>
        <v>58.425695510101036</v>
      </c>
      <c r="G231" s="240">
        <f>Effort!I231+Aide!I231/Taux!C231+Effort!K231/Taux!C231</f>
        <v>13.841315608616277</v>
      </c>
      <c r="H231" s="83">
        <f t="shared" si="13"/>
        <v>72.267011118717306</v>
      </c>
      <c r="I231" s="225">
        <f t="shared" si="14"/>
        <v>0</v>
      </c>
      <c r="J231" s="42">
        <f t="shared" si="15"/>
        <v>0</v>
      </c>
      <c r="K231" s="5"/>
      <c r="L231" s="10"/>
      <c r="M231" s="11"/>
      <c r="R231" s="11"/>
    </row>
    <row r="232" spans="1:18" x14ac:dyDescent="0.25">
      <c r="A232" s="38">
        <f>Données!A232</f>
        <v>5799</v>
      </c>
      <c r="B232" s="199" t="str">
        <f>Données!B232</f>
        <v>Servion</v>
      </c>
      <c r="C232" s="351">
        <f>VPI!R232</f>
        <v>71741.835797101463</v>
      </c>
      <c r="D232" s="531">
        <f>Données!AP232</f>
        <v>23.580424361338224</v>
      </c>
      <c r="E232" s="418">
        <f>VPI!Q232</f>
        <v>69</v>
      </c>
      <c r="F232" s="243">
        <f t="shared" si="12"/>
        <v>45.419575638661776</v>
      </c>
      <c r="G232" s="240">
        <f>Effort!I232+Aide!I232/Taux!C232+Effort!K232/Taux!C232</f>
        <v>12.140286998905356</v>
      </c>
      <c r="H232" s="83">
        <f t="shared" si="13"/>
        <v>57.559862637567136</v>
      </c>
      <c r="I232" s="225">
        <f t="shared" si="14"/>
        <v>0</v>
      </c>
      <c r="J232" s="42">
        <f t="shared" si="15"/>
        <v>0</v>
      </c>
      <c r="K232" s="5"/>
      <c r="L232" s="10"/>
      <c r="M232" s="11"/>
      <c r="R232" s="11"/>
    </row>
    <row r="233" spans="1:18" x14ac:dyDescent="0.25">
      <c r="A233" s="38">
        <f>Données!A233</f>
        <v>5803</v>
      </c>
      <c r="B233" s="199" t="str">
        <f>Données!B233</f>
        <v>Vulliens</v>
      </c>
      <c r="C233" s="351">
        <f>VPI!R233</f>
        <v>17996.04157894737</v>
      </c>
      <c r="D233" s="531">
        <f>Données!AP233</f>
        <v>19.221294801667248</v>
      </c>
      <c r="E233" s="418">
        <f>VPI!Q233</f>
        <v>76</v>
      </c>
      <c r="F233" s="243">
        <f t="shared" si="12"/>
        <v>56.778705198332752</v>
      </c>
      <c r="G233" s="240">
        <f>Effort!I233+Aide!I233/Taux!C233+Effort!K233/Taux!C233</f>
        <v>8.4818255847183597</v>
      </c>
      <c r="H233" s="83">
        <f t="shared" si="13"/>
        <v>65.260530783051109</v>
      </c>
      <c r="I233" s="225">
        <f t="shared" si="14"/>
        <v>0</v>
      </c>
      <c r="J233" s="42">
        <f t="shared" si="15"/>
        <v>0</v>
      </c>
      <c r="K233" s="5"/>
      <c r="L233" s="10"/>
      <c r="M233" s="11"/>
      <c r="R233" s="11"/>
    </row>
    <row r="234" spans="1:18" x14ac:dyDescent="0.25">
      <c r="A234" s="38">
        <f>Données!A234</f>
        <v>5804</v>
      </c>
      <c r="B234" s="199" t="str">
        <f>Données!B234</f>
        <v>Jorat-Menthue</v>
      </c>
      <c r="C234" s="351">
        <f>VPI!R234</f>
        <v>46853.078156028365</v>
      </c>
      <c r="D234" s="531">
        <f>Données!AP234</f>
        <v>19.264549135353793</v>
      </c>
      <c r="E234" s="418">
        <f>VPI!Q234</f>
        <v>70.5</v>
      </c>
      <c r="F234" s="243">
        <f t="shared" si="12"/>
        <v>51.235450864646211</v>
      </c>
      <c r="G234" s="240">
        <f>Effort!I234+Aide!I234/Taux!C234+Effort!K234/Taux!C234</f>
        <v>0.52325534069048274</v>
      </c>
      <c r="H234" s="83">
        <f t="shared" si="13"/>
        <v>51.758706205336694</v>
      </c>
      <c r="I234" s="225">
        <f t="shared" si="14"/>
        <v>0</v>
      </c>
      <c r="J234" s="42">
        <f t="shared" si="15"/>
        <v>0</v>
      </c>
      <c r="K234" s="5"/>
      <c r="L234" s="10"/>
      <c r="M234" s="11"/>
      <c r="R234" s="11"/>
    </row>
    <row r="235" spans="1:18" x14ac:dyDescent="0.25">
      <c r="A235" s="38">
        <f>Données!A235</f>
        <v>5805</v>
      </c>
      <c r="B235" s="199" t="str">
        <f>Données!B235</f>
        <v>Oron</v>
      </c>
      <c r="C235" s="351">
        <f>VPI!R235</f>
        <v>175444.22906111775</v>
      </c>
      <c r="D235" s="531">
        <f>Données!AP235</f>
        <v>10.00369788428109</v>
      </c>
      <c r="E235" s="418">
        <f>VPI!Q235</f>
        <v>69.19</v>
      </c>
      <c r="F235" s="243">
        <f t="shared" si="12"/>
        <v>59.18630211571891</v>
      </c>
      <c r="G235" s="240">
        <f>Effort!I235+Aide!I235/Taux!C235+Effort!K235/Taux!C235</f>
        <v>-0.94378785166440693</v>
      </c>
      <c r="H235" s="83">
        <f t="shared" si="13"/>
        <v>58.242514264054506</v>
      </c>
      <c r="I235" s="225">
        <f t="shared" si="14"/>
        <v>0</v>
      </c>
      <c r="J235" s="42">
        <f t="shared" si="15"/>
        <v>0</v>
      </c>
      <c r="K235" s="5"/>
      <c r="L235" s="10"/>
      <c r="M235" s="11"/>
      <c r="R235" s="11"/>
    </row>
    <row r="236" spans="1:18" x14ac:dyDescent="0.25">
      <c r="A236" s="38">
        <f>Données!A236</f>
        <v>5806</v>
      </c>
      <c r="B236" s="199" t="str">
        <f>Données!B236</f>
        <v>Jorat-Mézières</v>
      </c>
      <c r="C236" s="351">
        <f>VPI!R236</f>
        <v>102069.34178082191</v>
      </c>
      <c r="D236" s="531">
        <f>Données!AP236</f>
        <v>17.155811150183524</v>
      </c>
      <c r="E236" s="418">
        <f>VPI!Q236</f>
        <v>73</v>
      </c>
      <c r="F236" s="243">
        <f t="shared" si="12"/>
        <v>55.844188849816476</v>
      </c>
      <c r="G236" s="240">
        <f>Effort!I236+Aide!I236/Taux!C236+Effort!K236/Taux!C236</f>
        <v>9.4820690683956208</v>
      </c>
      <c r="H236" s="83">
        <f t="shared" si="13"/>
        <v>65.326257918212093</v>
      </c>
      <c r="I236" s="225">
        <f t="shared" si="14"/>
        <v>0</v>
      </c>
      <c r="J236" s="42">
        <f t="shared" si="15"/>
        <v>0</v>
      </c>
      <c r="K236" s="5"/>
      <c r="L236" s="10"/>
      <c r="M236" s="11"/>
      <c r="R236" s="11"/>
    </row>
    <row r="237" spans="1:18" x14ac:dyDescent="0.25">
      <c r="A237" s="38">
        <f>Données!A237</f>
        <v>5812</v>
      </c>
      <c r="B237" s="199" t="str">
        <f>Données!B237</f>
        <v>Champtauroz</v>
      </c>
      <c r="C237" s="351">
        <f>VPI!R237</f>
        <v>3351.3333766233759</v>
      </c>
      <c r="D237" s="531">
        <f>Données!AP237</f>
        <v>-7.1193103241017264</v>
      </c>
      <c r="E237" s="418">
        <f>VPI!Q237</f>
        <v>77</v>
      </c>
      <c r="F237" s="243">
        <f t="shared" si="12"/>
        <v>84.119310324101733</v>
      </c>
      <c r="G237" s="240">
        <f>Effort!I237+Aide!I237/Taux!C237+Effort!K237/Taux!C237</f>
        <v>-14.161148597257917</v>
      </c>
      <c r="H237" s="83">
        <f t="shared" si="13"/>
        <v>69.958161726843812</v>
      </c>
      <c r="I237" s="225">
        <f t="shared" si="14"/>
        <v>0</v>
      </c>
      <c r="J237" s="42">
        <f t="shared" si="15"/>
        <v>0</v>
      </c>
      <c r="K237" s="5"/>
      <c r="L237" s="10"/>
      <c r="M237" s="11"/>
      <c r="R237" s="11"/>
    </row>
    <row r="238" spans="1:18" x14ac:dyDescent="0.25">
      <c r="A238" s="38">
        <f>Données!A238</f>
        <v>5813</v>
      </c>
      <c r="B238" s="199" t="str">
        <f>Données!B238</f>
        <v>Chevroux</v>
      </c>
      <c r="C238" s="351">
        <f>VPI!R238</f>
        <v>15275.291313868614</v>
      </c>
      <c r="D238" s="531">
        <f>Données!AP238</f>
        <v>21.971941520435372</v>
      </c>
      <c r="E238" s="418">
        <f>VPI!Q238</f>
        <v>68.5</v>
      </c>
      <c r="F238" s="243">
        <f t="shared" si="12"/>
        <v>46.528058479564628</v>
      </c>
      <c r="G238" s="240">
        <f>Effort!I238+Aide!I238/Taux!C238+Effort!K238/Taux!C238</f>
        <v>-5.8662752059055876</v>
      </c>
      <c r="H238" s="83">
        <f t="shared" si="13"/>
        <v>40.66178327365904</v>
      </c>
      <c r="I238" s="225">
        <f t="shared" si="14"/>
        <v>0</v>
      </c>
      <c r="J238" s="42">
        <f t="shared" si="15"/>
        <v>0</v>
      </c>
      <c r="K238" s="5"/>
      <c r="L238" s="10"/>
      <c r="M238" s="11"/>
      <c r="R238" s="11"/>
    </row>
    <row r="239" spans="1:18" x14ac:dyDescent="0.25">
      <c r="A239" s="38">
        <f>Données!A239</f>
        <v>5816</v>
      </c>
      <c r="B239" s="199" t="str">
        <f>Données!B239</f>
        <v>Corcelles-près-Payerne</v>
      </c>
      <c r="C239" s="351">
        <f>VPI!R239</f>
        <v>65640.914577685078</v>
      </c>
      <c r="D239" s="531">
        <f>Données!AP239</f>
        <v>5.3834256837167684</v>
      </c>
      <c r="E239" s="418">
        <f>VPI!Q239</f>
        <v>68.5</v>
      </c>
      <c r="F239" s="243">
        <f t="shared" si="12"/>
        <v>63.116574316283234</v>
      </c>
      <c r="G239" s="240">
        <f>Effort!I239+Aide!I239/Taux!C239+Effort!K239/Taux!C239</f>
        <v>-3.7272743784657614</v>
      </c>
      <c r="H239" s="83">
        <f t="shared" si="13"/>
        <v>59.389299937817469</v>
      </c>
      <c r="I239" s="225">
        <f t="shared" si="14"/>
        <v>0</v>
      </c>
      <c r="J239" s="42">
        <f t="shared" si="15"/>
        <v>0</v>
      </c>
      <c r="K239" s="5"/>
      <c r="L239" s="10"/>
      <c r="M239" s="11"/>
      <c r="R239" s="11"/>
    </row>
    <row r="240" spans="1:18" x14ac:dyDescent="0.25">
      <c r="A240" s="38">
        <f>Données!A240</f>
        <v>5817</v>
      </c>
      <c r="B240" s="199" t="str">
        <f>Données!B240</f>
        <v>Grandcour</v>
      </c>
      <c r="C240" s="351">
        <f>VPI!R240</f>
        <v>24621.518775510202</v>
      </c>
      <c r="D240" s="531">
        <f>Données!AP240</f>
        <v>6.9998555124745492</v>
      </c>
      <c r="E240" s="418">
        <f>VPI!Q240</f>
        <v>73.5</v>
      </c>
      <c r="F240" s="243">
        <f t="shared" si="12"/>
        <v>66.500144487525446</v>
      </c>
      <c r="G240" s="240">
        <f>Effort!I240+Aide!I240/Taux!C240+Effort!K240/Taux!C240</f>
        <v>0.49441547567201027</v>
      </c>
      <c r="H240" s="83">
        <f t="shared" si="13"/>
        <v>66.99455996319746</v>
      </c>
      <c r="I240" s="225">
        <f t="shared" si="14"/>
        <v>0</v>
      </c>
      <c r="J240" s="42">
        <f t="shared" si="15"/>
        <v>0</v>
      </c>
      <c r="K240" s="5"/>
      <c r="L240" s="10"/>
      <c r="M240" s="11"/>
      <c r="R240" s="11"/>
    </row>
    <row r="241" spans="1:18" x14ac:dyDescent="0.25">
      <c r="A241" s="38">
        <f>Données!A241</f>
        <v>5819</v>
      </c>
      <c r="B241" s="199" t="str">
        <f>Données!B241</f>
        <v>Henniez</v>
      </c>
      <c r="C241" s="351">
        <f>VPI!R241</f>
        <v>10100.670434782607</v>
      </c>
      <c r="D241" s="531">
        <f>Données!AP241</f>
        <v>19.913427288900994</v>
      </c>
      <c r="E241" s="418">
        <f>VPI!Q241</f>
        <v>69</v>
      </c>
      <c r="F241" s="243">
        <f t="shared" si="12"/>
        <v>49.086572711099009</v>
      </c>
      <c r="G241" s="240">
        <f>Effort!I241+Aide!I241/Taux!C241+Effort!K241/Taux!C241</f>
        <v>-4.0633909778927197</v>
      </c>
      <c r="H241" s="83">
        <f t="shared" si="13"/>
        <v>45.023181733206286</v>
      </c>
      <c r="I241" s="225">
        <f t="shared" si="14"/>
        <v>0</v>
      </c>
      <c r="J241" s="42">
        <f t="shared" si="15"/>
        <v>0</v>
      </c>
      <c r="K241" s="5"/>
      <c r="L241" s="10"/>
      <c r="M241" s="11"/>
      <c r="R241" s="11"/>
    </row>
    <row r="242" spans="1:18" x14ac:dyDescent="0.25">
      <c r="A242" s="38">
        <f>Données!A242</f>
        <v>5821</v>
      </c>
      <c r="B242" s="199" t="str">
        <f>Données!B242</f>
        <v>Missy</v>
      </c>
      <c r="C242" s="351">
        <f>VPI!R242</f>
        <v>8044.3988888888889</v>
      </c>
      <c r="D242" s="531">
        <f>Données!AP242</f>
        <v>5.99580873328319</v>
      </c>
      <c r="E242" s="418">
        <f>VPI!Q242</f>
        <v>72</v>
      </c>
      <c r="F242" s="243">
        <f t="shared" si="12"/>
        <v>66.004191266716816</v>
      </c>
      <c r="G242" s="240">
        <f>Effort!I242+Aide!I242/Taux!C242+Effort!K242/Taux!C242</f>
        <v>-1.7111872384180842</v>
      </c>
      <c r="H242" s="83">
        <f t="shared" si="13"/>
        <v>64.293004028298725</v>
      </c>
      <c r="I242" s="225">
        <f t="shared" si="14"/>
        <v>0</v>
      </c>
      <c r="J242" s="42">
        <f t="shared" si="15"/>
        <v>0</v>
      </c>
      <c r="K242" s="5"/>
      <c r="L242" s="10"/>
      <c r="M242" s="11"/>
      <c r="R242" s="11"/>
    </row>
    <row r="243" spans="1:18" x14ac:dyDescent="0.25">
      <c r="A243" s="38">
        <f>Données!A243</f>
        <v>5822</v>
      </c>
      <c r="B243" s="199" t="str">
        <f>Données!B243</f>
        <v>Payerne</v>
      </c>
      <c r="C243" s="351">
        <f>VPI!R243</f>
        <v>239936.5750684932</v>
      </c>
      <c r="D243" s="531">
        <f>Données!AP243</f>
        <v>-4.8865164263667458</v>
      </c>
      <c r="E243" s="418">
        <f>VPI!Q243</f>
        <v>73</v>
      </c>
      <c r="F243" s="243">
        <f t="shared" si="12"/>
        <v>77.88651642636674</v>
      </c>
      <c r="G243" s="240">
        <f>Effort!I243+Aide!I243/Taux!C243+Effort!K243/Taux!C243</f>
        <v>-19.507870126931795</v>
      </c>
      <c r="H243" s="83">
        <f t="shared" si="13"/>
        <v>58.378646299434948</v>
      </c>
      <c r="I243" s="225">
        <f t="shared" si="14"/>
        <v>0</v>
      </c>
      <c r="J243" s="42">
        <f t="shared" si="15"/>
        <v>0</v>
      </c>
      <c r="K243" s="5"/>
      <c r="L243" s="10"/>
      <c r="M243" s="11"/>
      <c r="R243" s="11"/>
    </row>
    <row r="244" spans="1:18" x14ac:dyDescent="0.25">
      <c r="A244" s="38">
        <f>Données!A244</f>
        <v>5827</v>
      </c>
      <c r="B244" s="199" t="str">
        <f>Données!B244</f>
        <v>Trey</v>
      </c>
      <c r="C244" s="351">
        <f>VPI!R244</f>
        <v>7747.1149999999998</v>
      </c>
      <c r="D244" s="531">
        <f>Données!AP244</f>
        <v>-0.9536367956347922</v>
      </c>
      <c r="E244" s="418">
        <f>VPI!Q244</f>
        <v>78</v>
      </c>
      <c r="F244" s="243">
        <f t="shared" si="12"/>
        <v>78.953636795634793</v>
      </c>
      <c r="G244" s="240">
        <f>Effort!I244+Aide!I244/Taux!C244+Effort!K244/Taux!C244</f>
        <v>-1.7365495070984096</v>
      </c>
      <c r="H244" s="83">
        <f t="shared" si="13"/>
        <v>77.217087288536391</v>
      </c>
      <c r="I244" s="225">
        <f t="shared" si="14"/>
        <v>0</v>
      </c>
      <c r="J244" s="42">
        <f t="shared" si="15"/>
        <v>0</v>
      </c>
      <c r="K244" s="5"/>
      <c r="L244" s="10"/>
      <c r="M244" s="11"/>
      <c r="R244" s="11"/>
    </row>
    <row r="245" spans="1:18" x14ac:dyDescent="0.25">
      <c r="A245" s="38">
        <f>Données!A245</f>
        <v>5828</v>
      </c>
      <c r="B245" s="199" t="str">
        <f>Données!B245</f>
        <v>Treytorrens (Payerne)</v>
      </c>
      <c r="C245" s="351">
        <f>VPI!R245</f>
        <v>2899.2098989898991</v>
      </c>
      <c r="D245" s="531">
        <f>Données!AP245</f>
        <v>-7.7521484276498587</v>
      </c>
      <c r="E245" s="418">
        <f>VPI!Q245</f>
        <v>82.5</v>
      </c>
      <c r="F245" s="243">
        <f t="shared" si="12"/>
        <v>90.252148427649857</v>
      </c>
      <c r="G245" s="240">
        <f>Effort!I245+Aide!I245/Taux!C245+Effort!K245/Taux!C245</f>
        <v>-2.9638755391986571</v>
      </c>
      <c r="H245" s="83">
        <f t="shared" si="13"/>
        <v>87.288272888451203</v>
      </c>
      <c r="I245" s="225">
        <f t="shared" si="14"/>
        <v>0</v>
      </c>
      <c r="J245" s="42">
        <f t="shared" si="15"/>
        <v>0</v>
      </c>
      <c r="K245" s="5"/>
      <c r="L245" s="10"/>
      <c r="M245" s="11"/>
      <c r="R245" s="11"/>
    </row>
    <row r="246" spans="1:18" x14ac:dyDescent="0.25">
      <c r="A246" s="38">
        <f>Données!A246</f>
        <v>5830</v>
      </c>
      <c r="B246" s="199" t="str">
        <f>Données!B246</f>
        <v>Villarzel</v>
      </c>
      <c r="C246" s="351">
        <f>VPI!R246</f>
        <v>12409.471600000001</v>
      </c>
      <c r="D246" s="531">
        <f>Données!AP246</f>
        <v>14.138837673491739</v>
      </c>
      <c r="E246" s="418">
        <f>VPI!Q246</f>
        <v>75</v>
      </c>
      <c r="F246" s="243">
        <f t="shared" si="12"/>
        <v>60.861162326508264</v>
      </c>
      <c r="G246" s="240">
        <f>Effort!I246+Aide!I246/Taux!C246+Effort!K246/Taux!C246</f>
        <v>-4.7040418093000547</v>
      </c>
      <c r="H246" s="83">
        <f t="shared" si="13"/>
        <v>56.157120517208213</v>
      </c>
      <c r="I246" s="225">
        <f t="shared" si="14"/>
        <v>0</v>
      </c>
      <c r="J246" s="42">
        <f t="shared" si="15"/>
        <v>0</v>
      </c>
      <c r="K246" s="5"/>
      <c r="L246" s="10"/>
      <c r="M246" s="11"/>
      <c r="R246" s="11"/>
    </row>
    <row r="247" spans="1:18" x14ac:dyDescent="0.25">
      <c r="A247" s="38">
        <f>Données!A247</f>
        <v>5831</v>
      </c>
      <c r="B247" s="199" t="str">
        <f>Données!B247</f>
        <v>Valbroye</v>
      </c>
      <c r="C247" s="351">
        <f>VPI!R247</f>
        <v>81061.421607565018</v>
      </c>
      <c r="D247" s="531">
        <f>Données!AP247</f>
        <v>7.7218513986506832</v>
      </c>
      <c r="E247" s="418">
        <f>VPI!Q247</f>
        <v>70.5</v>
      </c>
      <c r="F247" s="243">
        <f t="shared" si="12"/>
        <v>62.778148601349315</v>
      </c>
      <c r="G247" s="240">
        <f>Effort!I247+Aide!I247/Taux!C247+Effort!K247/Taux!C247</f>
        <v>-12.207340354841971</v>
      </c>
      <c r="H247" s="83">
        <f t="shared" si="13"/>
        <v>50.57080824650734</v>
      </c>
      <c r="I247" s="225">
        <f t="shared" si="14"/>
        <v>0</v>
      </c>
      <c r="J247" s="42">
        <f t="shared" si="15"/>
        <v>0</v>
      </c>
      <c r="K247" s="5"/>
      <c r="L247" s="10"/>
      <c r="M247" s="11"/>
      <c r="R247" s="11"/>
    </row>
    <row r="248" spans="1:18" x14ac:dyDescent="0.25">
      <c r="A248" s="38">
        <f>Données!A248</f>
        <v>5841</v>
      </c>
      <c r="B248" s="199" t="str">
        <f>Données!B248</f>
        <v>Château-d'Oex</v>
      </c>
      <c r="C248" s="351">
        <f>VPI!R248</f>
        <v>110850.82306748466</v>
      </c>
      <c r="D248" s="531">
        <f>Données!AP248</f>
        <v>18.601590250948785</v>
      </c>
      <c r="E248" s="418">
        <f>VPI!Q248</f>
        <v>81.5</v>
      </c>
      <c r="F248" s="243">
        <f t="shared" si="12"/>
        <v>62.898409749051211</v>
      </c>
      <c r="G248" s="240">
        <f>Effort!I248+Aide!I248/Taux!C248+Effort!K248/Taux!C248</f>
        <v>-14.136275401312755</v>
      </c>
      <c r="H248" s="83">
        <f t="shared" si="13"/>
        <v>48.762134347738453</v>
      </c>
      <c r="I248" s="225">
        <f t="shared" si="14"/>
        <v>0</v>
      </c>
      <c r="J248" s="42">
        <f t="shared" si="15"/>
        <v>0</v>
      </c>
      <c r="K248" s="5"/>
      <c r="L248" s="10"/>
      <c r="M248" s="11"/>
      <c r="R248" s="11"/>
    </row>
    <row r="249" spans="1:18" x14ac:dyDescent="0.25">
      <c r="A249" s="38">
        <f>Données!A249</f>
        <v>5842</v>
      </c>
      <c r="B249" s="199" t="str">
        <f>Données!B249</f>
        <v>Rossinière</v>
      </c>
      <c r="C249" s="351">
        <f>VPI!R249</f>
        <v>14941.466090534977</v>
      </c>
      <c r="D249" s="531">
        <f>Données!AP249</f>
        <v>13.057592288684834</v>
      </c>
      <c r="E249" s="418">
        <f>VPI!Q249</f>
        <v>81</v>
      </c>
      <c r="F249" s="243">
        <f t="shared" si="12"/>
        <v>67.94240771131517</v>
      </c>
      <c r="G249" s="240">
        <f>Effort!I249+Aide!I249/Taux!C249+Effort!K249/Taux!C249</f>
        <v>-13.843755316902534</v>
      </c>
      <c r="H249" s="83">
        <f t="shared" si="13"/>
        <v>54.098652394412639</v>
      </c>
      <c r="I249" s="225">
        <f t="shared" si="14"/>
        <v>0</v>
      </c>
      <c r="J249" s="42">
        <f t="shared" si="15"/>
        <v>0</v>
      </c>
      <c r="K249" s="5"/>
      <c r="L249" s="10"/>
      <c r="M249" s="11"/>
      <c r="R249" s="11"/>
    </row>
    <row r="250" spans="1:18" x14ac:dyDescent="0.25">
      <c r="A250" s="38">
        <f>Données!A250</f>
        <v>5843</v>
      </c>
      <c r="B250" s="199" t="str">
        <f>Données!B250</f>
        <v>Rougemont</v>
      </c>
      <c r="C250" s="351">
        <f>VPI!R250</f>
        <v>97082.778783783782</v>
      </c>
      <c r="D250" s="531">
        <f>Données!AP250</f>
        <v>55.044923284249904</v>
      </c>
      <c r="E250" s="418">
        <f>VPI!Q250</f>
        <v>74</v>
      </c>
      <c r="F250" s="243">
        <f t="shared" si="12"/>
        <v>18.955076715750096</v>
      </c>
      <c r="G250" s="240">
        <f>Effort!I250+Aide!I250/Taux!C250+Effort!K250/Taux!C250</f>
        <v>46.728158900683106</v>
      </c>
      <c r="H250" s="83">
        <f t="shared" si="13"/>
        <v>65.683235616433194</v>
      </c>
      <c r="I250" s="225">
        <f t="shared" si="14"/>
        <v>0</v>
      </c>
      <c r="J250" s="42">
        <f t="shared" si="15"/>
        <v>0</v>
      </c>
      <c r="K250" s="5"/>
      <c r="L250" s="10"/>
      <c r="M250" s="11"/>
      <c r="R250" s="11"/>
    </row>
    <row r="251" spans="1:18" x14ac:dyDescent="0.25">
      <c r="A251" s="38">
        <f>Données!A251</f>
        <v>5851</v>
      </c>
      <c r="B251" s="199" t="str">
        <f>Données!B251</f>
        <v>Allaman</v>
      </c>
      <c r="C251" s="351">
        <f>VPI!R251</f>
        <v>24871.551151515156</v>
      </c>
      <c r="D251" s="531">
        <f>Données!AP251</f>
        <v>34.30018992017817</v>
      </c>
      <c r="E251" s="418">
        <f>VPI!Q251</f>
        <v>60</v>
      </c>
      <c r="F251" s="243">
        <f t="shared" si="12"/>
        <v>25.69981007982183</v>
      </c>
      <c r="G251" s="240">
        <f>Effort!I251+Aide!I251/Taux!C251+Effort!K251/Taux!C251</f>
        <v>31.129488692210174</v>
      </c>
      <c r="H251" s="83">
        <f t="shared" si="13"/>
        <v>56.829298772032004</v>
      </c>
      <c r="I251" s="225">
        <f t="shared" si="14"/>
        <v>0</v>
      </c>
      <c r="J251" s="42">
        <f t="shared" si="15"/>
        <v>0</v>
      </c>
      <c r="K251" s="5"/>
      <c r="L251" s="10"/>
      <c r="M251" s="11"/>
      <c r="R251" s="11"/>
    </row>
    <row r="252" spans="1:18" x14ac:dyDescent="0.25">
      <c r="A252" s="38">
        <f>Données!A252</f>
        <v>5852</v>
      </c>
      <c r="B252" s="199" t="str">
        <f>Données!B252</f>
        <v>Bursinel</v>
      </c>
      <c r="C252" s="351">
        <f>VPI!R252</f>
        <v>34636.180913978496</v>
      </c>
      <c r="D252" s="531">
        <f>Données!AP252</f>
        <v>42.298707381164121</v>
      </c>
      <c r="E252" s="418">
        <f>VPI!Q252</f>
        <v>62</v>
      </c>
      <c r="F252" s="243">
        <f t="shared" si="12"/>
        <v>19.701292618835879</v>
      </c>
      <c r="G252" s="240">
        <f>Effort!I252+Aide!I252/Taux!C252+Effort!K252/Taux!C252</f>
        <v>34.516322845836534</v>
      </c>
      <c r="H252" s="83">
        <f t="shared" si="13"/>
        <v>54.217615464672413</v>
      </c>
      <c r="I252" s="225">
        <f t="shared" si="14"/>
        <v>0</v>
      </c>
      <c r="J252" s="42">
        <f t="shared" si="15"/>
        <v>0</v>
      </c>
      <c r="K252" s="5"/>
      <c r="L252" s="10"/>
      <c r="M252" s="11"/>
      <c r="R252" s="11"/>
    </row>
    <row r="253" spans="1:18" x14ac:dyDescent="0.25">
      <c r="A253" s="38">
        <f>Données!A253</f>
        <v>5853</v>
      </c>
      <c r="B253" s="199" t="str">
        <f>Données!B253</f>
        <v>Bursins</v>
      </c>
      <c r="C253" s="351">
        <f>VPI!R253</f>
        <v>44484.29464788732</v>
      </c>
      <c r="D253" s="531">
        <f>Données!AP253</f>
        <v>41.537845036188564</v>
      </c>
      <c r="E253" s="418">
        <f>VPI!Q253</f>
        <v>71</v>
      </c>
      <c r="F253" s="243">
        <f t="shared" si="12"/>
        <v>29.462154963811436</v>
      </c>
      <c r="G253" s="240">
        <f>Effort!I253+Aide!I253/Taux!C253+Effort!K253/Taux!C253</f>
        <v>31.948164145430798</v>
      </c>
      <c r="H253" s="83">
        <f t="shared" si="13"/>
        <v>61.410319109242238</v>
      </c>
      <c r="I253" s="225">
        <f t="shared" si="14"/>
        <v>0</v>
      </c>
      <c r="J253" s="42">
        <f t="shared" si="15"/>
        <v>0</v>
      </c>
      <c r="K253" s="5"/>
      <c r="L253" s="10"/>
      <c r="M253" s="11"/>
      <c r="R253" s="11"/>
    </row>
    <row r="254" spans="1:18" x14ac:dyDescent="0.25">
      <c r="A254" s="38">
        <f>Données!A254</f>
        <v>5854</v>
      </c>
      <c r="B254" s="199" t="str">
        <f>Données!B254</f>
        <v>Burtigny</v>
      </c>
      <c r="C254" s="351">
        <f>VPI!R254</f>
        <v>15255.605208333331</v>
      </c>
      <c r="D254" s="531">
        <f>Données!AP254</f>
        <v>16.046874686359882</v>
      </c>
      <c r="E254" s="418">
        <f>VPI!Q254</f>
        <v>80</v>
      </c>
      <c r="F254" s="243">
        <f t="shared" si="12"/>
        <v>63.953125313640115</v>
      </c>
      <c r="G254" s="240">
        <f>Effort!I254+Aide!I254/Taux!C254+Effort!K254/Taux!C254</f>
        <v>15.334295396779694</v>
      </c>
      <c r="H254" s="83">
        <f t="shared" si="13"/>
        <v>79.287420710419809</v>
      </c>
      <c r="I254" s="225">
        <f t="shared" si="14"/>
        <v>0</v>
      </c>
      <c r="J254" s="42">
        <f t="shared" si="15"/>
        <v>0</v>
      </c>
      <c r="K254" s="5"/>
      <c r="L254" s="10"/>
      <c r="M254" s="11"/>
      <c r="R254" s="11"/>
    </row>
    <row r="255" spans="1:18" x14ac:dyDescent="0.25">
      <c r="A255" s="38">
        <f>Données!A255</f>
        <v>5855</v>
      </c>
      <c r="B255" s="199" t="str">
        <f>Données!B255</f>
        <v>Dully</v>
      </c>
      <c r="C255" s="351">
        <f>VPI!R255</f>
        <v>93677.895510204093</v>
      </c>
      <c r="D255" s="531">
        <f>Données!AP255</f>
        <v>50.760708764190007</v>
      </c>
      <c r="E255" s="418">
        <f>VPI!Q255</f>
        <v>49</v>
      </c>
      <c r="F255" s="243">
        <f t="shared" si="12"/>
        <v>-1.7607087641900065</v>
      </c>
      <c r="G255" s="240">
        <f>Effort!I255+Aide!I255/Taux!C255+Effort!K255/Taux!C255</f>
        <v>45.0827404922738</v>
      </c>
      <c r="H255" s="83">
        <f t="shared" si="13"/>
        <v>43.322031728083793</v>
      </c>
      <c r="I255" s="225">
        <f t="shared" si="14"/>
        <v>0</v>
      </c>
      <c r="J255" s="42">
        <f t="shared" si="15"/>
        <v>0</v>
      </c>
      <c r="K255" s="5"/>
      <c r="L255" s="10"/>
      <c r="M255" s="11"/>
      <c r="R255" s="11"/>
    </row>
    <row r="256" spans="1:18" x14ac:dyDescent="0.25">
      <c r="A256" s="38">
        <f>Données!A256</f>
        <v>5856</v>
      </c>
      <c r="B256" s="199" t="str">
        <f>Données!B256</f>
        <v>Essertines-sur-Rolle</v>
      </c>
      <c r="C256" s="351">
        <f>VPI!R256</f>
        <v>42059.84630422209</v>
      </c>
      <c r="D256" s="531">
        <f>Données!AP256</f>
        <v>35.678093483576937</v>
      </c>
      <c r="E256" s="418">
        <f>VPI!Q256</f>
        <v>66.5</v>
      </c>
      <c r="F256" s="243">
        <f t="shared" si="12"/>
        <v>30.821906516423063</v>
      </c>
      <c r="G256" s="240">
        <f>Effort!I256+Aide!I256/Taux!C256+Effort!K256/Taux!C256</f>
        <v>31.551598793280832</v>
      </c>
      <c r="H256" s="83">
        <f t="shared" si="13"/>
        <v>62.373505309703894</v>
      </c>
      <c r="I256" s="225">
        <f t="shared" si="14"/>
        <v>0</v>
      </c>
      <c r="J256" s="42">
        <f t="shared" si="15"/>
        <v>0</v>
      </c>
      <c r="K256" s="5"/>
      <c r="L256" s="10"/>
      <c r="M256" s="11"/>
      <c r="R256" s="11"/>
    </row>
    <row r="257" spans="1:18" x14ac:dyDescent="0.25">
      <c r="A257" s="38">
        <f>Données!A257</f>
        <v>5857</v>
      </c>
      <c r="B257" s="199" t="str">
        <f>Données!B257</f>
        <v>Gilly</v>
      </c>
      <c r="C257" s="351">
        <f>VPI!R257</f>
        <v>88865.056589147294</v>
      </c>
      <c r="D257" s="531">
        <f>Données!AP257</f>
        <v>34.928350491991061</v>
      </c>
      <c r="E257" s="418">
        <f>VPI!Q257</f>
        <v>64.5</v>
      </c>
      <c r="F257" s="243">
        <f t="shared" si="12"/>
        <v>29.571649508008939</v>
      </c>
      <c r="G257" s="240">
        <f>Effort!I257+Aide!I257/Taux!C257+Effort!K257/Taux!C257</f>
        <v>32.083074832273851</v>
      </c>
      <c r="H257" s="83">
        <f t="shared" si="13"/>
        <v>61.65472434028279</v>
      </c>
      <c r="I257" s="225">
        <f t="shared" si="14"/>
        <v>0</v>
      </c>
      <c r="J257" s="42">
        <f t="shared" si="15"/>
        <v>0</v>
      </c>
      <c r="K257" s="5"/>
      <c r="L257" s="10"/>
      <c r="M257" s="11"/>
      <c r="R257" s="11"/>
    </row>
    <row r="258" spans="1:18" x14ac:dyDescent="0.25">
      <c r="A258" s="38">
        <f>Données!A258</f>
        <v>5858</v>
      </c>
      <c r="B258" s="199" t="str">
        <f>Données!B258</f>
        <v>Luins</v>
      </c>
      <c r="C258" s="351">
        <f>VPI!R258</f>
        <v>38252.553447293445</v>
      </c>
      <c r="D258" s="531">
        <f>Données!AP258</f>
        <v>37.571495566585376</v>
      </c>
      <c r="E258" s="418">
        <f>VPI!Q258</f>
        <v>58.5</v>
      </c>
      <c r="F258" s="243">
        <f t="shared" si="12"/>
        <v>20.928504433414624</v>
      </c>
      <c r="G258" s="240">
        <f>Effort!I258+Aide!I258/Taux!C258+Effort!K258/Taux!C258</f>
        <v>32.621769674610874</v>
      </c>
      <c r="H258" s="83">
        <f t="shared" si="13"/>
        <v>53.550274108025498</v>
      </c>
      <c r="I258" s="225">
        <f t="shared" si="14"/>
        <v>0</v>
      </c>
      <c r="J258" s="42">
        <f t="shared" si="15"/>
        <v>0</v>
      </c>
      <c r="K258" s="5"/>
      <c r="L258" s="10"/>
      <c r="M258" s="11"/>
      <c r="R258" s="11"/>
    </row>
    <row r="259" spans="1:18" x14ac:dyDescent="0.25">
      <c r="A259" s="38">
        <f>Données!A259</f>
        <v>5859</v>
      </c>
      <c r="B259" s="199" t="str">
        <f>Données!B259</f>
        <v>Mont-sur-Rolle</v>
      </c>
      <c r="C259" s="351">
        <f>VPI!R259</f>
        <v>160904.56204724411</v>
      </c>
      <c r="D259" s="531">
        <f>Données!AP259</f>
        <v>33.58155051872658</v>
      </c>
      <c r="E259" s="418">
        <f>VPI!Q259</f>
        <v>63.5</v>
      </c>
      <c r="F259" s="243">
        <f t="shared" si="12"/>
        <v>29.91844948127342</v>
      </c>
      <c r="G259" s="240">
        <f>Effort!I259+Aide!I259/Taux!C259+Effort!K259/Taux!C259</f>
        <v>29.738680732115526</v>
      </c>
      <c r="H259" s="83">
        <f t="shared" si="13"/>
        <v>59.657130213388946</v>
      </c>
      <c r="I259" s="225">
        <f t="shared" si="14"/>
        <v>0</v>
      </c>
      <c r="J259" s="42">
        <f t="shared" si="15"/>
        <v>0</v>
      </c>
      <c r="K259" s="5"/>
      <c r="L259" s="10"/>
      <c r="M259" s="11"/>
      <c r="R259" s="11"/>
    </row>
    <row r="260" spans="1:18" x14ac:dyDescent="0.25">
      <c r="A260" s="38">
        <f>Données!A260</f>
        <v>5860</v>
      </c>
      <c r="B260" s="199" t="str">
        <f>Données!B260</f>
        <v>Perroy</v>
      </c>
      <c r="C260" s="351">
        <f>VPI!R260</f>
        <v>124238.0950558843</v>
      </c>
      <c r="D260" s="531">
        <f>Données!AP260</f>
        <v>40.236938191241357</v>
      </c>
      <c r="E260" s="418">
        <f>VPI!Q260</f>
        <v>58.5</v>
      </c>
      <c r="F260" s="243">
        <f t="shared" si="12"/>
        <v>18.263061808758643</v>
      </c>
      <c r="G260" s="240">
        <f>Effort!I260+Aide!I260/Taux!C260+Effort!K260/Taux!C260</f>
        <v>36.781223717822627</v>
      </c>
      <c r="H260" s="83">
        <f t="shared" si="13"/>
        <v>55.04428552658127</v>
      </c>
      <c r="I260" s="225">
        <f t="shared" si="14"/>
        <v>0</v>
      </c>
      <c r="J260" s="42">
        <f t="shared" si="15"/>
        <v>0</v>
      </c>
      <c r="K260" s="5"/>
      <c r="L260" s="10"/>
      <c r="M260" s="11"/>
      <c r="R260" s="11"/>
    </row>
    <row r="261" spans="1:18" x14ac:dyDescent="0.25">
      <c r="A261" s="38">
        <f>Données!A261</f>
        <v>5861</v>
      </c>
      <c r="B261" s="199" t="str">
        <f>Données!B261</f>
        <v>Rolle</v>
      </c>
      <c r="C261" s="351">
        <f>VPI!R261</f>
        <v>872601.81815126061</v>
      </c>
      <c r="D261" s="531">
        <f>Données!AP261</f>
        <v>43.859381291184029</v>
      </c>
      <c r="E261" s="418">
        <f>VPI!Q261</f>
        <v>59.5</v>
      </c>
      <c r="F261" s="243">
        <f t="shared" si="12"/>
        <v>15.640618708815971</v>
      </c>
      <c r="G261" s="240">
        <f>Effort!I261+Aide!I261/Taux!C261+Effort!K261/Taux!C261</f>
        <v>44.873634381568664</v>
      </c>
      <c r="H261" s="83">
        <f t="shared" si="13"/>
        <v>60.514253090384635</v>
      </c>
      <c r="I261" s="225">
        <f t="shared" si="14"/>
        <v>0</v>
      </c>
      <c r="J261" s="42">
        <f t="shared" si="15"/>
        <v>0</v>
      </c>
      <c r="K261" s="5"/>
      <c r="L261" s="10"/>
      <c r="M261" s="11"/>
      <c r="R261" s="11"/>
    </row>
    <row r="262" spans="1:18" x14ac:dyDescent="0.25">
      <c r="A262" s="38">
        <f>Données!A262</f>
        <v>5862</v>
      </c>
      <c r="B262" s="199" t="str">
        <f>Données!B262</f>
        <v>Tartegnin</v>
      </c>
      <c r="C262" s="351">
        <f>VPI!R262</f>
        <v>7890.9322784810111</v>
      </c>
      <c r="D262" s="531">
        <f>Données!AP262</f>
        <v>21.792827755412283</v>
      </c>
      <c r="E262" s="418">
        <f>VPI!Q262</f>
        <v>79</v>
      </c>
      <c r="F262" s="243">
        <f t="shared" si="12"/>
        <v>57.207172244587717</v>
      </c>
      <c r="G262" s="240">
        <f>Effort!I262+Aide!I262/Taux!C262+Effort!K262/Taux!C262</f>
        <v>16.467349770010834</v>
      </c>
      <c r="H262" s="83">
        <f t="shared" si="13"/>
        <v>73.674522014598551</v>
      </c>
      <c r="I262" s="225">
        <f t="shared" si="14"/>
        <v>0</v>
      </c>
      <c r="J262" s="42">
        <f t="shared" si="15"/>
        <v>0</v>
      </c>
      <c r="K262" s="5"/>
      <c r="L262" s="10"/>
      <c r="M262" s="11"/>
      <c r="R262" s="11"/>
    </row>
    <row r="263" spans="1:18" x14ac:dyDescent="0.25">
      <c r="A263" s="38">
        <f>Données!A263</f>
        <v>5863</v>
      </c>
      <c r="B263" s="199" t="str">
        <f>Données!B263</f>
        <v>Vinzel</v>
      </c>
      <c r="C263" s="351">
        <f>VPI!R263</f>
        <v>21422.979701492532</v>
      </c>
      <c r="D263" s="531">
        <f>Données!AP263</f>
        <v>36.916331720150787</v>
      </c>
      <c r="E263" s="418">
        <f>VPI!Q263</f>
        <v>67</v>
      </c>
      <c r="F263" s="243">
        <f t="shared" ref="F263:F305" si="16">E263-D263</f>
        <v>30.083668279849213</v>
      </c>
      <c r="G263" s="240">
        <f>Effort!I263+Aide!I263/Taux!C263+Effort!K263/Taux!C263</f>
        <v>32.15120373225465</v>
      </c>
      <c r="H263" s="83">
        <f t="shared" ref="H263:H305" si="17">F263+G263</f>
        <v>62.234872012103864</v>
      </c>
      <c r="I263" s="225">
        <f t="shared" ref="I263:I305" si="18">IF(H263&gt;$I$5,H263-$I$5,0)</f>
        <v>0</v>
      </c>
      <c r="J263" s="42">
        <f t="shared" ref="J263:J305" si="19">-I263*C263</f>
        <v>0</v>
      </c>
      <c r="K263" s="5"/>
      <c r="L263" s="10"/>
      <c r="M263" s="11"/>
      <c r="R263" s="11"/>
    </row>
    <row r="264" spans="1:18" x14ac:dyDescent="0.25">
      <c r="A264" s="38">
        <f>Données!A264</f>
        <v>5871</v>
      </c>
      <c r="B264" s="199" t="str">
        <f>Données!B264</f>
        <v>L'Abbaye</v>
      </c>
      <c r="C264" s="351">
        <f>VPI!R264</f>
        <v>52131.58544752092</v>
      </c>
      <c r="D264" s="531">
        <f>Données!AP264</f>
        <v>26.218253042188497</v>
      </c>
      <c r="E264" s="418">
        <f>VPI!Q264</f>
        <v>77.650000000000006</v>
      </c>
      <c r="F264" s="243">
        <f t="shared" si="16"/>
        <v>51.431746957811512</v>
      </c>
      <c r="G264" s="240">
        <f>Effort!I264+Aide!I264/Taux!C264+Effort!K264/Taux!C264</f>
        <v>8.297980958929271</v>
      </c>
      <c r="H264" s="83">
        <f t="shared" si="17"/>
        <v>59.729727916740785</v>
      </c>
      <c r="I264" s="225">
        <f t="shared" si="18"/>
        <v>0</v>
      </c>
      <c r="J264" s="42">
        <f t="shared" si="19"/>
        <v>0</v>
      </c>
      <c r="K264" s="5"/>
      <c r="L264" s="10"/>
      <c r="M264" s="11"/>
      <c r="R264" s="11"/>
    </row>
    <row r="265" spans="1:18" x14ac:dyDescent="0.25">
      <c r="A265" s="38">
        <f>Données!A265</f>
        <v>5872</v>
      </c>
      <c r="B265" s="199" t="str">
        <f>Données!B265</f>
        <v>Le Chenit</v>
      </c>
      <c r="C265" s="351">
        <f>VPI!R265</f>
        <v>198940.06926406932</v>
      </c>
      <c r="D265" s="531">
        <f>Données!AP265</f>
        <v>44.378266306052289</v>
      </c>
      <c r="E265" s="418">
        <f>VPI!Q265</f>
        <v>66.989999999999995</v>
      </c>
      <c r="F265" s="243">
        <f t="shared" si="16"/>
        <v>22.611733693947706</v>
      </c>
      <c r="G265" s="240">
        <f>Effort!I265+Aide!I265/Taux!C265+Effort!K265/Taux!C265</f>
        <v>13.184388063939963</v>
      </c>
      <c r="H265" s="83">
        <f t="shared" si="17"/>
        <v>35.796121757887668</v>
      </c>
      <c r="I265" s="225">
        <f t="shared" si="18"/>
        <v>0</v>
      </c>
      <c r="J265" s="42">
        <f t="shared" si="19"/>
        <v>0</v>
      </c>
      <c r="K265" s="5"/>
      <c r="L265" s="10"/>
      <c r="M265" s="11"/>
      <c r="R265" s="11"/>
    </row>
    <row r="266" spans="1:18" x14ac:dyDescent="0.25">
      <c r="A266" s="38">
        <f>Données!A266</f>
        <v>5873</v>
      </c>
      <c r="B266" s="199" t="str">
        <f>Données!B266</f>
        <v>Le Lieu</v>
      </c>
      <c r="C266" s="351">
        <f>VPI!R266</f>
        <v>31463.219535714288</v>
      </c>
      <c r="D266" s="531">
        <f>Données!AP266</f>
        <v>35.492340350790812</v>
      </c>
      <c r="E266" s="418">
        <f>VPI!Q266</f>
        <v>70</v>
      </c>
      <c r="F266" s="243">
        <f t="shared" si="16"/>
        <v>34.507659649209188</v>
      </c>
      <c r="G266" s="240">
        <f>Effort!I266+Aide!I266/Taux!C266+Effort!K266/Taux!C266</f>
        <v>-0.6935154028693411</v>
      </c>
      <c r="H266" s="83">
        <f t="shared" si="17"/>
        <v>33.81414424633985</v>
      </c>
      <c r="I266" s="225">
        <f t="shared" si="18"/>
        <v>0</v>
      </c>
      <c r="J266" s="42">
        <f t="shared" si="19"/>
        <v>0</v>
      </c>
      <c r="K266" s="5"/>
      <c r="L266" s="10"/>
      <c r="M266" s="11"/>
      <c r="R266" s="11"/>
    </row>
    <row r="267" spans="1:18" x14ac:dyDescent="0.25">
      <c r="A267" s="38">
        <f>Données!A267</f>
        <v>5882</v>
      </c>
      <c r="B267" s="199" t="str">
        <f>Données!B267</f>
        <v>Chardonne</v>
      </c>
      <c r="C267" s="351">
        <f>VPI!R267</f>
        <v>186940.3105882353</v>
      </c>
      <c r="D267" s="531">
        <f>Données!AP267</f>
        <v>35.43661468573972</v>
      </c>
      <c r="E267" s="418">
        <f>VPI!Q267</f>
        <v>68</v>
      </c>
      <c r="F267" s="243">
        <f t="shared" si="16"/>
        <v>32.56338531426028</v>
      </c>
      <c r="G267" s="240">
        <f>Effort!I267+Aide!I267/Taux!C267+Effort!K267/Taux!C267</f>
        <v>28.738248642504971</v>
      </c>
      <c r="H267" s="83">
        <f t="shared" si="17"/>
        <v>61.301633956765251</v>
      </c>
      <c r="I267" s="225">
        <f t="shared" si="18"/>
        <v>0</v>
      </c>
      <c r="J267" s="42">
        <f t="shared" si="19"/>
        <v>0</v>
      </c>
      <c r="K267" s="5"/>
      <c r="L267" s="10"/>
      <c r="M267" s="11"/>
      <c r="R267" s="11"/>
    </row>
    <row r="268" spans="1:18" x14ac:dyDescent="0.25">
      <c r="A268" s="38">
        <f>Données!A268</f>
        <v>5883</v>
      </c>
      <c r="B268" s="199" t="str">
        <f>Données!B268</f>
        <v>Corseaux</v>
      </c>
      <c r="C268" s="351">
        <f>VPI!R268</f>
        <v>193091.18148148147</v>
      </c>
      <c r="D268" s="531">
        <f>Données!AP268</f>
        <v>39.686333366302506</v>
      </c>
      <c r="E268" s="418">
        <f>VPI!Q268</f>
        <v>67.5</v>
      </c>
      <c r="F268" s="243">
        <f t="shared" si="16"/>
        <v>27.813666633697494</v>
      </c>
      <c r="G268" s="240">
        <f>Effort!I268+Aide!I268/Taux!C268+Effort!K268/Taux!C268</f>
        <v>37.468587232161568</v>
      </c>
      <c r="H268" s="83">
        <f t="shared" si="17"/>
        <v>65.282253865859062</v>
      </c>
      <c r="I268" s="225">
        <f t="shared" si="18"/>
        <v>0</v>
      </c>
      <c r="J268" s="42">
        <f t="shared" si="19"/>
        <v>0</v>
      </c>
      <c r="K268" s="5"/>
      <c r="L268" s="10"/>
      <c r="M268" s="11"/>
      <c r="R268" s="11"/>
    </row>
    <row r="269" spans="1:18" x14ac:dyDescent="0.25">
      <c r="A269" s="38">
        <f>Données!A269</f>
        <v>5884</v>
      </c>
      <c r="B269" s="199" t="str">
        <f>Données!B269</f>
        <v>Corsier-sur-Vevey</v>
      </c>
      <c r="C269" s="351">
        <f>VPI!R269</f>
        <v>148804.11322997417</v>
      </c>
      <c r="D269" s="531">
        <f>Données!AP269</f>
        <v>23.55141400019814</v>
      </c>
      <c r="E269" s="418">
        <f>VPI!Q269</f>
        <v>64.5</v>
      </c>
      <c r="F269" s="243">
        <f t="shared" si="16"/>
        <v>40.948585999801864</v>
      </c>
      <c r="G269" s="240">
        <f>Effort!I269+Aide!I269/Taux!C269+Effort!K269/Taux!C269</f>
        <v>14.19756909508336</v>
      </c>
      <c r="H269" s="83">
        <f t="shared" si="17"/>
        <v>55.146155094885223</v>
      </c>
      <c r="I269" s="225">
        <f t="shared" si="18"/>
        <v>0</v>
      </c>
      <c r="J269" s="42">
        <f t="shared" si="19"/>
        <v>0</v>
      </c>
      <c r="K269" s="5"/>
      <c r="L269" s="10"/>
      <c r="M269" s="11"/>
      <c r="R269" s="11"/>
    </row>
    <row r="270" spans="1:18" x14ac:dyDescent="0.25">
      <c r="A270" s="38">
        <f>Données!A270</f>
        <v>5885</v>
      </c>
      <c r="B270" s="199" t="str">
        <f>Données!B270</f>
        <v>Jongny</v>
      </c>
      <c r="C270" s="351">
        <f>VPI!R270</f>
        <v>97074.6993764988</v>
      </c>
      <c r="D270" s="531">
        <f>Données!AP270</f>
        <v>34.861486309493614</v>
      </c>
      <c r="E270" s="418">
        <f>VPI!Q270</f>
        <v>69.5</v>
      </c>
      <c r="F270" s="243">
        <f t="shared" si="16"/>
        <v>34.638513690506386</v>
      </c>
      <c r="G270" s="240">
        <f>Effort!I270+Aide!I270/Taux!C270+Effort!K270/Taux!C270</f>
        <v>28.38196322642289</v>
      </c>
      <c r="H270" s="83">
        <f t="shared" si="17"/>
        <v>63.020476916929276</v>
      </c>
      <c r="I270" s="225">
        <f t="shared" si="18"/>
        <v>0</v>
      </c>
      <c r="J270" s="42">
        <f t="shared" si="19"/>
        <v>0</v>
      </c>
      <c r="K270" s="5"/>
      <c r="L270" s="10"/>
      <c r="M270" s="11"/>
      <c r="R270" s="11"/>
    </row>
    <row r="271" spans="1:18" x14ac:dyDescent="0.25">
      <c r="A271" s="38">
        <f>Données!A271</f>
        <v>5886</v>
      </c>
      <c r="B271" s="199" t="str">
        <f>Données!B271</f>
        <v>Montreux</v>
      </c>
      <c r="C271" s="351">
        <f>VPI!R271</f>
        <v>1173967.402</v>
      </c>
      <c r="D271" s="531">
        <f>Données!AP271</f>
        <v>22.627750141189836</v>
      </c>
      <c r="E271" s="418">
        <f>VPI!Q271</f>
        <v>65</v>
      </c>
      <c r="F271" s="243">
        <f t="shared" si="16"/>
        <v>42.372249858810164</v>
      </c>
      <c r="G271" s="240">
        <f>Effort!I271+Aide!I271/Taux!C271+Effort!K271/Taux!C271</f>
        <v>6.6630887539400359</v>
      </c>
      <c r="H271" s="83">
        <f t="shared" si="17"/>
        <v>49.035338612750202</v>
      </c>
      <c r="I271" s="225">
        <f t="shared" si="18"/>
        <v>0</v>
      </c>
      <c r="J271" s="42">
        <f t="shared" si="19"/>
        <v>0</v>
      </c>
      <c r="K271" s="5"/>
      <c r="L271" s="10"/>
      <c r="M271" s="11"/>
      <c r="R271" s="11"/>
    </row>
    <row r="272" spans="1:18" x14ac:dyDescent="0.25">
      <c r="A272" s="38">
        <f>Données!A272</f>
        <v>5889</v>
      </c>
      <c r="B272" s="199" t="str">
        <f>Données!B272</f>
        <v>La Tour-de-Peilz</v>
      </c>
      <c r="C272" s="351">
        <f>VPI!R272</f>
        <v>740088.65473958338</v>
      </c>
      <c r="D272" s="531">
        <f>Données!AP272</f>
        <v>28.442162506651787</v>
      </c>
      <c r="E272" s="418">
        <f>VPI!Q272</f>
        <v>64</v>
      </c>
      <c r="F272" s="243">
        <f t="shared" si="16"/>
        <v>35.557837493348217</v>
      </c>
      <c r="G272" s="240">
        <f>Effort!I272+Aide!I272/Taux!C272+Effort!K272/Taux!C272</f>
        <v>24.982123706879939</v>
      </c>
      <c r="H272" s="83">
        <f t="shared" si="17"/>
        <v>60.539961200228156</v>
      </c>
      <c r="I272" s="225">
        <f t="shared" si="18"/>
        <v>0</v>
      </c>
      <c r="J272" s="42">
        <f t="shared" si="19"/>
        <v>0</v>
      </c>
      <c r="K272" s="5"/>
      <c r="L272" s="10"/>
      <c r="M272" s="11"/>
      <c r="R272" s="11"/>
    </row>
    <row r="273" spans="1:18" x14ac:dyDescent="0.25">
      <c r="A273" s="38">
        <f>Données!A273</f>
        <v>5890</v>
      </c>
      <c r="B273" s="199" t="str">
        <f>Données!B273</f>
        <v>Vevey</v>
      </c>
      <c r="C273" s="351">
        <f>VPI!R273</f>
        <v>968892.58791946329</v>
      </c>
      <c r="D273" s="531">
        <f>Données!AP273</f>
        <v>19.214138759942735</v>
      </c>
      <c r="E273" s="418">
        <f>VPI!Q273</f>
        <v>74.5</v>
      </c>
      <c r="F273" s="243">
        <f t="shared" si="16"/>
        <v>55.285861240057265</v>
      </c>
      <c r="G273" s="240">
        <f>Effort!I273+Aide!I273/Taux!C273+Effort!K273/Taux!C273</f>
        <v>12.863827384148673</v>
      </c>
      <c r="H273" s="83">
        <f t="shared" si="17"/>
        <v>68.149688624205936</v>
      </c>
      <c r="I273" s="225">
        <f t="shared" si="18"/>
        <v>0</v>
      </c>
      <c r="J273" s="42">
        <f t="shared" si="19"/>
        <v>0</v>
      </c>
      <c r="K273" s="5"/>
      <c r="L273" s="10"/>
      <c r="M273" s="11"/>
      <c r="R273" s="11"/>
    </row>
    <row r="274" spans="1:18" x14ac:dyDescent="0.25">
      <c r="A274" s="38">
        <f>Données!A274</f>
        <v>5891</v>
      </c>
      <c r="B274" s="199" t="str">
        <f>Données!B274</f>
        <v>Veytaux</v>
      </c>
      <c r="C274" s="351">
        <f>VPI!R274</f>
        <v>39118.814388489205</v>
      </c>
      <c r="D274" s="531">
        <f>Données!AP274</f>
        <v>34.552731552978493</v>
      </c>
      <c r="E274" s="418">
        <f>VPI!Q274</f>
        <v>69.5</v>
      </c>
      <c r="F274" s="243">
        <f t="shared" si="16"/>
        <v>34.947268447021507</v>
      </c>
      <c r="G274" s="240">
        <f>Effort!I274+Aide!I274/Taux!C274+Effort!K274/Taux!C274</f>
        <v>10.765684844538827</v>
      </c>
      <c r="H274" s="83">
        <f t="shared" si="17"/>
        <v>45.712953291560332</v>
      </c>
      <c r="I274" s="225">
        <f t="shared" si="18"/>
        <v>0</v>
      </c>
      <c r="J274" s="42">
        <f t="shared" si="19"/>
        <v>0</v>
      </c>
      <c r="K274" s="5"/>
      <c r="L274" s="10"/>
      <c r="M274" s="11"/>
      <c r="R274" s="11"/>
    </row>
    <row r="275" spans="1:18" x14ac:dyDescent="0.25">
      <c r="A275" s="38">
        <f>Données!A275</f>
        <v>5892</v>
      </c>
      <c r="B275" s="199" t="str">
        <f>Données!B275</f>
        <v>Blonay-St-Légier</v>
      </c>
      <c r="C275" s="351">
        <f>VPI!R275</f>
        <v>705287.87938951538</v>
      </c>
      <c r="D275" s="531">
        <f>Données!AP275</f>
        <v>31.957646128936378</v>
      </c>
      <c r="E275" s="418">
        <f>VPI!Q275</f>
        <v>68.5</v>
      </c>
      <c r="F275" s="243">
        <f t="shared" si="16"/>
        <v>36.542353871063625</v>
      </c>
      <c r="G275" s="240">
        <f>Effort!I275+Aide!I275/Taux!C275+Effort!K275/Taux!C275</f>
        <v>21.106259564237963</v>
      </c>
      <c r="H275" s="83">
        <f t="shared" si="17"/>
        <v>57.648613435301584</v>
      </c>
      <c r="I275" s="225">
        <f t="shared" si="18"/>
        <v>0</v>
      </c>
      <c r="J275" s="42">
        <f t="shared" si="19"/>
        <v>0</v>
      </c>
      <c r="K275" s="5"/>
      <c r="L275" s="10"/>
      <c r="M275" s="11"/>
      <c r="R275" s="11"/>
    </row>
    <row r="276" spans="1:18" x14ac:dyDescent="0.25">
      <c r="A276" s="38">
        <f>Données!A276</f>
        <v>5902</v>
      </c>
      <c r="B276" s="199" t="str">
        <f>Données!B276</f>
        <v>Belmont-sur-Yverdon</v>
      </c>
      <c r="C276" s="351">
        <f>VPI!R276</f>
        <v>12109.044285714286</v>
      </c>
      <c r="D276" s="531">
        <f>Données!AP276</f>
        <v>25.786708294379022</v>
      </c>
      <c r="E276" s="418">
        <f>VPI!Q276</f>
        <v>70</v>
      </c>
      <c r="F276" s="243">
        <f t="shared" si="16"/>
        <v>44.213291705620975</v>
      </c>
      <c r="G276" s="240">
        <f>Effort!I276+Aide!I276/Taux!C276+Effort!K276/Taux!C276</f>
        <v>5.4339187593953699</v>
      </c>
      <c r="H276" s="83">
        <f t="shared" si="17"/>
        <v>49.647210465016343</v>
      </c>
      <c r="I276" s="225">
        <f t="shared" si="18"/>
        <v>0</v>
      </c>
      <c r="J276" s="42">
        <f t="shared" si="19"/>
        <v>0</v>
      </c>
      <c r="K276" s="5"/>
      <c r="L276" s="10"/>
      <c r="M276" s="11"/>
      <c r="R276" s="11"/>
    </row>
    <row r="277" spans="1:18" x14ac:dyDescent="0.25">
      <c r="A277" s="38">
        <f>Données!A277</f>
        <v>5903</v>
      </c>
      <c r="B277" s="199" t="str">
        <f>Données!B277</f>
        <v>Bioley-Magnoux</v>
      </c>
      <c r="C277" s="351">
        <f>VPI!R277</f>
        <v>6062.5298015873022</v>
      </c>
      <c r="D277" s="531">
        <f>Données!AP277</f>
        <v>7.1864472980365672</v>
      </c>
      <c r="E277" s="418">
        <f>VPI!Q277</f>
        <v>72</v>
      </c>
      <c r="F277" s="243">
        <f t="shared" si="16"/>
        <v>64.813552701963431</v>
      </c>
      <c r="G277" s="240">
        <f>Effort!I277+Aide!I277/Taux!C277+Effort!K277/Taux!C277</f>
        <v>-15.835046178755629</v>
      </c>
      <c r="H277" s="83">
        <f t="shared" si="17"/>
        <v>48.978506523207798</v>
      </c>
      <c r="I277" s="225">
        <f t="shared" si="18"/>
        <v>0</v>
      </c>
      <c r="J277" s="42">
        <f t="shared" si="19"/>
        <v>0</v>
      </c>
      <c r="K277" s="5"/>
      <c r="L277" s="10"/>
      <c r="M277" s="11"/>
      <c r="R277" s="11"/>
    </row>
    <row r="278" spans="1:18" x14ac:dyDescent="0.25">
      <c r="A278" s="38">
        <f>Données!A278</f>
        <v>5904</v>
      </c>
      <c r="B278" s="199" t="str">
        <f>Données!B278</f>
        <v>Chamblon</v>
      </c>
      <c r="C278" s="351">
        <f>VPI!R278</f>
        <v>22177.284545454542</v>
      </c>
      <c r="D278" s="531">
        <f>Données!AP278</f>
        <v>29.399523032554129</v>
      </c>
      <c r="E278" s="418">
        <f>VPI!Q278</f>
        <v>66</v>
      </c>
      <c r="F278" s="243">
        <f t="shared" si="16"/>
        <v>36.600476967445871</v>
      </c>
      <c r="G278" s="240">
        <f>Effort!I278+Aide!I278/Taux!C278+Effort!K278/Taux!C278</f>
        <v>25.01286553023311</v>
      </c>
      <c r="H278" s="83">
        <f t="shared" si="17"/>
        <v>61.613342497678985</v>
      </c>
      <c r="I278" s="225">
        <f t="shared" si="18"/>
        <v>0</v>
      </c>
      <c r="J278" s="42">
        <f t="shared" si="19"/>
        <v>0</v>
      </c>
      <c r="K278" s="5"/>
      <c r="L278" s="10"/>
      <c r="M278" s="11"/>
      <c r="R278" s="11"/>
    </row>
    <row r="279" spans="1:18" x14ac:dyDescent="0.25">
      <c r="A279" s="38">
        <f>Données!A279</f>
        <v>5905</v>
      </c>
      <c r="B279" s="199" t="str">
        <f>Données!B279</f>
        <v>Champvent</v>
      </c>
      <c r="C279" s="351">
        <f>VPI!R279</f>
        <v>23290.369714285716</v>
      </c>
      <c r="D279" s="531">
        <f>Données!AP279</f>
        <v>23.295085971684554</v>
      </c>
      <c r="E279" s="418">
        <f>VPI!Q279</f>
        <v>70</v>
      </c>
      <c r="F279" s="243">
        <f t="shared" si="16"/>
        <v>46.704914028315443</v>
      </c>
      <c r="G279" s="240">
        <f>Effort!I279+Aide!I279/Taux!C279+Effort!K279/Taux!C279</f>
        <v>17.927373450405142</v>
      </c>
      <c r="H279" s="83">
        <f t="shared" si="17"/>
        <v>64.632287478720585</v>
      </c>
      <c r="I279" s="225">
        <f t="shared" si="18"/>
        <v>0</v>
      </c>
      <c r="J279" s="42">
        <f t="shared" si="19"/>
        <v>0</v>
      </c>
      <c r="K279" s="5"/>
      <c r="L279" s="10"/>
      <c r="M279" s="11"/>
      <c r="R279" s="11"/>
    </row>
    <row r="280" spans="1:18" x14ac:dyDescent="0.25">
      <c r="A280" s="38">
        <f>Données!A280</f>
        <v>5907</v>
      </c>
      <c r="B280" s="199" t="str">
        <f>Données!B280</f>
        <v>Chavannes-le-Chêne</v>
      </c>
      <c r="C280" s="351">
        <f>VPI!R280</f>
        <v>7818.3101333333334</v>
      </c>
      <c r="D280" s="531">
        <f>Données!AP280</f>
        <v>20.011107887031461</v>
      </c>
      <c r="E280" s="418">
        <f>VPI!Q280</f>
        <v>75</v>
      </c>
      <c r="F280" s="243">
        <f t="shared" si="16"/>
        <v>54.988892112968543</v>
      </c>
      <c r="G280" s="240">
        <f>Effort!I280+Aide!I280/Taux!C280+Effort!K280/Taux!C280</f>
        <v>-4.4078152577405056</v>
      </c>
      <c r="H280" s="83">
        <f t="shared" si="17"/>
        <v>50.581076855228034</v>
      </c>
      <c r="I280" s="225">
        <f t="shared" si="18"/>
        <v>0</v>
      </c>
      <c r="J280" s="42">
        <f t="shared" si="19"/>
        <v>0</v>
      </c>
      <c r="K280" s="5"/>
      <c r="L280" s="10"/>
      <c r="M280" s="11"/>
      <c r="R280" s="11"/>
    </row>
    <row r="281" spans="1:18" x14ac:dyDescent="0.25">
      <c r="A281" s="38">
        <f>Données!A281</f>
        <v>5908</v>
      </c>
      <c r="B281" s="199" t="str">
        <f>Données!B281</f>
        <v>Chêne-Pâquier</v>
      </c>
      <c r="C281" s="351">
        <f>VPI!R281</f>
        <v>4413.4270886075947</v>
      </c>
      <c r="D281" s="531">
        <f>Données!AP281</f>
        <v>17.652941195898244</v>
      </c>
      <c r="E281" s="418">
        <f>VPI!Q281</f>
        <v>79</v>
      </c>
      <c r="F281" s="243">
        <f t="shared" si="16"/>
        <v>61.347058804101756</v>
      </c>
      <c r="G281" s="240">
        <f>Effort!I281+Aide!I281/Taux!C281+Effort!K281/Taux!C281</f>
        <v>4.6531733690831771</v>
      </c>
      <c r="H281" s="83">
        <f t="shared" si="17"/>
        <v>66.000232173184941</v>
      </c>
      <c r="I281" s="225">
        <f t="shared" si="18"/>
        <v>0</v>
      </c>
      <c r="J281" s="42">
        <f t="shared" si="19"/>
        <v>0</v>
      </c>
      <c r="K281" s="5"/>
      <c r="L281" s="10"/>
      <c r="M281" s="11"/>
      <c r="R281" s="11"/>
    </row>
    <row r="282" spans="1:18" x14ac:dyDescent="0.25">
      <c r="A282" s="38">
        <f>Données!A282</f>
        <v>5909</v>
      </c>
      <c r="B282" s="199" t="str">
        <f>Données!B282</f>
        <v>Cheseaux-Noréaz</v>
      </c>
      <c r="C282" s="351">
        <f>VPI!R282</f>
        <v>36912.898208955223</v>
      </c>
      <c r="D282" s="531">
        <f>Données!AP282</f>
        <v>34.360657415176924</v>
      </c>
      <c r="E282" s="418">
        <f>VPI!Q282</f>
        <v>67</v>
      </c>
      <c r="F282" s="243">
        <f t="shared" si="16"/>
        <v>32.639342584823076</v>
      </c>
      <c r="G282" s="240">
        <f>Effort!I282+Aide!I282/Taux!C282+Effort!K282/Taux!C282</f>
        <v>29.005032126851507</v>
      </c>
      <c r="H282" s="83">
        <f t="shared" si="17"/>
        <v>61.644374711674587</v>
      </c>
      <c r="I282" s="225">
        <f t="shared" si="18"/>
        <v>0</v>
      </c>
      <c r="J282" s="42">
        <f t="shared" si="19"/>
        <v>0</v>
      </c>
      <c r="K282" s="5"/>
      <c r="L282" s="10"/>
      <c r="M282" s="11"/>
      <c r="R282" s="11"/>
    </row>
    <row r="283" spans="1:18" x14ac:dyDescent="0.25">
      <c r="A283" s="38">
        <f>Données!A283</f>
        <v>5910</v>
      </c>
      <c r="B283" s="199" t="str">
        <f>Données!B283</f>
        <v>Cronay</v>
      </c>
      <c r="C283" s="351">
        <f>VPI!R283</f>
        <v>10599.974415584415</v>
      </c>
      <c r="D283" s="531">
        <f>Données!AP283</f>
        <v>8.9475515845046161</v>
      </c>
      <c r="E283" s="418">
        <f>VPI!Q283</f>
        <v>77</v>
      </c>
      <c r="F283" s="243">
        <f t="shared" si="16"/>
        <v>68.052448415495377</v>
      </c>
      <c r="G283" s="240">
        <f>Effort!I283+Aide!I283/Taux!C283+Effort!K283/Taux!C283</f>
        <v>2.7548572783039802</v>
      </c>
      <c r="H283" s="83">
        <f t="shared" si="17"/>
        <v>70.80730569379935</v>
      </c>
      <c r="I283" s="225">
        <f t="shared" si="18"/>
        <v>0</v>
      </c>
      <c r="J283" s="42">
        <f t="shared" si="19"/>
        <v>0</v>
      </c>
      <c r="K283" s="5"/>
      <c r="L283" s="10"/>
      <c r="M283" s="11"/>
      <c r="R283" s="11"/>
    </row>
    <row r="284" spans="1:18" x14ac:dyDescent="0.25">
      <c r="A284" s="38">
        <f>Données!A284</f>
        <v>5911</v>
      </c>
      <c r="B284" s="199" t="str">
        <f>Données!B284</f>
        <v>Cuarny</v>
      </c>
      <c r="C284" s="351">
        <f>VPI!R284</f>
        <v>7503.6479220779238</v>
      </c>
      <c r="D284" s="531">
        <f>Données!AP284</f>
        <v>16.522543753039951</v>
      </c>
      <c r="E284" s="418">
        <f>VPI!Q284</f>
        <v>77</v>
      </c>
      <c r="F284" s="243">
        <f t="shared" si="16"/>
        <v>60.477456246960045</v>
      </c>
      <c r="G284" s="240">
        <f>Effort!I284+Aide!I284/Taux!C284+Effort!K284/Taux!C284</f>
        <v>11.100157894737121</v>
      </c>
      <c r="H284" s="83">
        <f t="shared" si="17"/>
        <v>71.577614141697168</v>
      </c>
      <c r="I284" s="225">
        <f t="shared" si="18"/>
        <v>0</v>
      </c>
      <c r="J284" s="42">
        <f t="shared" si="19"/>
        <v>0</v>
      </c>
      <c r="K284" s="5"/>
      <c r="L284" s="10"/>
      <c r="M284" s="11"/>
      <c r="R284" s="11"/>
    </row>
    <row r="285" spans="1:18" s="219" customFormat="1" x14ac:dyDescent="0.25">
      <c r="A285" s="38">
        <f>Données!A285</f>
        <v>5912</v>
      </c>
      <c r="B285" s="199" t="str">
        <f>Données!B285</f>
        <v>Démoret</v>
      </c>
      <c r="C285" s="351">
        <f>VPI!R285</f>
        <v>4722.3875308641973</v>
      </c>
      <c r="D285" s="531">
        <f>Données!AP285</f>
        <v>10.941216035539986</v>
      </c>
      <c r="E285" s="418">
        <f>VPI!Q285</f>
        <v>81</v>
      </c>
      <c r="F285" s="243">
        <f t="shared" si="16"/>
        <v>70.058783964460019</v>
      </c>
      <c r="G285" s="240">
        <f>Effort!I285+Aide!I285/Taux!C285+Effort!K285/Taux!C285</f>
        <v>6.1828457728988475</v>
      </c>
      <c r="H285" s="83">
        <f t="shared" si="17"/>
        <v>76.241629737358863</v>
      </c>
      <c r="I285" s="225">
        <f t="shared" si="18"/>
        <v>0</v>
      </c>
      <c r="J285" s="42">
        <f t="shared" si="19"/>
        <v>0</v>
      </c>
      <c r="K285" s="5"/>
      <c r="L285" s="10"/>
    </row>
    <row r="286" spans="1:18" s="219" customFormat="1" x14ac:dyDescent="0.25">
      <c r="A286" s="38">
        <f>Données!A286</f>
        <v>5913</v>
      </c>
      <c r="B286" s="199" t="str">
        <f>Données!B286</f>
        <v>Donneloye</v>
      </c>
      <c r="C286" s="351">
        <f>VPI!R286</f>
        <v>23893.15821917808</v>
      </c>
      <c r="D286" s="531">
        <f>Données!AP286</f>
        <v>11.192362002573077</v>
      </c>
      <c r="E286" s="418">
        <f>VPI!Q286</f>
        <v>73</v>
      </c>
      <c r="F286" s="243">
        <f t="shared" si="16"/>
        <v>61.807637997426923</v>
      </c>
      <c r="G286" s="240">
        <f>Effort!I286+Aide!I286/Taux!C286+Effort!K286/Taux!C286</f>
        <v>9.2757878080091825</v>
      </c>
      <c r="H286" s="83">
        <f t="shared" si="17"/>
        <v>71.083425805436107</v>
      </c>
      <c r="I286" s="225">
        <f t="shared" si="18"/>
        <v>0</v>
      </c>
      <c r="J286" s="42">
        <f t="shared" si="19"/>
        <v>0</v>
      </c>
      <c r="K286" s="5"/>
      <c r="L286" s="10"/>
    </row>
    <row r="287" spans="1:18" s="219" customFormat="1" x14ac:dyDescent="0.25">
      <c r="A287" s="38">
        <f>Données!A287</f>
        <v>5914</v>
      </c>
      <c r="B287" s="199" t="str">
        <f>Données!B287</f>
        <v>Ependes</v>
      </c>
      <c r="C287" s="351">
        <f>VPI!R287</f>
        <v>9828.5374149659856</v>
      </c>
      <c r="D287" s="531">
        <f>Données!AP287</f>
        <v>16.811028340249177</v>
      </c>
      <c r="E287" s="418">
        <f>VPI!Q287</f>
        <v>73.5</v>
      </c>
      <c r="F287" s="243">
        <f t="shared" si="16"/>
        <v>56.68897165975082</v>
      </c>
      <c r="G287" s="240">
        <f>Effort!I287+Aide!I287/Taux!C287+Effort!K287/Taux!C287</f>
        <v>2.3954526596716263</v>
      </c>
      <c r="H287" s="83">
        <f t="shared" si="17"/>
        <v>59.084424319422446</v>
      </c>
      <c r="I287" s="225">
        <f t="shared" si="18"/>
        <v>0</v>
      </c>
      <c r="J287" s="42">
        <f t="shared" si="19"/>
        <v>0</v>
      </c>
      <c r="K287" s="5"/>
      <c r="L287" s="10"/>
    </row>
    <row r="288" spans="1:18" s="219" customFormat="1" x14ac:dyDescent="0.25">
      <c r="A288" s="38">
        <f>Données!A288</f>
        <v>5919</v>
      </c>
      <c r="B288" s="199" t="str">
        <f>Données!B288</f>
        <v>Mathod</v>
      </c>
      <c r="C288" s="351">
        <f>VPI!R288</f>
        <v>18684.230416666669</v>
      </c>
      <c r="D288" s="531">
        <f>Données!AP288</f>
        <v>28.165819038272307</v>
      </c>
      <c r="E288" s="418">
        <f>VPI!Q288</f>
        <v>72</v>
      </c>
      <c r="F288" s="243">
        <f t="shared" si="16"/>
        <v>43.834180961727697</v>
      </c>
      <c r="G288" s="240">
        <f>Effort!I288+Aide!I288/Taux!C288+Effort!K288/Taux!C288</f>
        <v>5.803548376651495</v>
      </c>
      <c r="H288" s="83">
        <f t="shared" si="17"/>
        <v>49.637729338379188</v>
      </c>
      <c r="I288" s="225">
        <f t="shared" si="18"/>
        <v>0</v>
      </c>
      <c r="J288" s="42">
        <f t="shared" si="19"/>
        <v>0</v>
      </c>
      <c r="K288" s="5"/>
      <c r="L288" s="10"/>
    </row>
    <row r="289" spans="1:18" s="219" customFormat="1" x14ac:dyDescent="0.25">
      <c r="A289" s="38">
        <f>Données!A289</f>
        <v>5921</v>
      </c>
      <c r="B289" s="199" t="str">
        <f>Données!B289</f>
        <v>Molondin</v>
      </c>
      <c r="C289" s="351">
        <f>VPI!R289</f>
        <v>5874.5211111111121</v>
      </c>
      <c r="D289" s="531">
        <f>Données!AP289</f>
        <v>2.8799184717949178</v>
      </c>
      <c r="E289" s="418">
        <f>VPI!Q289</f>
        <v>81</v>
      </c>
      <c r="F289" s="243">
        <f t="shared" si="16"/>
        <v>78.120081528205077</v>
      </c>
      <c r="G289" s="240">
        <f>Effort!I289+Aide!I289/Taux!C289+Effort!K289/Taux!C289</f>
        <v>-4.4285182102308802</v>
      </c>
      <c r="H289" s="83">
        <f t="shared" si="17"/>
        <v>73.6915633179742</v>
      </c>
      <c r="I289" s="225">
        <f t="shared" si="18"/>
        <v>0</v>
      </c>
      <c r="J289" s="42">
        <f t="shared" si="19"/>
        <v>0</v>
      </c>
      <c r="K289" s="5"/>
      <c r="L289" s="10"/>
    </row>
    <row r="290" spans="1:18" s="219" customFormat="1" x14ac:dyDescent="0.25">
      <c r="A290" s="38">
        <f>Données!A290</f>
        <v>5922</v>
      </c>
      <c r="B290" s="199" t="str">
        <f>Données!B290</f>
        <v>Montagny-près-Yverdon</v>
      </c>
      <c r="C290" s="351">
        <f>VPI!R290</f>
        <v>39591.156899224814</v>
      </c>
      <c r="D290" s="531">
        <f>Données!AP290</f>
        <v>34.974299987819236</v>
      </c>
      <c r="E290" s="418">
        <f>VPI!Q290</f>
        <v>64.5</v>
      </c>
      <c r="F290" s="243">
        <f t="shared" si="16"/>
        <v>29.525700012180764</v>
      </c>
      <c r="G290" s="240">
        <f>Effort!I290+Aide!I290/Taux!C290+Effort!K290/Taux!C290</f>
        <v>26.494049986787239</v>
      </c>
      <c r="H290" s="83">
        <f t="shared" si="17"/>
        <v>56.019749998968003</v>
      </c>
      <c r="I290" s="225">
        <f t="shared" si="18"/>
        <v>0</v>
      </c>
      <c r="J290" s="42">
        <f t="shared" si="19"/>
        <v>0</v>
      </c>
      <c r="K290" s="5"/>
      <c r="L290" s="10"/>
    </row>
    <row r="291" spans="1:18" s="219" customFormat="1" x14ac:dyDescent="0.25">
      <c r="A291" s="38">
        <f>Données!A291</f>
        <v>5923</v>
      </c>
      <c r="B291" s="199" t="str">
        <f>Données!B291</f>
        <v>Oppens</v>
      </c>
      <c r="C291" s="351">
        <f>VPI!R291</f>
        <v>5096.0285185185185</v>
      </c>
      <c r="D291" s="531">
        <f>Données!AP291</f>
        <v>7.4267783572580344</v>
      </c>
      <c r="E291" s="418">
        <f>VPI!Q291</f>
        <v>81</v>
      </c>
      <c r="F291" s="243">
        <f t="shared" si="16"/>
        <v>73.57322164274197</v>
      </c>
      <c r="G291" s="240">
        <f>Effort!I291+Aide!I291/Taux!C291+Effort!K291/Taux!C291</f>
        <v>-3.7238449645825327</v>
      </c>
      <c r="H291" s="83">
        <f t="shared" si="17"/>
        <v>69.849376678159445</v>
      </c>
      <c r="I291" s="225">
        <f t="shared" si="18"/>
        <v>0</v>
      </c>
      <c r="J291" s="42">
        <f t="shared" si="19"/>
        <v>0</v>
      </c>
      <c r="K291" s="5"/>
      <c r="L291" s="10"/>
    </row>
    <row r="292" spans="1:18" s="219" customFormat="1" x14ac:dyDescent="0.25">
      <c r="A292" s="38">
        <f>Données!A292</f>
        <v>5924</v>
      </c>
      <c r="B292" s="199" t="str">
        <f>Données!B292</f>
        <v>Orges</v>
      </c>
      <c r="C292" s="351">
        <f>VPI!R292</f>
        <v>13109.277432432435</v>
      </c>
      <c r="D292" s="531">
        <f>Données!AP292</f>
        <v>31.699625958503344</v>
      </c>
      <c r="E292" s="418">
        <f>VPI!Q292</f>
        <v>74</v>
      </c>
      <c r="F292" s="243">
        <f t="shared" si="16"/>
        <v>42.300374041496653</v>
      </c>
      <c r="G292" s="240">
        <f>Effort!I292+Aide!I292/Taux!C292+Effort!K292/Taux!C292</f>
        <v>18.635024442301802</v>
      </c>
      <c r="H292" s="83">
        <f t="shared" si="17"/>
        <v>60.935398483798451</v>
      </c>
      <c r="I292" s="225">
        <f t="shared" si="18"/>
        <v>0</v>
      </c>
      <c r="J292" s="42">
        <f t="shared" si="19"/>
        <v>0</v>
      </c>
      <c r="K292" s="5"/>
      <c r="L292" s="10"/>
    </row>
    <row r="293" spans="1:18" x14ac:dyDescent="0.25">
      <c r="A293" s="38">
        <f>Données!A293</f>
        <v>5925</v>
      </c>
      <c r="B293" s="199" t="str">
        <f>Données!B293</f>
        <v>Orzens</v>
      </c>
      <c r="C293" s="351">
        <f>VPI!R293</f>
        <v>5230.3916455696199</v>
      </c>
      <c r="D293" s="531">
        <f>Données!AP293</f>
        <v>26.770561403828019</v>
      </c>
      <c r="E293" s="418">
        <f>VPI!Q293</f>
        <v>79</v>
      </c>
      <c r="F293" s="243">
        <f t="shared" si="16"/>
        <v>52.229438596171981</v>
      </c>
      <c r="G293" s="240">
        <f>Effort!I293+Aide!I293/Taux!C293+Effort!K293/Taux!C293</f>
        <v>3.8819246919960051</v>
      </c>
      <c r="H293" s="83">
        <f t="shared" si="17"/>
        <v>56.111363288167986</v>
      </c>
      <c r="I293" s="225">
        <f t="shared" si="18"/>
        <v>0</v>
      </c>
      <c r="J293" s="42">
        <f t="shared" si="19"/>
        <v>0</v>
      </c>
      <c r="K293" s="5"/>
      <c r="L293" s="10"/>
      <c r="M293" s="11"/>
      <c r="R293" s="11"/>
    </row>
    <row r="294" spans="1:18" x14ac:dyDescent="0.25">
      <c r="A294" s="38">
        <f>Données!A294</f>
        <v>5926</v>
      </c>
      <c r="B294" s="199" t="str">
        <f>Données!B294</f>
        <v>Pomy</v>
      </c>
      <c r="C294" s="351">
        <f>VPI!R294</f>
        <v>27874.142394366198</v>
      </c>
      <c r="D294" s="531">
        <f>Données!AP294</f>
        <v>26.216770844283886</v>
      </c>
      <c r="E294" s="418">
        <f>VPI!Q294</f>
        <v>71</v>
      </c>
      <c r="F294" s="243">
        <f t="shared" si="16"/>
        <v>44.783229155716114</v>
      </c>
      <c r="G294" s="240">
        <f>Effort!I294+Aide!I294/Taux!C294+Effort!K294/Taux!C294</f>
        <v>17.599120414295086</v>
      </c>
      <c r="H294" s="83">
        <f t="shared" si="17"/>
        <v>62.382349570011201</v>
      </c>
      <c r="I294" s="225">
        <f t="shared" si="18"/>
        <v>0</v>
      </c>
      <c r="J294" s="42">
        <f t="shared" si="19"/>
        <v>0</v>
      </c>
      <c r="K294" s="5"/>
      <c r="L294" s="10"/>
      <c r="M294" s="11"/>
      <c r="R294" s="11"/>
    </row>
    <row r="295" spans="1:18" x14ac:dyDescent="0.25">
      <c r="A295" s="38">
        <f>Données!A295</f>
        <v>5928</v>
      </c>
      <c r="B295" s="199" t="str">
        <f>Données!B295</f>
        <v>Rovray</v>
      </c>
      <c r="C295" s="351">
        <f>VPI!R295</f>
        <v>5459.4458741258732</v>
      </c>
      <c r="D295" s="531">
        <f>Données!AP295</f>
        <v>15.762701071143109</v>
      </c>
      <c r="E295" s="418">
        <f>VPI!Q295</f>
        <v>71.5</v>
      </c>
      <c r="F295" s="243">
        <f t="shared" si="16"/>
        <v>55.737298928856887</v>
      </c>
      <c r="G295" s="240">
        <f>Effort!I295+Aide!I295/Taux!C295+Effort!K295/Taux!C295</f>
        <v>6.0973548328046441</v>
      </c>
      <c r="H295" s="83">
        <f t="shared" si="17"/>
        <v>61.834653761661528</v>
      </c>
      <c r="I295" s="225">
        <f t="shared" si="18"/>
        <v>0</v>
      </c>
      <c r="J295" s="42">
        <f t="shared" si="19"/>
        <v>0</v>
      </c>
      <c r="K295" s="5"/>
      <c r="L295" s="10"/>
      <c r="M295" s="11"/>
      <c r="R295" s="11"/>
    </row>
    <row r="296" spans="1:18" x14ac:dyDescent="0.25">
      <c r="A296" s="38">
        <f>Données!A296</f>
        <v>5929</v>
      </c>
      <c r="B296" s="199" t="str">
        <f>Données!B296</f>
        <v>Suchy</v>
      </c>
      <c r="C296" s="351">
        <f>VPI!R296</f>
        <v>20264.63825</v>
      </c>
      <c r="D296" s="531">
        <f>Données!AP296</f>
        <v>21.730047530067573</v>
      </c>
      <c r="E296" s="418">
        <f>VPI!Q296</f>
        <v>70</v>
      </c>
      <c r="F296" s="243">
        <f t="shared" si="16"/>
        <v>48.269952469932427</v>
      </c>
      <c r="G296" s="240">
        <f>Effort!I296+Aide!I296/Taux!C296+Effort!K296/Taux!C296</f>
        <v>15.259538972759028</v>
      </c>
      <c r="H296" s="83">
        <f t="shared" si="17"/>
        <v>63.529491442691452</v>
      </c>
      <c r="I296" s="225">
        <f t="shared" si="18"/>
        <v>0</v>
      </c>
      <c r="J296" s="42">
        <f t="shared" si="19"/>
        <v>0</v>
      </c>
      <c r="K296" s="5"/>
      <c r="L296" s="10"/>
      <c r="M296" s="11"/>
      <c r="R296" s="11"/>
    </row>
    <row r="297" spans="1:18" x14ac:dyDescent="0.25">
      <c r="A297" s="38">
        <f>Données!A297</f>
        <v>5930</v>
      </c>
      <c r="B297" s="199" t="str">
        <f>Données!B297</f>
        <v>Suscévaz</v>
      </c>
      <c r="C297" s="351">
        <f>VPI!R297</f>
        <v>6661.7480555555558</v>
      </c>
      <c r="D297" s="531">
        <f>Données!AP297</f>
        <v>16.694569432854564</v>
      </c>
      <c r="E297" s="418">
        <f>VPI!Q297</f>
        <v>72</v>
      </c>
      <c r="F297" s="243">
        <f t="shared" si="16"/>
        <v>55.305430567145436</v>
      </c>
      <c r="G297" s="240">
        <f>Effort!I297+Aide!I297/Taux!C297+Effort!K297/Taux!C297</f>
        <v>12.285878300205436</v>
      </c>
      <c r="H297" s="83">
        <f t="shared" si="17"/>
        <v>67.591308867350875</v>
      </c>
      <c r="I297" s="225">
        <f t="shared" si="18"/>
        <v>0</v>
      </c>
      <c r="J297" s="42">
        <f t="shared" si="19"/>
        <v>0</v>
      </c>
      <c r="K297" s="5"/>
      <c r="L297" s="10"/>
      <c r="M297" s="11"/>
      <c r="R297" s="11"/>
    </row>
    <row r="298" spans="1:18" x14ac:dyDescent="0.25">
      <c r="A298" s="38">
        <f>Données!A298</f>
        <v>5931</v>
      </c>
      <c r="B298" s="199" t="str">
        <f>Données!B298</f>
        <v>Treycovagnes</v>
      </c>
      <c r="C298" s="351">
        <f>VPI!R298</f>
        <v>15269.573333333334</v>
      </c>
      <c r="D298" s="531">
        <f>Données!AP298</f>
        <v>22.701184265438705</v>
      </c>
      <c r="E298" s="418">
        <f>VPI!Q298</f>
        <v>75</v>
      </c>
      <c r="F298" s="243">
        <f t="shared" si="16"/>
        <v>52.298815734561295</v>
      </c>
      <c r="G298" s="240">
        <f>Effort!I298+Aide!I298/Taux!C298+Effort!K298/Taux!C298</f>
        <v>11.683436839608031</v>
      </c>
      <c r="H298" s="83">
        <f t="shared" si="17"/>
        <v>63.982252574169323</v>
      </c>
      <c r="I298" s="225">
        <f t="shared" si="18"/>
        <v>0</v>
      </c>
      <c r="J298" s="42">
        <f t="shared" si="19"/>
        <v>0</v>
      </c>
      <c r="K298" s="5"/>
      <c r="L298" s="10"/>
      <c r="M298" s="11"/>
      <c r="R298" s="11"/>
    </row>
    <row r="299" spans="1:18" x14ac:dyDescent="0.25">
      <c r="A299" s="38">
        <f>Données!A299</f>
        <v>5932</v>
      </c>
      <c r="B299" s="199" t="str">
        <f>Données!B299</f>
        <v>Ursins</v>
      </c>
      <c r="C299" s="351">
        <f>VPI!R299</f>
        <v>7703.2953333333353</v>
      </c>
      <c r="D299" s="531">
        <f>Données!AP299</f>
        <v>15.685728297414284</v>
      </c>
      <c r="E299" s="418">
        <f>VPI!Q299</f>
        <v>75</v>
      </c>
      <c r="F299" s="243">
        <f t="shared" si="16"/>
        <v>59.314271702585714</v>
      </c>
      <c r="G299" s="240">
        <f>Effort!I299+Aide!I299/Taux!C299+Effort!K299/Taux!C299</f>
        <v>17.704607676113483</v>
      </c>
      <c r="H299" s="83">
        <f t="shared" si="17"/>
        <v>77.018879378699197</v>
      </c>
      <c r="I299" s="225">
        <f t="shared" si="18"/>
        <v>0</v>
      </c>
      <c r="J299" s="42">
        <f t="shared" si="19"/>
        <v>0</v>
      </c>
      <c r="K299" s="5"/>
      <c r="L299" s="10"/>
      <c r="M299" s="11"/>
      <c r="R299" s="11"/>
    </row>
    <row r="300" spans="1:18" x14ac:dyDescent="0.25">
      <c r="A300" s="38">
        <f>Données!A300</f>
        <v>5933</v>
      </c>
      <c r="B300" s="199" t="str">
        <f>Données!B300</f>
        <v>Valeyres-sous-Montagny</v>
      </c>
      <c r="C300" s="351">
        <f>VPI!R300</f>
        <v>19606.455886524818</v>
      </c>
      <c r="D300" s="531">
        <f>Données!AP300</f>
        <v>22.30805828669078</v>
      </c>
      <c r="E300" s="418">
        <f>VPI!Q300</f>
        <v>70.5</v>
      </c>
      <c r="F300" s="243">
        <f t="shared" si="16"/>
        <v>48.19194171330922</v>
      </c>
      <c r="G300" s="240">
        <f>Effort!I300+Aide!I300/Taux!C300+Effort!K300/Taux!C300</f>
        <v>-9.2956898440467377</v>
      </c>
      <c r="H300" s="83">
        <f t="shared" si="17"/>
        <v>38.896251869262485</v>
      </c>
      <c r="I300" s="225">
        <f t="shared" si="18"/>
        <v>0</v>
      </c>
      <c r="J300" s="42">
        <f t="shared" si="19"/>
        <v>0</v>
      </c>
      <c r="K300" s="5"/>
      <c r="L300" s="10"/>
      <c r="M300" s="11"/>
      <c r="R300" s="11"/>
    </row>
    <row r="301" spans="1:18" x14ac:dyDescent="0.25">
      <c r="A301" s="38">
        <f>Données!A301</f>
        <v>5934</v>
      </c>
      <c r="B301" s="199" t="str">
        <f>Données!B301</f>
        <v>Valeyres-sous-Ursins</v>
      </c>
      <c r="C301" s="351">
        <f>VPI!R301</f>
        <v>7018.2764935064943</v>
      </c>
      <c r="D301" s="531">
        <f>Données!AP301</f>
        <v>20.489377405597786</v>
      </c>
      <c r="E301" s="418">
        <f>VPI!Q301</f>
        <v>77</v>
      </c>
      <c r="F301" s="243">
        <f t="shared" si="16"/>
        <v>56.510622594402214</v>
      </c>
      <c r="G301" s="240">
        <f>Effort!I301+Aide!I301/Taux!C301+Effort!K301/Taux!C301</f>
        <v>10.126735134241548</v>
      </c>
      <c r="H301" s="83">
        <f t="shared" si="17"/>
        <v>66.637357728643764</v>
      </c>
      <c r="I301" s="225">
        <f t="shared" si="18"/>
        <v>0</v>
      </c>
      <c r="J301" s="42">
        <f t="shared" si="19"/>
        <v>0</v>
      </c>
      <c r="K301" s="5"/>
      <c r="L301" s="10"/>
      <c r="M301" s="11"/>
      <c r="R301" s="11"/>
    </row>
    <row r="302" spans="1:18" x14ac:dyDescent="0.25">
      <c r="A302" s="38">
        <f>Données!A302</f>
        <v>5935</v>
      </c>
      <c r="B302" s="199" t="str">
        <f>Données!B302</f>
        <v>Villars-Epeney</v>
      </c>
      <c r="C302" s="351">
        <f>VPI!R302</f>
        <v>3448.2056666666667</v>
      </c>
      <c r="D302" s="531">
        <f>Données!AP302</f>
        <v>31.547093797693933</v>
      </c>
      <c r="E302" s="418">
        <f>VPI!Q302</f>
        <v>60</v>
      </c>
      <c r="F302" s="243">
        <f t="shared" si="16"/>
        <v>28.452906202306067</v>
      </c>
      <c r="G302" s="240">
        <f>Effort!I302+Aide!I302/Taux!C302+Effort!K302/Taux!C302</f>
        <v>20.938943629150764</v>
      </c>
      <c r="H302" s="83">
        <f t="shared" si="17"/>
        <v>49.391849831456831</v>
      </c>
      <c r="I302" s="225">
        <f t="shared" si="18"/>
        <v>0</v>
      </c>
      <c r="J302" s="42">
        <f t="shared" si="19"/>
        <v>0</v>
      </c>
      <c r="K302" s="5"/>
      <c r="L302" s="10"/>
      <c r="M302" s="11"/>
      <c r="R302" s="11"/>
    </row>
    <row r="303" spans="1:18" x14ac:dyDescent="0.25">
      <c r="A303" s="38">
        <f>Données!A303</f>
        <v>5937</v>
      </c>
      <c r="B303" s="199" t="str">
        <f>Données!B303</f>
        <v>Vugelles-La Mothe</v>
      </c>
      <c r="C303" s="351">
        <f>VPI!R303</f>
        <v>3479.4948775510202</v>
      </c>
      <c r="D303" s="531">
        <f>Données!AP303</f>
        <v>11.329593655380053</v>
      </c>
      <c r="E303" s="418">
        <f>VPI!Q303</f>
        <v>70</v>
      </c>
      <c r="F303" s="243">
        <f t="shared" si="16"/>
        <v>58.670406344619948</v>
      </c>
      <c r="G303" s="240">
        <f>Effort!I303+Aide!I303/Taux!C303+Effort!K303/Taux!C303</f>
        <v>2.484588187210143</v>
      </c>
      <c r="H303" s="83">
        <f t="shared" si="17"/>
        <v>61.154994531830091</v>
      </c>
      <c r="I303" s="225">
        <f t="shared" si="18"/>
        <v>0</v>
      </c>
      <c r="J303" s="42">
        <f t="shared" si="19"/>
        <v>0</v>
      </c>
      <c r="K303" s="5"/>
      <c r="L303" s="10"/>
      <c r="M303" s="11"/>
      <c r="R303" s="11"/>
    </row>
    <row r="304" spans="1:18" x14ac:dyDescent="0.25">
      <c r="A304" s="38">
        <f>Données!A304</f>
        <v>5938</v>
      </c>
      <c r="B304" s="199" t="str">
        <f>Données!B304</f>
        <v>Yverdon-les-Bains</v>
      </c>
      <c r="C304" s="351">
        <f>VPI!R304</f>
        <v>762594.09693333332</v>
      </c>
      <c r="D304" s="531">
        <f>Données!AP304</f>
        <v>-8.0000000000000018</v>
      </c>
      <c r="E304" s="418">
        <f>VPI!Q304</f>
        <v>75</v>
      </c>
      <c r="F304" s="243">
        <f t="shared" si="16"/>
        <v>83</v>
      </c>
      <c r="G304" s="240">
        <f>Effort!I304+Aide!I304/Taux!C304+Effort!K304/Taux!C304</f>
        <v>-26.808440763020876</v>
      </c>
      <c r="H304" s="83">
        <f t="shared" si="17"/>
        <v>56.191559236979124</v>
      </c>
      <c r="I304" s="225">
        <f t="shared" si="18"/>
        <v>0</v>
      </c>
      <c r="J304" s="42">
        <f t="shared" si="19"/>
        <v>0</v>
      </c>
      <c r="K304" s="5"/>
      <c r="L304" s="10"/>
      <c r="M304" s="11"/>
      <c r="R304" s="11"/>
    </row>
    <row r="305" spans="1:18" x14ac:dyDescent="0.25">
      <c r="A305" s="39">
        <f>Données!A305</f>
        <v>5939</v>
      </c>
      <c r="B305" s="200" t="str">
        <f>Données!B305</f>
        <v>Yvonand</v>
      </c>
      <c r="C305" s="416">
        <f>VPI!R305</f>
        <v>105325.16447552449</v>
      </c>
      <c r="D305" s="532">
        <f>Données!AP305</f>
        <v>11.523217429842635</v>
      </c>
      <c r="E305" s="419">
        <f>VPI!Q305</f>
        <v>71.5</v>
      </c>
      <c r="F305" s="245">
        <f t="shared" si="16"/>
        <v>59.976782570157368</v>
      </c>
      <c r="G305" s="241">
        <f>Effort!I305+Aide!I305/Taux!C305+Effort!K305/Taux!C305</f>
        <v>4.8500929519098186</v>
      </c>
      <c r="H305" s="84">
        <f t="shared" si="17"/>
        <v>64.826875522067184</v>
      </c>
      <c r="I305" s="225">
        <f t="shared" si="18"/>
        <v>0</v>
      </c>
      <c r="J305" s="65">
        <f t="shared" si="19"/>
        <v>0</v>
      </c>
      <c r="K305" s="5"/>
      <c r="L305" s="10"/>
      <c r="M305" s="11"/>
      <c r="R305" s="11"/>
    </row>
    <row r="306" spans="1:18" x14ac:dyDescent="0.25">
      <c r="A306" s="25"/>
      <c r="B306" s="74">
        <f>COUNTA(B6:B305)</f>
        <v>300</v>
      </c>
      <c r="C306" s="416">
        <f>SUM(C6:C305)</f>
        <v>39490853.970660269</v>
      </c>
      <c r="D306" s="532"/>
      <c r="E306" s="420">
        <f>VPI!Q306</f>
        <v>67.586100811375815</v>
      </c>
      <c r="F306" s="245">
        <f t="shared" ref="F306" si="20">E306-D306</f>
        <v>67.586100811375815</v>
      </c>
      <c r="G306" s="241">
        <f>Effort!I306+Aide!I306/Taux!C306+Effort!K306/Taux!C306</f>
        <v>15.793360615052102</v>
      </c>
      <c r="H306" s="84">
        <f t="shared" ref="H306" si="21">F306+G306</f>
        <v>83.379461426427923</v>
      </c>
      <c r="I306" s="352"/>
      <c r="J306" s="65">
        <f>SUM(J6:J305)</f>
        <v>0</v>
      </c>
      <c r="K306" s="5"/>
      <c r="L306" s="11"/>
      <c r="M306" s="11"/>
      <c r="R306" s="11"/>
    </row>
    <row r="307" spans="1:18" x14ac:dyDescent="0.25">
      <c r="Q307" s="18"/>
    </row>
    <row r="308" spans="1:18" s="5" customFormat="1" x14ac:dyDescent="0.25">
      <c r="M308" s="13"/>
    </row>
    <row r="311" spans="1:18" s="5" customFormat="1" x14ac:dyDescent="0.25">
      <c r="L311" s="165"/>
      <c r="M311" s="13"/>
      <c r="N311" s="165"/>
      <c r="O311" s="165"/>
    </row>
  </sheetData>
  <mergeCells count="7">
    <mergeCell ref="B4:B5"/>
    <mergeCell ref="A4:A5"/>
    <mergeCell ref="C4:C5"/>
    <mergeCell ref="J4:J5"/>
    <mergeCell ref="H4:H5"/>
    <mergeCell ref="F4:F5"/>
    <mergeCell ref="E4:E5"/>
  </mergeCells>
  <phoneticPr fontId="0" type="noConversion"/>
  <hyperlinks>
    <hyperlink ref="C1" location="Aide!A1" display="← Précédent" xr:uid="{00D85FBE-C9A1-4DAD-8388-6665A16184A7}"/>
    <hyperlink ref="E1" location="'Facture policière'!A1" display="Suivant →" xr:uid="{1A29BF59-48EA-4027-B528-0BD68DA04860}"/>
    <hyperlink ref="D1" location="'Table des matières'!A1" display="Table des             matières" xr:uid="{BAADEC0A-8BF6-4BD9-A62A-9F972EA7EC07}"/>
  </hyperlinks>
  <printOptions horizontalCentered="1"/>
  <pageMargins left="0" right="0" top="0" bottom="0" header="0.51181102362204722" footer="0.51181102362204722"/>
  <pageSetup paperSize="9" scale="63" orientation="landscape" horizontalDpi="4294967292" verticalDpi="4294967292" r:id="rId1"/>
  <headerFooter alignWithMargins="0"/>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Feuil16">
    <tabColor theme="7" tint="-0.249977111117893"/>
    <pageSetUpPr fitToPage="1"/>
  </sheetPr>
  <dimension ref="A1:T308"/>
  <sheetViews>
    <sheetView workbookViewId="0">
      <pane ySplit="5" topLeftCell="A6" activePane="bottomLeft" state="frozen"/>
      <selection pane="bottomLeft" activeCell="A6" sqref="A6"/>
    </sheetView>
  </sheetViews>
  <sheetFormatPr baseColWidth="10" defaultColWidth="9.375" defaultRowHeight="15" x14ac:dyDescent="0.25"/>
  <cols>
    <col min="1" max="1" width="8.125" style="127" customWidth="1"/>
    <col min="2" max="2" width="22" style="127" customWidth="1"/>
    <col min="3" max="3" width="11.625" style="127" customWidth="1"/>
    <col min="4" max="4" width="11.375" style="127" customWidth="1"/>
    <col min="5" max="5" width="6.625" style="127" customWidth="1"/>
    <col min="6" max="6" width="12" style="127" bestFit="1" customWidth="1"/>
    <col min="7" max="7" width="19.625" style="127" customWidth="1"/>
    <col min="8" max="8" width="14.25" style="127" customWidth="1"/>
    <col min="9" max="9" width="20" style="127" customWidth="1"/>
    <col min="10" max="10" width="16.625" style="127" customWidth="1"/>
    <col min="11" max="11" width="14.5" style="127" customWidth="1"/>
    <col min="12" max="12" width="13" style="127" customWidth="1"/>
    <col min="13" max="13" width="10.75" style="127" bestFit="1" customWidth="1"/>
    <col min="14" max="14" width="13.125" style="129" customWidth="1"/>
    <col min="15" max="15" width="9.375" style="128"/>
    <col min="16" max="16" width="9.875" style="129" customWidth="1"/>
    <col min="17" max="17" width="11.75" style="129" bestFit="1" customWidth="1"/>
    <col min="18" max="20" width="9.375" style="128"/>
    <col min="21" max="247" width="9.375" style="127"/>
    <col min="248" max="248" width="5" style="127" customWidth="1"/>
    <col min="249" max="249" width="17.875" style="127" bestFit="1" customWidth="1"/>
    <col min="250" max="250" width="9.875" style="127" customWidth="1"/>
    <col min="251" max="251" width="8.875" style="127" customWidth="1"/>
    <col min="252" max="252" width="7.375" style="127" bestFit="1" customWidth="1"/>
    <col min="253" max="253" width="10.125" style="127" bestFit="1" customWidth="1"/>
    <col min="254" max="254" width="9.375" style="127"/>
    <col min="255" max="255" width="10.125" style="127" bestFit="1" customWidth="1"/>
    <col min="256" max="256" width="10.75" style="127" customWidth="1"/>
    <col min="257" max="259" width="9.375" style="127"/>
    <col min="260" max="261" width="10.75" style="127" customWidth="1"/>
    <col min="262" max="266" width="9.375" style="127"/>
    <col min="267" max="267" width="1.625" style="127" bestFit="1" customWidth="1"/>
    <col min="268" max="268" width="9.375" style="127"/>
    <col min="269" max="269" width="8.875" style="127" customWidth="1"/>
    <col min="270" max="270" width="13.125" style="127" customWidth="1"/>
    <col min="271" max="271" width="9.375" style="127"/>
    <col min="272" max="272" width="9.875" style="127" customWidth="1"/>
    <col min="273" max="273" width="11.75" style="127" bestFit="1" customWidth="1"/>
    <col min="274" max="503" width="9.375" style="127"/>
    <col min="504" max="504" width="5" style="127" customWidth="1"/>
    <col min="505" max="505" width="17.875" style="127" bestFit="1" customWidth="1"/>
    <col min="506" max="506" width="9.875" style="127" customWidth="1"/>
    <col min="507" max="507" width="8.875" style="127" customWidth="1"/>
    <col min="508" max="508" width="7.375" style="127" bestFit="1" customWidth="1"/>
    <col min="509" max="509" width="10.125" style="127" bestFit="1" customWidth="1"/>
    <col min="510" max="510" width="9.375" style="127"/>
    <col min="511" max="511" width="10.125" style="127" bestFit="1" customWidth="1"/>
    <col min="512" max="512" width="10.75" style="127" customWidth="1"/>
    <col min="513" max="515" width="9.375" style="127"/>
    <col min="516" max="517" width="10.75" style="127" customWidth="1"/>
    <col min="518" max="522" width="9.375" style="127"/>
    <col min="523" max="523" width="1.625" style="127" bestFit="1" customWidth="1"/>
    <col min="524" max="524" width="9.375" style="127"/>
    <col min="525" max="525" width="8.875" style="127" customWidth="1"/>
    <col min="526" max="526" width="13.125" style="127" customWidth="1"/>
    <col min="527" max="527" width="9.375" style="127"/>
    <col min="528" max="528" width="9.875" style="127" customWidth="1"/>
    <col min="529" max="529" width="11.75" style="127" bestFit="1" customWidth="1"/>
    <col min="530" max="759" width="9.375" style="127"/>
    <col min="760" max="760" width="5" style="127" customWidth="1"/>
    <col min="761" max="761" width="17.875" style="127" bestFit="1" customWidth="1"/>
    <col min="762" max="762" width="9.875" style="127" customWidth="1"/>
    <col min="763" max="763" width="8.875" style="127" customWidth="1"/>
    <col min="764" max="764" width="7.375" style="127" bestFit="1" customWidth="1"/>
    <col min="765" max="765" width="10.125" style="127" bestFit="1" customWidth="1"/>
    <col min="766" max="766" width="9.375" style="127"/>
    <col min="767" max="767" width="10.125" style="127" bestFit="1" customWidth="1"/>
    <col min="768" max="768" width="10.75" style="127" customWidth="1"/>
    <col min="769" max="771" width="9.375" style="127"/>
    <col min="772" max="773" width="10.75" style="127" customWidth="1"/>
    <col min="774" max="778" width="9.375" style="127"/>
    <col min="779" max="779" width="1.625" style="127" bestFit="1" customWidth="1"/>
    <col min="780" max="780" width="9.375" style="127"/>
    <col min="781" max="781" width="8.875" style="127" customWidth="1"/>
    <col min="782" max="782" width="13.125" style="127" customWidth="1"/>
    <col min="783" max="783" width="9.375" style="127"/>
    <col min="784" max="784" width="9.875" style="127" customWidth="1"/>
    <col min="785" max="785" width="11.75" style="127" bestFit="1" customWidth="1"/>
    <col min="786" max="1015" width="9.375" style="127"/>
    <col min="1016" max="1016" width="5" style="127" customWidth="1"/>
    <col min="1017" max="1017" width="17.875" style="127" bestFit="1" customWidth="1"/>
    <col min="1018" max="1018" width="9.875" style="127" customWidth="1"/>
    <col min="1019" max="1019" width="8.875" style="127" customWidth="1"/>
    <col min="1020" max="1020" width="7.375" style="127" bestFit="1" customWidth="1"/>
    <col min="1021" max="1021" width="10.125" style="127" bestFit="1" customWidth="1"/>
    <col min="1022" max="1022" width="9.375" style="127"/>
    <col min="1023" max="1023" width="10.125" style="127" bestFit="1" customWidth="1"/>
    <col min="1024" max="1024" width="10.75" style="127" customWidth="1"/>
    <col min="1025" max="1027" width="9.375" style="127"/>
    <col min="1028" max="1029" width="10.75" style="127" customWidth="1"/>
    <col min="1030" max="1034" width="9.375" style="127"/>
    <col min="1035" max="1035" width="1.625" style="127" bestFit="1" customWidth="1"/>
    <col min="1036" max="1036" width="9.375" style="127"/>
    <col min="1037" max="1037" width="8.875" style="127" customWidth="1"/>
    <col min="1038" max="1038" width="13.125" style="127" customWidth="1"/>
    <col min="1039" max="1039" width="9.375" style="127"/>
    <col min="1040" max="1040" width="9.875" style="127" customWidth="1"/>
    <col min="1041" max="1041" width="11.75" style="127" bestFit="1" customWidth="1"/>
    <col min="1042" max="1271" width="9.375" style="127"/>
    <col min="1272" max="1272" width="5" style="127" customWidth="1"/>
    <col min="1273" max="1273" width="17.875" style="127" bestFit="1" customWidth="1"/>
    <col min="1274" max="1274" width="9.875" style="127" customWidth="1"/>
    <col min="1275" max="1275" width="8.875" style="127" customWidth="1"/>
    <col min="1276" max="1276" width="7.375" style="127" bestFit="1" customWidth="1"/>
    <col min="1277" max="1277" width="10.125" style="127" bestFit="1" customWidth="1"/>
    <col min="1278" max="1278" width="9.375" style="127"/>
    <col min="1279" max="1279" width="10.125" style="127" bestFit="1" customWidth="1"/>
    <col min="1280" max="1280" width="10.75" style="127" customWidth="1"/>
    <col min="1281" max="1283" width="9.375" style="127"/>
    <col min="1284" max="1285" width="10.75" style="127" customWidth="1"/>
    <col min="1286" max="1290" width="9.375" style="127"/>
    <col min="1291" max="1291" width="1.625" style="127" bestFit="1" customWidth="1"/>
    <col min="1292" max="1292" width="9.375" style="127"/>
    <col min="1293" max="1293" width="8.875" style="127" customWidth="1"/>
    <col min="1294" max="1294" width="13.125" style="127" customWidth="1"/>
    <col min="1295" max="1295" width="9.375" style="127"/>
    <col min="1296" max="1296" width="9.875" style="127" customWidth="1"/>
    <col min="1297" max="1297" width="11.75" style="127" bestFit="1" customWidth="1"/>
    <col min="1298" max="1527" width="9.375" style="127"/>
    <col min="1528" max="1528" width="5" style="127" customWidth="1"/>
    <col min="1529" max="1529" width="17.875" style="127" bestFit="1" customWidth="1"/>
    <col min="1530" max="1530" width="9.875" style="127" customWidth="1"/>
    <col min="1531" max="1531" width="8.875" style="127" customWidth="1"/>
    <col min="1532" max="1532" width="7.375" style="127" bestFit="1" customWidth="1"/>
    <col min="1533" max="1533" width="10.125" style="127" bestFit="1" customWidth="1"/>
    <col min="1534" max="1534" width="9.375" style="127"/>
    <col min="1535" max="1535" width="10.125" style="127" bestFit="1" customWidth="1"/>
    <col min="1536" max="1536" width="10.75" style="127" customWidth="1"/>
    <col min="1537" max="1539" width="9.375" style="127"/>
    <col min="1540" max="1541" width="10.75" style="127" customWidth="1"/>
    <col min="1542" max="1546" width="9.375" style="127"/>
    <col min="1547" max="1547" width="1.625" style="127" bestFit="1" customWidth="1"/>
    <col min="1548" max="1548" width="9.375" style="127"/>
    <col min="1549" max="1549" width="8.875" style="127" customWidth="1"/>
    <col min="1550" max="1550" width="13.125" style="127" customWidth="1"/>
    <col min="1551" max="1551" width="9.375" style="127"/>
    <col min="1552" max="1552" width="9.875" style="127" customWidth="1"/>
    <col min="1553" max="1553" width="11.75" style="127" bestFit="1" customWidth="1"/>
    <col min="1554" max="1783" width="9.375" style="127"/>
    <col min="1784" max="1784" width="5" style="127" customWidth="1"/>
    <col min="1785" max="1785" width="17.875" style="127" bestFit="1" customWidth="1"/>
    <col min="1786" max="1786" width="9.875" style="127" customWidth="1"/>
    <col min="1787" max="1787" width="8.875" style="127" customWidth="1"/>
    <col min="1788" max="1788" width="7.375" style="127" bestFit="1" customWidth="1"/>
    <col min="1789" max="1789" width="10.125" style="127" bestFit="1" customWidth="1"/>
    <col min="1790" max="1790" width="9.375" style="127"/>
    <col min="1791" max="1791" width="10.125" style="127" bestFit="1" customWidth="1"/>
    <col min="1792" max="1792" width="10.75" style="127" customWidth="1"/>
    <col min="1793" max="1795" width="9.375" style="127"/>
    <col min="1796" max="1797" width="10.75" style="127" customWidth="1"/>
    <col min="1798" max="1802" width="9.375" style="127"/>
    <col min="1803" max="1803" width="1.625" style="127" bestFit="1" customWidth="1"/>
    <col min="1804" max="1804" width="9.375" style="127"/>
    <col min="1805" max="1805" width="8.875" style="127" customWidth="1"/>
    <col min="1806" max="1806" width="13.125" style="127" customWidth="1"/>
    <col min="1807" max="1807" width="9.375" style="127"/>
    <col min="1808" max="1808" width="9.875" style="127" customWidth="1"/>
    <col min="1809" max="1809" width="11.75" style="127" bestFit="1" customWidth="1"/>
    <col min="1810" max="2039" width="9.375" style="127"/>
    <col min="2040" max="2040" width="5" style="127" customWidth="1"/>
    <col min="2041" max="2041" width="17.875" style="127" bestFit="1" customWidth="1"/>
    <col min="2042" max="2042" width="9.875" style="127" customWidth="1"/>
    <col min="2043" max="2043" width="8.875" style="127" customWidth="1"/>
    <col min="2044" max="2044" width="7.375" style="127" bestFit="1" customWidth="1"/>
    <col min="2045" max="2045" width="10.125" style="127" bestFit="1" customWidth="1"/>
    <col min="2046" max="2046" width="9.375" style="127"/>
    <col min="2047" max="2047" width="10.125" style="127" bestFit="1" customWidth="1"/>
    <col min="2048" max="2048" width="10.75" style="127" customWidth="1"/>
    <col min="2049" max="2051" width="9.375" style="127"/>
    <col min="2052" max="2053" width="10.75" style="127" customWidth="1"/>
    <col min="2054" max="2058" width="9.375" style="127"/>
    <col min="2059" max="2059" width="1.625" style="127" bestFit="1" customWidth="1"/>
    <col min="2060" max="2060" width="9.375" style="127"/>
    <col min="2061" max="2061" width="8.875" style="127" customWidth="1"/>
    <col min="2062" max="2062" width="13.125" style="127" customWidth="1"/>
    <col min="2063" max="2063" width="9.375" style="127"/>
    <col min="2064" max="2064" width="9.875" style="127" customWidth="1"/>
    <col min="2065" max="2065" width="11.75" style="127" bestFit="1" customWidth="1"/>
    <col min="2066" max="2295" width="9.375" style="127"/>
    <col min="2296" max="2296" width="5" style="127" customWidth="1"/>
    <col min="2297" max="2297" width="17.875" style="127" bestFit="1" customWidth="1"/>
    <col min="2298" max="2298" width="9.875" style="127" customWidth="1"/>
    <col min="2299" max="2299" width="8.875" style="127" customWidth="1"/>
    <col min="2300" max="2300" width="7.375" style="127" bestFit="1" customWidth="1"/>
    <col min="2301" max="2301" width="10.125" style="127" bestFit="1" customWidth="1"/>
    <col min="2302" max="2302" width="9.375" style="127"/>
    <col min="2303" max="2303" width="10.125" style="127" bestFit="1" customWidth="1"/>
    <col min="2304" max="2304" width="10.75" style="127" customWidth="1"/>
    <col min="2305" max="2307" width="9.375" style="127"/>
    <col min="2308" max="2309" width="10.75" style="127" customWidth="1"/>
    <col min="2310" max="2314" width="9.375" style="127"/>
    <col min="2315" max="2315" width="1.625" style="127" bestFit="1" customWidth="1"/>
    <col min="2316" max="2316" width="9.375" style="127"/>
    <col min="2317" max="2317" width="8.875" style="127" customWidth="1"/>
    <col min="2318" max="2318" width="13.125" style="127" customWidth="1"/>
    <col min="2319" max="2319" width="9.375" style="127"/>
    <col min="2320" max="2320" width="9.875" style="127" customWidth="1"/>
    <col min="2321" max="2321" width="11.75" style="127" bestFit="1" customWidth="1"/>
    <col min="2322" max="2551" width="9.375" style="127"/>
    <col min="2552" max="2552" width="5" style="127" customWidth="1"/>
    <col min="2553" max="2553" width="17.875" style="127" bestFit="1" customWidth="1"/>
    <col min="2554" max="2554" width="9.875" style="127" customWidth="1"/>
    <col min="2555" max="2555" width="8.875" style="127" customWidth="1"/>
    <col min="2556" max="2556" width="7.375" style="127" bestFit="1" customWidth="1"/>
    <col min="2557" max="2557" width="10.125" style="127" bestFit="1" customWidth="1"/>
    <col min="2558" max="2558" width="9.375" style="127"/>
    <col min="2559" max="2559" width="10.125" style="127" bestFit="1" customWidth="1"/>
    <col min="2560" max="2560" width="10.75" style="127" customWidth="1"/>
    <col min="2561" max="2563" width="9.375" style="127"/>
    <col min="2564" max="2565" width="10.75" style="127" customWidth="1"/>
    <col min="2566" max="2570" width="9.375" style="127"/>
    <col min="2571" max="2571" width="1.625" style="127" bestFit="1" customWidth="1"/>
    <col min="2572" max="2572" width="9.375" style="127"/>
    <col min="2573" max="2573" width="8.875" style="127" customWidth="1"/>
    <col min="2574" max="2574" width="13.125" style="127" customWidth="1"/>
    <col min="2575" max="2575" width="9.375" style="127"/>
    <col min="2576" max="2576" width="9.875" style="127" customWidth="1"/>
    <col min="2577" max="2577" width="11.75" style="127" bestFit="1" customWidth="1"/>
    <col min="2578" max="2807" width="9.375" style="127"/>
    <col min="2808" max="2808" width="5" style="127" customWidth="1"/>
    <col min="2809" max="2809" width="17.875" style="127" bestFit="1" customWidth="1"/>
    <col min="2810" max="2810" width="9.875" style="127" customWidth="1"/>
    <col min="2811" max="2811" width="8.875" style="127" customWidth="1"/>
    <col min="2812" max="2812" width="7.375" style="127" bestFit="1" customWidth="1"/>
    <col min="2813" max="2813" width="10.125" style="127" bestFit="1" customWidth="1"/>
    <col min="2814" max="2814" width="9.375" style="127"/>
    <col min="2815" max="2815" width="10.125" style="127" bestFit="1" customWidth="1"/>
    <col min="2816" max="2816" width="10.75" style="127" customWidth="1"/>
    <col min="2817" max="2819" width="9.375" style="127"/>
    <col min="2820" max="2821" width="10.75" style="127" customWidth="1"/>
    <col min="2822" max="2826" width="9.375" style="127"/>
    <col min="2827" max="2827" width="1.625" style="127" bestFit="1" customWidth="1"/>
    <col min="2828" max="2828" width="9.375" style="127"/>
    <col min="2829" max="2829" width="8.875" style="127" customWidth="1"/>
    <col min="2830" max="2830" width="13.125" style="127" customWidth="1"/>
    <col min="2831" max="2831" width="9.375" style="127"/>
    <col min="2832" max="2832" width="9.875" style="127" customWidth="1"/>
    <col min="2833" max="2833" width="11.75" style="127" bestFit="1" customWidth="1"/>
    <col min="2834" max="3063" width="9.375" style="127"/>
    <col min="3064" max="3064" width="5" style="127" customWidth="1"/>
    <col min="3065" max="3065" width="17.875" style="127" bestFit="1" customWidth="1"/>
    <col min="3066" max="3066" width="9.875" style="127" customWidth="1"/>
    <col min="3067" max="3067" width="8.875" style="127" customWidth="1"/>
    <col min="3068" max="3068" width="7.375" style="127" bestFit="1" customWidth="1"/>
    <col min="3069" max="3069" width="10.125" style="127" bestFit="1" customWidth="1"/>
    <col min="3070" max="3070" width="9.375" style="127"/>
    <col min="3071" max="3071" width="10.125" style="127" bestFit="1" customWidth="1"/>
    <col min="3072" max="3072" width="10.75" style="127" customWidth="1"/>
    <col min="3073" max="3075" width="9.375" style="127"/>
    <col min="3076" max="3077" width="10.75" style="127" customWidth="1"/>
    <col min="3078" max="3082" width="9.375" style="127"/>
    <col min="3083" max="3083" width="1.625" style="127" bestFit="1" customWidth="1"/>
    <col min="3084" max="3084" width="9.375" style="127"/>
    <col min="3085" max="3085" width="8.875" style="127" customWidth="1"/>
    <col min="3086" max="3086" width="13.125" style="127" customWidth="1"/>
    <col min="3087" max="3087" width="9.375" style="127"/>
    <col min="3088" max="3088" width="9.875" style="127" customWidth="1"/>
    <col min="3089" max="3089" width="11.75" style="127" bestFit="1" customWidth="1"/>
    <col min="3090" max="3319" width="9.375" style="127"/>
    <col min="3320" max="3320" width="5" style="127" customWidth="1"/>
    <col min="3321" max="3321" width="17.875" style="127" bestFit="1" customWidth="1"/>
    <col min="3322" max="3322" width="9.875" style="127" customWidth="1"/>
    <col min="3323" max="3323" width="8.875" style="127" customWidth="1"/>
    <col min="3324" max="3324" width="7.375" style="127" bestFit="1" customWidth="1"/>
    <col min="3325" max="3325" width="10.125" style="127" bestFit="1" customWidth="1"/>
    <col min="3326" max="3326" width="9.375" style="127"/>
    <col min="3327" max="3327" width="10.125" style="127" bestFit="1" customWidth="1"/>
    <col min="3328" max="3328" width="10.75" style="127" customWidth="1"/>
    <col min="3329" max="3331" width="9.375" style="127"/>
    <col min="3332" max="3333" width="10.75" style="127" customWidth="1"/>
    <col min="3334" max="3338" width="9.375" style="127"/>
    <col min="3339" max="3339" width="1.625" style="127" bestFit="1" customWidth="1"/>
    <col min="3340" max="3340" width="9.375" style="127"/>
    <col min="3341" max="3341" width="8.875" style="127" customWidth="1"/>
    <col min="3342" max="3342" width="13.125" style="127" customWidth="1"/>
    <col min="3343" max="3343" width="9.375" style="127"/>
    <col min="3344" max="3344" width="9.875" style="127" customWidth="1"/>
    <col min="3345" max="3345" width="11.75" style="127" bestFit="1" customWidth="1"/>
    <col min="3346" max="3575" width="9.375" style="127"/>
    <col min="3576" max="3576" width="5" style="127" customWidth="1"/>
    <col min="3577" max="3577" width="17.875" style="127" bestFit="1" customWidth="1"/>
    <col min="3578" max="3578" width="9.875" style="127" customWidth="1"/>
    <col min="3579" max="3579" width="8.875" style="127" customWidth="1"/>
    <col min="3580" max="3580" width="7.375" style="127" bestFit="1" customWidth="1"/>
    <col min="3581" max="3581" width="10.125" style="127" bestFit="1" customWidth="1"/>
    <col min="3582" max="3582" width="9.375" style="127"/>
    <col min="3583" max="3583" width="10.125" style="127" bestFit="1" customWidth="1"/>
    <col min="3584" max="3584" width="10.75" style="127" customWidth="1"/>
    <col min="3585" max="3587" width="9.375" style="127"/>
    <col min="3588" max="3589" width="10.75" style="127" customWidth="1"/>
    <col min="3590" max="3594" width="9.375" style="127"/>
    <col min="3595" max="3595" width="1.625" style="127" bestFit="1" customWidth="1"/>
    <col min="3596" max="3596" width="9.375" style="127"/>
    <col min="3597" max="3597" width="8.875" style="127" customWidth="1"/>
    <col min="3598" max="3598" width="13.125" style="127" customWidth="1"/>
    <col min="3599" max="3599" width="9.375" style="127"/>
    <col min="3600" max="3600" width="9.875" style="127" customWidth="1"/>
    <col min="3601" max="3601" width="11.75" style="127" bestFit="1" customWidth="1"/>
    <col min="3602" max="3831" width="9.375" style="127"/>
    <col min="3832" max="3832" width="5" style="127" customWidth="1"/>
    <col min="3833" max="3833" width="17.875" style="127" bestFit="1" customWidth="1"/>
    <col min="3834" max="3834" width="9.875" style="127" customWidth="1"/>
    <col min="3835" max="3835" width="8.875" style="127" customWidth="1"/>
    <col min="3836" max="3836" width="7.375" style="127" bestFit="1" customWidth="1"/>
    <col min="3837" max="3837" width="10.125" style="127" bestFit="1" customWidth="1"/>
    <col min="3838" max="3838" width="9.375" style="127"/>
    <col min="3839" max="3839" width="10.125" style="127" bestFit="1" customWidth="1"/>
    <col min="3840" max="3840" width="10.75" style="127" customWidth="1"/>
    <col min="3841" max="3843" width="9.375" style="127"/>
    <col min="3844" max="3845" width="10.75" style="127" customWidth="1"/>
    <col min="3846" max="3850" width="9.375" style="127"/>
    <col min="3851" max="3851" width="1.625" style="127" bestFit="1" customWidth="1"/>
    <col min="3852" max="3852" width="9.375" style="127"/>
    <col min="3853" max="3853" width="8.875" style="127" customWidth="1"/>
    <col min="3854" max="3854" width="13.125" style="127" customWidth="1"/>
    <col min="3855" max="3855" width="9.375" style="127"/>
    <col min="3856" max="3856" width="9.875" style="127" customWidth="1"/>
    <col min="3857" max="3857" width="11.75" style="127" bestFit="1" customWidth="1"/>
    <col min="3858" max="4087" width="9.375" style="127"/>
    <col min="4088" max="4088" width="5" style="127" customWidth="1"/>
    <col min="4089" max="4089" width="17.875" style="127" bestFit="1" customWidth="1"/>
    <col min="4090" max="4090" width="9.875" style="127" customWidth="1"/>
    <col min="4091" max="4091" width="8.875" style="127" customWidth="1"/>
    <col min="4092" max="4092" width="7.375" style="127" bestFit="1" customWidth="1"/>
    <col min="4093" max="4093" width="10.125" style="127" bestFit="1" customWidth="1"/>
    <col min="4094" max="4094" width="9.375" style="127"/>
    <col min="4095" max="4095" width="10.125" style="127" bestFit="1" customWidth="1"/>
    <col min="4096" max="4096" width="10.75" style="127" customWidth="1"/>
    <col min="4097" max="4099" width="9.375" style="127"/>
    <col min="4100" max="4101" width="10.75" style="127" customWidth="1"/>
    <col min="4102" max="4106" width="9.375" style="127"/>
    <col min="4107" max="4107" width="1.625" style="127" bestFit="1" customWidth="1"/>
    <col min="4108" max="4108" width="9.375" style="127"/>
    <col min="4109" max="4109" width="8.875" style="127" customWidth="1"/>
    <col min="4110" max="4110" width="13.125" style="127" customWidth="1"/>
    <col min="4111" max="4111" width="9.375" style="127"/>
    <col min="4112" max="4112" width="9.875" style="127" customWidth="1"/>
    <col min="4113" max="4113" width="11.75" style="127" bestFit="1" customWidth="1"/>
    <col min="4114" max="4343" width="9.375" style="127"/>
    <col min="4344" max="4344" width="5" style="127" customWidth="1"/>
    <col min="4345" max="4345" width="17.875" style="127" bestFit="1" customWidth="1"/>
    <col min="4346" max="4346" width="9.875" style="127" customWidth="1"/>
    <col min="4347" max="4347" width="8.875" style="127" customWidth="1"/>
    <col min="4348" max="4348" width="7.375" style="127" bestFit="1" customWidth="1"/>
    <col min="4349" max="4349" width="10.125" style="127" bestFit="1" customWidth="1"/>
    <col min="4350" max="4350" width="9.375" style="127"/>
    <col min="4351" max="4351" width="10.125" style="127" bestFit="1" customWidth="1"/>
    <col min="4352" max="4352" width="10.75" style="127" customWidth="1"/>
    <col min="4353" max="4355" width="9.375" style="127"/>
    <col min="4356" max="4357" width="10.75" style="127" customWidth="1"/>
    <col min="4358" max="4362" width="9.375" style="127"/>
    <col min="4363" max="4363" width="1.625" style="127" bestFit="1" customWidth="1"/>
    <col min="4364" max="4364" width="9.375" style="127"/>
    <col min="4365" max="4365" width="8.875" style="127" customWidth="1"/>
    <col min="4366" max="4366" width="13.125" style="127" customWidth="1"/>
    <col min="4367" max="4367" width="9.375" style="127"/>
    <col min="4368" max="4368" width="9.875" style="127" customWidth="1"/>
    <col min="4369" max="4369" width="11.75" style="127" bestFit="1" customWidth="1"/>
    <col min="4370" max="4599" width="9.375" style="127"/>
    <col min="4600" max="4600" width="5" style="127" customWidth="1"/>
    <col min="4601" max="4601" width="17.875" style="127" bestFit="1" customWidth="1"/>
    <col min="4602" max="4602" width="9.875" style="127" customWidth="1"/>
    <col min="4603" max="4603" width="8.875" style="127" customWidth="1"/>
    <col min="4604" max="4604" width="7.375" style="127" bestFit="1" customWidth="1"/>
    <col min="4605" max="4605" width="10.125" style="127" bestFit="1" customWidth="1"/>
    <col min="4606" max="4606" width="9.375" style="127"/>
    <col min="4607" max="4607" width="10.125" style="127" bestFit="1" customWidth="1"/>
    <col min="4608" max="4608" width="10.75" style="127" customWidth="1"/>
    <col min="4609" max="4611" width="9.375" style="127"/>
    <col min="4612" max="4613" width="10.75" style="127" customWidth="1"/>
    <col min="4614" max="4618" width="9.375" style="127"/>
    <col min="4619" max="4619" width="1.625" style="127" bestFit="1" customWidth="1"/>
    <col min="4620" max="4620" width="9.375" style="127"/>
    <col min="4621" max="4621" width="8.875" style="127" customWidth="1"/>
    <col min="4622" max="4622" width="13.125" style="127" customWidth="1"/>
    <col min="4623" max="4623" width="9.375" style="127"/>
    <col min="4624" max="4624" width="9.875" style="127" customWidth="1"/>
    <col min="4625" max="4625" width="11.75" style="127" bestFit="1" customWidth="1"/>
    <col min="4626" max="4855" width="9.375" style="127"/>
    <col min="4856" max="4856" width="5" style="127" customWidth="1"/>
    <col min="4857" max="4857" width="17.875" style="127" bestFit="1" customWidth="1"/>
    <col min="4858" max="4858" width="9.875" style="127" customWidth="1"/>
    <col min="4859" max="4859" width="8.875" style="127" customWidth="1"/>
    <col min="4860" max="4860" width="7.375" style="127" bestFit="1" customWidth="1"/>
    <col min="4861" max="4861" width="10.125" style="127" bestFit="1" customWidth="1"/>
    <col min="4862" max="4862" width="9.375" style="127"/>
    <col min="4863" max="4863" width="10.125" style="127" bestFit="1" customWidth="1"/>
    <col min="4864" max="4864" width="10.75" style="127" customWidth="1"/>
    <col min="4865" max="4867" width="9.375" style="127"/>
    <col min="4868" max="4869" width="10.75" style="127" customWidth="1"/>
    <col min="4870" max="4874" width="9.375" style="127"/>
    <col min="4875" max="4875" width="1.625" style="127" bestFit="1" customWidth="1"/>
    <col min="4876" max="4876" width="9.375" style="127"/>
    <col min="4877" max="4877" width="8.875" style="127" customWidth="1"/>
    <col min="4878" max="4878" width="13.125" style="127" customWidth="1"/>
    <col min="4879" max="4879" width="9.375" style="127"/>
    <col min="4880" max="4880" width="9.875" style="127" customWidth="1"/>
    <col min="4881" max="4881" width="11.75" style="127" bestFit="1" customWidth="1"/>
    <col min="4882" max="5111" width="9.375" style="127"/>
    <col min="5112" max="5112" width="5" style="127" customWidth="1"/>
    <col min="5113" max="5113" width="17.875" style="127" bestFit="1" customWidth="1"/>
    <col min="5114" max="5114" width="9.875" style="127" customWidth="1"/>
    <col min="5115" max="5115" width="8.875" style="127" customWidth="1"/>
    <col min="5116" max="5116" width="7.375" style="127" bestFit="1" customWidth="1"/>
    <col min="5117" max="5117" width="10.125" style="127" bestFit="1" customWidth="1"/>
    <col min="5118" max="5118" width="9.375" style="127"/>
    <col min="5119" max="5119" width="10.125" style="127" bestFit="1" customWidth="1"/>
    <col min="5120" max="5120" width="10.75" style="127" customWidth="1"/>
    <col min="5121" max="5123" width="9.375" style="127"/>
    <col min="5124" max="5125" width="10.75" style="127" customWidth="1"/>
    <col min="5126" max="5130" width="9.375" style="127"/>
    <col min="5131" max="5131" width="1.625" style="127" bestFit="1" customWidth="1"/>
    <col min="5132" max="5132" width="9.375" style="127"/>
    <col min="5133" max="5133" width="8.875" style="127" customWidth="1"/>
    <col min="5134" max="5134" width="13.125" style="127" customWidth="1"/>
    <col min="5135" max="5135" width="9.375" style="127"/>
    <col min="5136" max="5136" width="9.875" style="127" customWidth="1"/>
    <col min="5137" max="5137" width="11.75" style="127" bestFit="1" customWidth="1"/>
    <col min="5138" max="5367" width="9.375" style="127"/>
    <col min="5368" max="5368" width="5" style="127" customWidth="1"/>
    <col min="5369" max="5369" width="17.875" style="127" bestFit="1" customWidth="1"/>
    <col min="5370" max="5370" width="9.875" style="127" customWidth="1"/>
    <col min="5371" max="5371" width="8.875" style="127" customWidth="1"/>
    <col min="5372" max="5372" width="7.375" style="127" bestFit="1" customWidth="1"/>
    <col min="5373" max="5373" width="10.125" style="127" bestFit="1" customWidth="1"/>
    <col min="5374" max="5374" width="9.375" style="127"/>
    <col min="5375" max="5375" width="10.125" style="127" bestFit="1" customWidth="1"/>
    <col min="5376" max="5376" width="10.75" style="127" customWidth="1"/>
    <col min="5377" max="5379" width="9.375" style="127"/>
    <col min="5380" max="5381" width="10.75" style="127" customWidth="1"/>
    <col min="5382" max="5386" width="9.375" style="127"/>
    <col min="5387" max="5387" width="1.625" style="127" bestFit="1" customWidth="1"/>
    <col min="5388" max="5388" width="9.375" style="127"/>
    <col min="5389" max="5389" width="8.875" style="127" customWidth="1"/>
    <col min="5390" max="5390" width="13.125" style="127" customWidth="1"/>
    <col min="5391" max="5391" width="9.375" style="127"/>
    <col min="5392" max="5392" width="9.875" style="127" customWidth="1"/>
    <col min="5393" max="5393" width="11.75" style="127" bestFit="1" customWidth="1"/>
    <col min="5394" max="5623" width="9.375" style="127"/>
    <col min="5624" max="5624" width="5" style="127" customWidth="1"/>
    <col min="5625" max="5625" width="17.875" style="127" bestFit="1" customWidth="1"/>
    <col min="5626" max="5626" width="9.875" style="127" customWidth="1"/>
    <col min="5627" max="5627" width="8.875" style="127" customWidth="1"/>
    <col min="5628" max="5628" width="7.375" style="127" bestFit="1" customWidth="1"/>
    <col min="5629" max="5629" width="10.125" style="127" bestFit="1" customWidth="1"/>
    <col min="5630" max="5630" width="9.375" style="127"/>
    <col min="5631" max="5631" width="10.125" style="127" bestFit="1" customWidth="1"/>
    <col min="5632" max="5632" width="10.75" style="127" customWidth="1"/>
    <col min="5633" max="5635" width="9.375" style="127"/>
    <col min="5636" max="5637" width="10.75" style="127" customWidth="1"/>
    <col min="5638" max="5642" width="9.375" style="127"/>
    <col min="5643" max="5643" width="1.625" style="127" bestFit="1" customWidth="1"/>
    <col min="5644" max="5644" width="9.375" style="127"/>
    <col min="5645" max="5645" width="8.875" style="127" customWidth="1"/>
    <col min="5646" max="5646" width="13.125" style="127" customWidth="1"/>
    <col min="5647" max="5647" width="9.375" style="127"/>
    <col min="5648" max="5648" width="9.875" style="127" customWidth="1"/>
    <col min="5649" max="5649" width="11.75" style="127" bestFit="1" customWidth="1"/>
    <col min="5650" max="5879" width="9.375" style="127"/>
    <col min="5880" max="5880" width="5" style="127" customWidth="1"/>
    <col min="5881" max="5881" width="17.875" style="127" bestFit="1" customWidth="1"/>
    <col min="5882" max="5882" width="9.875" style="127" customWidth="1"/>
    <col min="5883" max="5883" width="8.875" style="127" customWidth="1"/>
    <col min="5884" max="5884" width="7.375" style="127" bestFit="1" customWidth="1"/>
    <col min="5885" max="5885" width="10.125" style="127" bestFit="1" customWidth="1"/>
    <col min="5886" max="5886" width="9.375" style="127"/>
    <col min="5887" max="5887" width="10.125" style="127" bestFit="1" customWidth="1"/>
    <col min="5888" max="5888" width="10.75" style="127" customWidth="1"/>
    <col min="5889" max="5891" width="9.375" style="127"/>
    <col min="5892" max="5893" width="10.75" style="127" customWidth="1"/>
    <col min="5894" max="5898" width="9.375" style="127"/>
    <col min="5899" max="5899" width="1.625" style="127" bestFit="1" customWidth="1"/>
    <col min="5900" max="5900" width="9.375" style="127"/>
    <col min="5901" max="5901" width="8.875" style="127" customWidth="1"/>
    <col min="5902" max="5902" width="13.125" style="127" customWidth="1"/>
    <col min="5903" max="5903" width="9.375" style="127"/>
    <col min="5904" max="5904" width="9.875" style="127" customWidth="1"/>
    <col min="5905" max="5905" width="11.75" style="127" bestFit="1" customWidth="1"/>
    <col min="5906" max="6135" width="9.375" style="127"/>
    <col min="6136" max="6136" width="5" style="127" customWidth="1"/>
    <col min="6137" max="6137" width="17.875" style="127" bestFit="1" customWidth="1"/>
    <col min="6138" max="6138" width="9.875" style="127" customWidth="1"/>
    <col min="6139" max="6139" width="8.875" style="127" customWidth="1"/>
    <col min="6140" max="6140" width="7.375" style="127" bestFit="1" customWidth="1"/>
    <col min="6141" max="6141" width="10.125" style="127" bestFit="1" customWidth="1"/>
    <col min="6142" max="6142" width="9.375" style="127"/>
    <col min="6143" max="6143" width="10.125" style="127" bestFit="1" customWidth="1"/>
    <col min="6144" max="6144" width="10.75" style="127" customWidth="1"/>
    <col min="6145" max="6147" width="9.375" style="127"/>
    <col min="6148" max="6149" width="10.75" style="127" customWidth="1"/>
    <col min="6150" max="6154" width="9.375" style="127"/>
    <col min="6155" max="6155" width="1.625" style="127" bestFit="1" customWidth="1"/>
    <col min="6156" max="6156" width="9.375" style="127"/>
    <col min="6157" max="6157" width="8.875" style="127" customWidth="1"/>
    <col min="6158" max="6158" width="13.125" style="127" customWidth="1"/>
    <col min="6159" max="6159" width="9.375" style="127"/>
    <col min="6160" max="6160" width="9.875" style="127" customWidth="1"/>
    <col min="6161" max="6161" width="11.75" style="127" bestFit="1" customWidth="1"/>
    <col min="6162" max="6391" width="9.375" style="127"/>
    <col min="6392" max="6392" width="5" style="127" customWidth="1"/>
    <col min="6393" max="6393" width="17.875" style="127" bestFit="1" customWidth="1"/>
    <col min="6394" max="6394" width="9.875" style="127" customWidth="1"/>
    <col min="6395" max="6395" width="8.875" style="127" customWidth="1"/>
    <col min="6396" max="6396" width="7.375" style="127" bestFit="1" customWidth="1"/>
    <col min="6397" max="6397" width="10.125" style="127" bestFit="1" customWidth="1"/>
    <col min="6398" max="6398" width="9.375" style="127"/>
    <col min="6399" max="6399" width="10.125" style="127" bestFit="1" customWidth="1"/>
    <col min="6400" max="6400" width="10.75" style="127" customWidth="1"/>
    <col min="6401" max="6403" width="9.375" style="127"/>
    <col min="6404" max="6405" width="10.75" style="127" customWidth="1"/>
    <col min="6406" max="6410" width="9.375" style="127"/>
    <col min="6411" max="6411" width="1.625" style="127" bestFit="1" customWidth="1"/>
    <col min="6412" max="6412" width="9.375" style="127"/>
    <col min="6413" max="6413" width="8.875" style="127" customWidth="1"/>
    <col min="6414" max="6414" width="13.125" style="127" customWidth="1"/>
    <col min="6415" max="6415" width="9.375" style="127"/>
    <col min="6416" max="6416" width="9.875" style="127" customWidth="1"/>
    <col min="6417" max="6417" width="11.75" style="127" bestFit="1" customWidth="1"/>
    <col min="6418" max="6647" width="9.375" style="127"/>
    <col min="6648" max="6648" width="5" style="127" customWidth="1"/>
    <col min="6649" max="6649" width="17.875" style="127" bestFit="1" customWidth="1"/>
    <col min="6650" max="6650" width="9.875" style="127" customWidth="1"/>
    <col min="6651" max="6651" width="8.875" style="127" customWidth="1"/>
    <col min="6652" max="6652" width="7.375" style="127" bestFit="1" customWidth="1"/>
    <col min="6653" max="6653" width="10.125" style="127" bestFit="1" customWidth="1"/>
    <col min="6654" max="6654" width="9.375" style="127"/>
    <col min="6655" max="6655" width="10.125" style="127" bestFit="1" customWidth="1"/>
    <col min="6656" max="6656" width="10.75" style="127" customWidth="1"/>
    <col min="6657" max="6659" width="9.375" style="127"/>
    <col min="6660" max="6661" width="10.75" style="127" customWidth="1"/>
    <col min="6662" max="6666" width="9.375" style="127"/>
    <col min="6667" max="6667" width="1.625" style="127" bestFit="1" customWidth="1"/>
    <col min="6668" max="6668" width="9.375" style="127"/>
    <col min="6669" max="6669" width="8.875" style="127" customWidth="1"/>
    <col min="6670" max="6670" width="13.125" style="127" customWidth="1"/>
    <col min="6671" max="6671" width="9.375" style="127"/>
    <col min="6672" max="6672" width="9.875" style="127" customWidth="1"/>
    <col min="6673" max="6673" width="11.75" style="127" bestFit="1" customWidth="1"/>
    <col min="6674" max="6903" width="9.375" style="127"/>
    <col min="6904" max="6904" width="5" style="127" customWidth="1"/>
    <col min="6905" max="6905" width="17.875" style="127" bestFit="1" customWidth="1"/>
    <col min="6906" max="6906" width="9.875" style="127" customWidth="1"/>
    <col min="6907" max="6907" width="8.875" style="127" customWidth="1"/>
    <col min="6908" max="6908" width="7.375" style="127" bestFit="1" customWidth="1"/>
    <col min="6909" max="6909" width="10.125" style="127" bestFit="1" customWidth="1"/>
    <col min="6910" max="6910" width="9.375" style="127"/>
    <col min="6911" max="6911" width="10.125" style="127" bestFit="1" customWidth="1"/>
    <col min="6912" max="6912" width="10.75" style="127" customWidth="1"/>
    <col min="6913" max="6915" width="9.375" style="127"/>
    <col min="6916" max="6917" width="10.75" style="127" customWidth="1"/>
    <col min="6918" max="6922" width="9.375" style="127"/>
    <col min="6923" max="6923" width="1.625" style="127" bestFit="1" customWidth="1"/>
    <col min="6924" max="6924" width="9.375" style="127"/>
    <col min="6925" max="6925" width="8.875" style="127" customWidth="1"/>
    <col min="6926" max="6926" width="13.125" style="127" customWidth="1"/>
    <col min="6927" max="6927" width="9.375" style="127"/>
    <col min="6928" max="6928" width="9.875" style="127" customWidth="1"/>
    <col min="6929" max="6929" width="11.75" style="127" bestFit="1" customWidth="1"/>
    <col min="6930" max="7159" width="9.375" style="127"/>
    <col min="7160" max="7160" width="5" style="127" customWidth="1"/>
    <col min="7161" max="7161" width="17.875" style="127" bestFit="1" customWidth="1"/>
    <col min="7162" max="7162" width="9.875" style="127" customWidth="1"/>
    <col min="7163" max="7163" width="8.875" style="127" customWidth="1"/>
    <col min="7164" max="7164" width="7.375" style="127" bestFit="1" customWidth="1"/>
    <col min="7165" max="7165" width="10.125" style="127" bestFit="1" customWidth="1"/>
    <col min="7166" max="7166" width="9.375" style="127"/>
    <col min="7167" max="7167" width="10.125" style="127" bestFit="1" customWidth="1"/>
    <col min="7168" max="7168" width="10.75" style="127" customWidth="1"/>
    <col min="7169" max="7171" width="9.375" style="127"/>
    <col min="7172" max="7173" width="10.75" style="127" customWidth="1"/>
    <col min="7174" max="7178" width="9.375" style="127"/>
    <col min="7179" max="7179" width="1.625" style="127" bestFit="1" customWidth="1"/>
    <col min="7180" max="7180" width="9.375" style="127"/>
    <col min="7181" max="7181" width="8.875" style="127" customWidth="1"/>
    <col min="7182" max="7182" width="13.125" style="127" customWidth="1"/>
    <col min="7183" max="7183" width="9.375" style="127"/>
    <col min="7184" max="7184" width="9.875" style="127" customWidth="1"/>
    <col min="7185" max="7185" width="11.75" style="127" bestFit="1" customWidth="1"/>
    <col min="7186" max="7415" width="9.375" style="127"/>
    <col min="7416" max="7416" width="5" style="127" customWidth="1"/>
    <col min="7417" max="7417" width="17.875" style="127" bestFit="1" customWidth="1"/>
    <col min="7418" max="7418" width="9.875" style="127" customWidth="1"/>
    <col min="7419" max="7419" width="8.875" style="127" customWidth="1"/>
    <col min="7420" max="7420" width="7.375" style="127" bestFit="1" customWidth="1"/>
    <col min="7421" max="7421" width="10.125" style="127" bestFit="1" customWidth="1"/>
    <col min="7422" max="7422" width="9.375" style="127"/>
    <col min="7423" max="7423" width="10.125" style="127" bestFit="1" customWidth="1"/>
    <col min="7424" max="7424" width="10.75" style="127" customWidth="1"/>
    <col min="7425" max="7427" width="9.375" style="127"/>
    <col min="7428" max="7429" width="10.75" style="127" customWidth="1"/>
    <col min="7430" max="7434" width="9.375" style="127"/>
    <col min="7435" max="7435" width="1.625" style="127" bestFit="1" customWidth="1"/>
    <col min="7436" max="7436" width="9.375" style="127"/>
    <col min="7437" max="7437" width="8.875" style="127" customWidth="1"/>
    <col min="7438" max="7438" width="13.125" style="127" customWidth="1"/>
    <col min="7439" max="7439" width="9.375" style="127"/>
    <col min="7440" max="7440" width="9.875" style="127" customWidth="1"/>
    <col min="7441" max="7441" width="11.75" style="127" bestFit="1" customWidth="1"/>
    <col min="7442" max="7671" width="9.375" style="127"/>
    <col min="7672" max="7672" width="5" style="127" customWidth="1"/>
    <col min="7673" max="7673" width="17.875" style="127" bestFit="1" customWidth="1"/>
    <col min="7674" max="7674" width="9.875" style="127" customWidth="1"/>
    <col min="7675" max="7675" width="8.875" style="127" customWidth="1"/>
    <col min="7676" max="7676" width="7.375" style="127" bestFit="1" customWidth="1"/>
    <col min="7677" max="7677" width="10.125" style="127" bestFit="1" customWidth="1"/>
    <col min="7678" max="7678" width="9.375" style="127"/>
    <col min="7679" max="7679" width="10.125" style="127" bestFit="1" customWidth="1"/>
    <col min="7680" max="7680" width="10.75" style="127" customWidth="1"/>
    <col min="7681" max="7683" width="9.375" style="127"/>
    <col min="7684" max="7685" width="10.75" style="127" customWidth="1"/>
    <col min="7686" max="7690" width="9.375" style="127"/>
    <col min="7691" max="7691" width="1.625" style="127" bestFit="1" customWidth="1"/>
    <col min="7692" max="7692" width="9.375" style="127"/>
    <col min="7693" max="7693" width="8.875" style="127" customWidth="1"/>
    <col min="7694" max="7694" width="13.125" style="127" customWidth="1"/>
    <col min="7695" max="7695" width="9.375" style="127"/>
    <col min="7696" max="7696" width="9.875" style="127" customWidth="1"/>
    <col min="7697" max="7697" width="11.75" style="127" bestFit="1" customWidth="1"/>
    <col min="7698" max="7927" width="9.375" style="127"/>
    <col min="7928" max="7928" width="5" style="127" customWidth="1"/>
    <col min="7929" max="7929" width="17.875" style="127" bestFit="1" customWidth="1"/>
    <col min="7930" max="7930" width="9.875" style="127" customWidth="1"/>
    <col min="7931" max="7931" width="8.875" style="127" customWidth="1"/>
    <col min="7932" max="7932" width="7.375" style="127" bestFit="1" customWidth="1"/>
    <col min="7933" max="7933" width="10.125" style="127" bestFit="1" customWidth="1"/>
    <col min="7934" max="7934" width="9.375" style="127"/>
    <col min="7935" max="7935" width="10.125" style="127" bestFit="1" customWidth="1"/>
    <col min="7936" max="7936" width="10.75" style="127" customWidth="1"/>
    <col min="7937" max="7939" width="9.375" style="127"/>
    <col min="7940" max="7941" width="10.75" style="127" customWidth="1"/>
    <col min="7942" max="7946" width="9.375" style="127"/>
    <col min="7947" max="7947" width="1.625" style="127" bestFit="1" customWidth="1"/>
    <col min="7948" max="7948" width="9.375" style="127"/>
    <col min="7949" max="7949" width="8.875" style="127" customWidth="1"/>
    <col min="7950" max="7950" width="13.125" style="127" customWidth="1"/>
    <col min="7951" max="7951" width="9.375" style="127"/>
    <col min="7952" max="7952" width="9.875" style="127" customWidth="1"/>
    <col min="7953" max="7953" width="11.75" style="127" bestFit="1" customWidth="1"/>
    <col min="7954" max="8183" width="9.375" style="127"/>
    <col min="8184" max="8184" width="5" style="127" customWidth="1"/>
    <col min="8185" max="8185" width="17.875" style="127" bestFit="1" customWidth="1"/>
    <col min="8186" max="8186" width="9.875" style="127" customWidth="1"/>
    <col min="8187" max="8187" width="8.875" style="127" customWidth="1"/>
    <col min="8188" max="8188" width="7.375" style="127" bestFit="1" customWidth="1"/>
    <col min="8189" max="8189" width="10.125" style="127" bestFit="1" customWidth="1"/>
    <col min="8190" max="8190" width="9.375" style="127"/>
    <col min="8191" max="8191" width="10.125" style="127" bestFit="1" customWidth="1"/>
    <col min="8192" max="8192" width="10.75" style="127" customWidth="1"/>
    <col min="8193" max="8195" width="9.375" style="127"/>
    <col min="8196" max="8197" width="10.75" style="127" customWidth="1"/>
    <col min="8198" max="8202" width="9.375" style="127"/>
    <col min="8203" max="8203" width="1.625" style="127" bestFit="1" customWidth="1"/>
    <col min="8204" max="8204" width="9.375" style="127"/>
    <col min="8205" max="8205" width="8.875" style="127" customWidth="1"/>
    <col min="8206" max="8206" width="13.125" style="127" customWidth="1"/>
    <col min="8207" max="8207" width="9.375" style="127"/>
    <col min="8208" max="8208" width="9.875" style="127" customWidth="1"/>
    <col min="8209" max="8209" width="11.75" style="127" bestFit="1" customWidth="1"/>
    <col min="8210" max="8439" width="9.375" style="127"/>
    <col min="8440" max="8440" width="5" style="127" customWidth="1"/>
    <col min="8441" max="8441" width="17.875" style="127" bestFit="1" customWidth="1"/>
    <col min="8442" max="8442" width="9.875" style="127" customWidth="1"/>
    <col min="8443" max="8443" width="8.875" style="127" customWidth="1"/>
    <col min="8444" max="8444" width="7.375" style="127" bestFit="1" customWidth="1"/>
    <col min="8445" max="8445" width="10.125" style="127" bestFit="1" customWidth="1"/>
    <col min="8446" max="8446" width="9.375" style="127"/>
    <col min="8447" max="8447" width="10.125" style="127" bestFit="1" customWidth="1"/>
    <col min="8448" max="8448" width="10.75" style="127" customWidth="1"/>
    <col min="8449" max="8451" width="9.375" style="127"/>
    <col min="8452" max="8453" width="10.75" style="127" customWidth="1"/>
    <col min="8454" max="8458" width="9.375" style="127"/>
    <col min="8459" max="8459" width="1.625" style="127" bestFit="1" customWidth="1"/>
    <col min="8460" max="8460" width="9.375" style="127"/>
    <col min="8461" max="8461" width="8.875" style="127" customWidth="1"/>
    <col min="8462" max="8462" width="13.125" style="127" customWidth="1"/>
    <col min="8463" max="8463" width="9.375" style="127"/>
    <col min="8464" max="8464" width="9.875" style="127" customWidth="1"/>
    <col min="8465" max="8465" width="11.75" style="127" bestFit="1" customWidth="1"/>
    <col min="8466" max="8695" width="9.375" style="127"/>
    <col min="8696" max="8696" width="5" style="127" customWidth="1"/>
    <col min="8697" max="8697" width="17.875" style="127" bestFit="1" customWidth="1"/>
    <col min="8698" max="8698" width="9.875" style="127" customWidth="1"/>
    <col min="8699" max="8699" width="8.875" style="127" customWidth="1"/>
    <col min="8700" max="8700" width="7.375" style="127" bestFit="1" customWidth="1"/>
    <col min="8701" max="8701" width="10.125" style="127" bestFit="1" customWidth="1"/>
    <col min="8702" max="8702" width="9.375" style="127"/>
    <col min="8703" max="8703" width="10.125" style="127" bestFit="1" customWidth="1"/>
    <col min="8704" max="8704" width="10.75" style="127" customWidth="1"/>
    <col min="8705" max="8707" width="9.375" style="127"/>
    <col min="8708" max="8709" width="10.75" style="127" customWidth="1"/>
    <col min="8710" max="8714" width="9.375" style="127"/>
    <col min="8715" max="8715" width="1.625" style="127" bestFit="1" customWidth="1"/>
    <col min="8716" max="8716" width="9.375" style="127"/>
    <col min="8717" max="8717" width="8.875" style="127" customWidth="1"/>
    <col min="8718" max="8718" width="13.125" style="127" customWidth="1"/>
    <col min="8719" max="8719" width="9.375" style="127"/>
    <col min="8720" max="8720" width="9.875" style="127" customWidth="1"/>
    <col min="8721" max="8721" width="11.75" style="127" bestFit="1" customWidth="1"/>
    <col min="8722" max="8951" width="9.375" style="127"/>
    <col min="8952" max="8952" width="5" style="127" customWidth="1"/>
    <col min="8953" max="8953" width="17.875" style="127" bestFit="1" customWidth="1"/>
    <col min="8954" max="8954" width="9.875" style="127" customWidth="1"/>
    <col min="8955" max="8955" width="8.875" style="127" customWidth="1"/>
    <col min="8956" max="8956" width="7.375" style="127" bestFit="1" customWidth="1"/>
    <col min="8957" max="8957" width="10.125" style="127" bestFit="1" customWidth="1"/>
    <col min="8958" max="8958" width="9.375" style="127"/>
    <col min="8959" max="8959" width="10.125" style="127" bestFit="1" customWidth="1"/>
    <col min="8960" max="8960" width="10.75" style="127" customWidth="1"/>
    <col min="8961" max="8963" width="9.375" style="127"/>
    <col min="8964" max="8965" width="10.75" style="127" customWidth="1"/>
    <col min="8966" max="8970" width="9.375" style="127"/>
    <col min="8971" max="8971" width="1.625" style="127" bestFit="1" customWidth="1"/>
    <col min="8972" max="8972" width="9.375" style="127"/>
    <col min="8973" max="8973" width="8.875" style="127" customWidth="1"/>
    <col min="8974" max="8974" width="13.125" style="127" customWidth="1"/>
    <col min="8975" max="8975" width="9.375" style="127"/>
    <col min="8976" max="8976" width="9.875" style="127" customWidth="1"/>
    <col min="8977" max="8977" width="11.75" style="127" bestFit="1" customWidth="1"/>
    <col min="8978" max="9207" width="9.375" style="127"/>
    <col min="9208" max="9208" width="5" style="127" customWidth="1"/>
    <col min="9209" max="9209" width="17.875" style="127" bestFit="1" customWidth="1"/>
    <col min="9210" max="9210" width="9.875" style="127" customWidth="1"/>
    <col min="9211" max="9211" width="8.875" style="127" customWidth="1"/>
    <col min="9212" max="9212" width="7.375" style="127" bestFit="1" customWidth="1"/>
    <col min="9213" max="9213" width="10.125" style="127" bestFit="1" customWidth="1"/>
    <col min="9214" max="9214" width="9.375" style="127"/>
    <col min="9215" max="9215" width="10.125" style="127" bestFit="1" customWidth="1"/>
    <col min="9216" max="9216" width="10.75" style="127" customWidth="1"/>
    <col min="9217" max="9219" width="9.375" style="127"/>
    <col min="9220" max="9221" width="10.75" style="127" customWidth="1"/>
    <col min="9222" max="9226" width="9.375" style="127"/>
    <col min="9227" max="9227" width="1.625" style="127" bestFit="1" customWidth="1"/>
    <col min="9228" max="9228" width="9.375" style="127"/>
    <col min="9229" max="9229" width="8.875" style="127" customWidth="1"/>
    <col min="9230" max="9230" width="13.125" style="127" customWidth="1"/>
    <col min="9231" max="9231" width="9.375" style="127"/>
    <col min="9232" max="9232" width="9.875" style="127" customWidth="1"/>
    <col min="9233" max="9233" width="11.75" style="127" bestFit="1" customWidth="1"/>
    <col min="9234" max="9463" width="9.375" style="127"/>
    <col min="9464" max="9464" width="5" style="127" customWidth="1"/>
    <col min="9465" max="9465" width="17.875" style="127" bestFit="1" customWidth="1"/>
    <col min="9466" max="9466" width="9.875" style="127" customWidth="1"/>
    <col min="9467" max="9467" width="8.875" style="127" customWidth="1"/>
    <col min="9468" max="9468" width="7.375" style="127" bestFit="1" customWidth="1"/>
    <col min="9469" max="9469" width="10.125" style="127" bestFit="1" customWidth="1"/>
    <col min="9470" max="9470" width="9.375" style="127"/>
    <col min="9471" max="9471" width="10.125" style="127" bestFit="1" customWidth="1"/>
    <col min="9472" max="9472" width="10.75" style="127" customWidth="1"/>
    <col min="9473" max="9475" width="9.375" style="127"/>
    <col min="9476" max="9477" width="10.75" style="127" customWidth="1"/>
    <col min="9478" max="9482" width="9.375" style="127"/>
    <col min="9483" max="9483" width="1.625" style="127" bestFit="1" customWidth="1"/>
    <col min="9484" max="9484" width="9.375" style="127"/>
    <col min="9485" max="9485" width="8.875" style="127" customWidth="1"/>
    <col min="9486" max="9486" width="13.125" style="127" customWidth="1"/>
    <col min="9487" max="9487" width="9.375" style="127"/>
    <col min="9488" max="9488" width="9.875" style="127" customWidth="1"/>
    <col min="9489" max="9489" width="11.75" style="127" bestFit="1" customWidth="1"/>
    <col min="9490" max="9719" width="9.375" style="127"/>
    <col min="9720" max="9720" width="5" style="127" customWidth="1"/>
    <col min="9721" max="9721" width="17.875" style="127" bestFit="1" customWidth="1"/>
    <col min="9722" max="9722" width="9.875" style="127" customWidth="1"/>
    <col min="9723" max="9723" width="8.875" style="127" customWidth="1"/>
    <col min="9724" max="9724" width="7.375" style="127" bestFit="1" customWidth="1"/>
    <col min="9725" max="9725" width="10.125" style="127" bestFit="1" customWidth="1"/>
    <col min="9726" max="9726" width="9.375" style="127"/>
    <col min="9727" max="9727" width="10.125" style="127" bestFit="1" customWidth="1"/>
    <col min="9728" max="9728" width="10.75" style="127" customWidth="1"/>
    <col min="9729" max="9731" width="9.375" style="127"/>
    <col min="9732" max="9733" width="10.75" style="127" customWidth="1"/>
    <col min="9734" max="9738" width="9.375" style="127"/>
    <col min="9739" max="9739" width="1.625" style="127" bestFit="1" customWidth="1"/>
    <col min="9740" max="9740" width="9.375" style="127"/>
    <col min="9741" max="9741" width="8.875" style="127" customWidth="1"/>
    <col min="9742" max="9742" width="13.125" style="127" customWidth="1"/>
    <col min="9743" max="9743" width="9.375" style="127"/>
    <col min="9744" max="9744" width="9.875" style="127" customWidth="1"/>
    <col min="9745" max="9745" width="11.75" style="127" bestFit="1" customWidth="1"/>
    <col min="9746" max="9975" width="9.375" style="127"/>
    <col min="9976" max="9976" width="5" style="127" customWidth="1"/>
    <col min="9977" max="9977" width="17.875" style="127" bestFit="1" customWidth="1"/>
    <col min="9978" max="9978" width="9.875" style="127" customWidth="1"/>
    <col min="9979" max="9979" width="8.875" style="127" customWidth="1"/>
    <col min="9980" max="9980" width="7.375" style="127" bestFit="1" customWidth="1"/>
    <col min="9981" max="9981" width="10.125" style="127" bestFit="1" customWidth="1"/>
    <col min="9982" max="9982" width="9.375" style="127"/>
    <col min="9983" max="9983" width="10.125" style="127" bestFit="1" customWidth="1"/>
    <col min="9984" max="9984" width="10.75" style="127" customWidth="1"/>
    <col min="9985" max="9987" width="9.375" style="127"/>
    <col min="9988" max="9989" width="10.75" style="127" customWidth="1"/>
    <col min="9990" max="9994" width="9.375" style="127"/>
    <col min="9995" max="9995" width="1.625" style="127" bestFit="1" customWidth="1"/>
    <col min="9996" max="9996" width="9.375" style="127"/>
    <col min="9997" max="9997" width="8.875" style="127" customWidth="1"/>
    <col min="9998" max="9998" width="13.125" style="127" customWidth="1"/>
    <col min="9999" max="9999" width="9.375" style="127"/>
    <col min="10000" max="10000" width="9.875" style="127" customWidth="1"/>
    <col min="10001" max="10001" width="11.75" style="127" bestFit="1" customWidth="1"/>
    <col min="10002" max="10231" width="9.375" style="127"/>
    <col min="10232" max="10232" width="5" style="127" customWidth="1"/>
    <col min="10233" max="10233" width="17.875" style="127" bestFit="1" customWidth="1"/>
    <col min="10234" max="10234" width="9.875" style="127" customWidth="1"/>
    <col min="10235" max="10235" width="8.875" style="127" customWidth="1"/>
    <col min="10236" max="10236" width="7.375" style="127" bestFit="1" customWidth="1"/>
    <col min="10237" max="10237" width="10.125" style="127" bestFit="1" customWidth="1"/>
    <col min="10238" max="10238" width="9.375" style="127"/>
    <col min="10239" max="10239" width="10.125" style="127" bestFit="1" customWidth="1"/>
    <col min="10240" max="10240" width="10.75" style="127" customWidth="1"/>
    <col min="10241" max="10243" width="9.375" style="127"/>
    <col min="10244" max="10245" width="10.75" style="127" customWidth="1"/>
    <col min="10246" max="10250" width="9.375" style="127"/>
    <col min="10251" max="10251" width="1.625" style="127" bestFit="1" customWidth="1"/>
    <col min="10252" max="10252" width="9.375" style="127"/>
    <col min="10253" max="10253" width="8.875" style="127" customWidth="1"/>
    <col min="10254" max="10254" width="13.125" style="127" customWidth="1"/>
    <col min="10255" max="10255" width="9.375" style="127"/>
    <col min="10256" max="10256" width="9.875" style="127" customWidth="1"/>
    <col min="10257" max="10257" width="11.75" style="127" bestFit="1" customWidth="1"/>
    <col min="10258" max="10487" width="9.375" style="127"/>
    <col min="10488" max="10488" width="5" style="127" customWidth="1"/>
    <col min="10489" max="10489" width="17.875" style="127" bestFit="1" customWidth="1"/>
    <col min="10490" max="10490" width="9.875" style="127" customWidth="1"/>
    <col min="10491" max="10491" width="8.875" style="127" customWidth="1"/>
    <col min="10492" max="10492" width="7.375" style="127" bestFit="1" customWidth="1"/>
    <col min="10493" max="10493" width="10.125" style="127" bestFit="1" customWidth="1"/>
    <col min="10494" max="10494" width="9.375" style="127"/>
    <col min="10495" max="10495" width="10.125" style="127" bestFit="1" customWidth="1"/>
    <col min="10496" max="10496" width="10.75" style="127" customWidth="1"/>
    <col min="10497" max="10499" width="9.375" style="127"/>
    <col min="10500" max="10501" width="10.75" style="127" customWidth="1"/>
    <col min="10502" max="10506" width="9.375" style="127"/>
    <col min="10507" max="10507" width="1.625" style="127" bestFit="1" customWidth="1"/>
    <col min="10508" max="10508" width="9.375" style="127"/>
    <col min="10509" max="10509" width="8.875" style="127" customWidth="1"/>
    <col min="10510" max="10510" width="13.125" style="127" customWidth="1"/>
    <col min="10511" max="10511" width="9.375" style="127"/>
    <col min="10512" max="10512" width="9.875" style="127" customWidth="1"/>
    <col min="10513" max="10513" width="11.75" style="127" bestFit="1" customWidth="1"/>
    <col min="10514" max="10743" width="9.375" style="127"/>
    <col min="10744" max="10744" width="5" style="127" customWidth="1"/>
    <col min="10745" max="10745" width="17.875" style="127" bestFit="1" customWidth="1"/>
    <col min="10746" max="10746" width="9.875" style="127" customWidth="1"/>
    <col min="10747" max="10747" width="8.875" style="127" customWidth="1"/>
    <col min="10748" max="10748" width="7.375" style="127" bestFit="1" customWidth="1"/>
    <col min="10749" max="10749" width="10.125" style="127" bestFit="1" customWidth="1"/>
    <col min="10750" max="10750" width="9.375" style="127"/>
    <col min="10751" max="10751" width="10.125" style="127" bestFit="1" customWidth="1"/>
    <col min="10752" max="10752" width="10.75" style="127" customWidth="1"/>
    <col min="10753" max="10755" width="9.375" style="127"/>
    <col min="10756" max="10757" width="10.75" style="127" customWidth="1"/>
    <col min="10758" max="10762" width="9.375" style="127"/>
    <col min="10763" max="10763" width="1.625" style="127" bestFit="1" customWidth="1"/>
    <col min="10764" max="10764" width="9.375" style="127"/>
    <col min="10765" max="10765" width="8.875" style="127" customWidth="1"/>
    <col min="10766" max="10766" width="13.125" style="127" customWidth="1"/>
    <col min="10767" max="10767" width="9.375" style="127"/>
    <col min="10768" max="10768" width="9.875" style="127" customWidth="1"/>
    <col min="10769" max="10769" width="11.75" style="127" bestFit="1" customWidth="1"/>
    <col min="10770" max="10999" width="9.375" style="127"/>
    <col min="11000" max="11000" width="5" style="127" customWidth="1"/>
    <col min="11001" max="11001" width="17.875" style="127" bestFit="1" customWidth="1"/>
    <col min="11002" max="11002" width="9.875" style="127" customWidth="1"/>
    <col min="11003" max="11003" width="8.875" style="127" customWidth="1"/>
    <col min="11004" max="11004" width="7.375" style="127" bestFit="1" customWidth="1"/>
    <col min="11005" max="11005" width="10.125" style="127" bestFit="1" customWidth="1"/>
    <col min="11006" max="11006" width="9.375" style="127"/>
    <col min="11007" max="11007" width="10.125" style="127" bestFit="1" customWidth="1"/>
    <col min="11008" max="11008" width="10.75" style="127" customWidth="1"/>
    <col min="11009" max="11011" width="9.375" style="127"/>
    <col min="11012" max="11013" width="10.75" style="127" customWidth="1"/>
    <col min="11014" max="11018" width="9.375" style="127"/>
    <col min="11019" max="11019" width="1.625" style="127" bestFit="1" customWidth="1"/>
    <col min="11020" max="11020" width="9.375" style="127"/>
    <col min="11021" max="11021" width="8.875" style="127" customWidth="1"/>
    <col min="11022" max="11022" width="13.125" style="127" customWidth="1"/>
    <col min="11023" max="11023" width="9.375" style="127"/>
    <col min="11024" max="11024" width="9.875" style="127" customWidth="1"/>
    <col min="11025" max="11025" width="11.75" style="127" bestFit="1" customWidth="1"/>
    <col min="11026" max="11255" width="9.375" style="127"/>
    <col min="11256" max="11256" width="5" style="127" customWidth="1"/>
    <col min="11257" max="11257" width="17.875" style="127" bestFit="1" customWidth="1"/>
    <col min="11258" max="11258" width="9.875" style="127" customWidth="1"/>
    <col min="11259" max="11259" width="8.875" style="127" customWidth="1"/>
    <col min="11260" max="11260" width="7.375" style="127" bestFit="1" customWidth="1"/>
    <col min="11261" max="11261" width="10.125" style="127" bestFit="1" customWidth="1"/>
    <col min="11262" max="11262" width="9.375" style="127"/>
    <col min="11263" max="11263" width="10.125" style="127" bestFit="1" customWidth="1"/>
    <col min="11264" max="11264" width="10.75" style="127" customWidth="1"/>
    <col min="11265" max="11267" width="9.375" style="127"/>
    <col min="11268" max="11269" width="10.75" style="127" customWidth="1"/>
    <col min="11270" max="11274" width="9.375" style="127"/>
    <col min="11275" max="11275" width="1.625" style="127" bestFit="1" customWidth="1"/>
    <col min="11276" max="11276" width="9.375" style="127"/>
    <col min="11277" max="11277" width="8.875" style="127" customWidth="1"/>
    <col min="11278" max="11278" width="13.125" style="127" customWidth="1"/>
    <col min="11279" max="11279" width="9.375" style="127"/>
    <col min="11280" max="11280" width="9.875" style="127" customWidth="1"/>
    <col min="11281" max="11281" width="11.75" style="127" bestFit="1" customWidth="1"/>
    <col min="11282" max="11511" width="9.375" style="127"/>
    <col min="11512" max="11512" width="5" style="127" customWidth="1"/>
    <col min="11513" max="11513" width="17.875" style="127" bestFit="1" customWidth="1"/>
    <col min="11514" max="11514" width="9.875" style="127" customWidth="1"/>
    <col min="11515" max="11515" width="8.875" style="127" customWidth="1"/>
    <col min="11516" max="11516" width="7.375" style="127" bestFit="1" customWidth="1"/>
    <col min="11517" max="11517" width="10.125" style="127" bestFit="1" customWidth="1"/>
    <col min="11518" max="11518" width="9.375" style="127"/>
    <col min="11519" max="11519" width="10.125" style="127" bestFit="1" customWidth="1"/>
    <col min="11520" max="11520" width="10.75" style="127" customWidth="1"/>
    <col min="11521" max="11523" width="9.375" style="127"/>
    <col min="11524" max="11525" width="10.75" style="127" customWidth="1"/>
    <col min="11526" max="11530" width="9.375" style="127"/>
    <col min="11531" max="11531" width="1.625" style="127" bestFit="1" customWidth="1"/>
    <col min="11532" max="11532" width="9.375" style="127"/>
    <col min="11533" max="11533" width="8.875" style="127" customWidth="1"/>
    <col min="11534" max="11534" width="13.125" style="127" customWidth="1"/>
    <col min="11535" max="11535" width="9.375" style="127"/>
    <col min="11536" max="11536" width="9.875" style="127" customWidth="1"/>
    <col min="11537" max="11537" width="11.75" style="127" bestFit="1" customWidth="1"/>
    <col min="11538" max="11767" width="9.375" style="127"/>
    <col min="11768" max="11768" width="5" style="127" customWidth="1"/>
    <col min="11769" max="11769" width="17.875" style="127" bestFit="1" customWidth="1"/>
    <col min="11770" max="11770" width="9.875" style="127" customWidth="1"/>
    <col min="11771" max="11771" width="8.875" style="127" customWidth="1"/>
    <col min="11772" max="11772" width="7.375" style="127" bestFit="1" customWidth="1"/>
    <col min="11773" max="11773" width="10.125" style="127" bestFit="1" customWidth="1"/>
    <col min="11774" max="11774" width="9.375" style="127"/>
    <col min="11775" max="11775" width="10.125" style="127" bestFit="1" customWidth="1"/>
    <col min="11776" max="11776" width="10.75" style="127" customWidth="1"/>
    <col min="11777" max="11779" width="9.375" style="127"/>
    <col min="11780" max="11781" width="10.75" style="127" customWidth="1"/>
    <col min="11782" max="11786" width="9.375" style="127"/>
    <col min="11787" max="11787" width="1.625" style="127" bestFit="1" customWidth="1"/>
    <col min="11788" max="11788" width="9.375" style="127"/>
    <col min="11789" max="11789" width="8.875" style="127" customWidth="1"/>
    <col min="11790" max="11790" width="13.125" style="127" customWidth="1"/>
    <col min="11791" max="11791" width="9.375" style="127"/>
    <col min="11792" max="11792" width="9.875" style="127" customWidth="1"/>
    <col min="11793" max="11793" width="11.75" style="127" bestFit="1" customWidth="1"/>
    <col min="11794" max="12023" width="9.375" style="127"/>
    <col min="12024" max="12024" width="5" style="127" customWidth="1"/>
    <col min="12025" max="12025" width="17.875" style="127" bestFit="1" customWidth="1"/>
    <col min="12026" max="12026" width="9.875" style="127" customWidth="1"/>
    <col min="12027" max="12027" width="8.875" style="127" customWidth="1"/>
    <col min="12028" max="12028" width="7.375" style="127" bestFit="1" customWidth="1"/>
    <col min="12029" max="12029" width="10.125" style="127" bestFit="1" customWidth="1"/>
    <col min="12030" max="12030" width="9.375" style="127"/>
    <col min="12031" max="12031" width="10.125" style="127" bestFit="1" customWidth="1"/>
    <col min="12032" max="12032" width="10.75" style="127" customWidth="1"/>
    <col min="12033" max="12035" width="9.375" style="127"/>
    <col min="12036" max="12037" width="10.75" style="127" customWidth="1"/>
    <col min="12038" max="12042" width="9.375" style="127"/>
    <col min="12043" max="12043" width="1.625" style="127" bestFit="1" customWidth="1"/>
    <col min="12044" max="12044" width="9.375" style="127"/>
    <col min="12045" max="12045" width="8.875" style="127" customWidth="1"/>
    <col min="12046" max="12046" width="13.125" style="127" customWidth="1"/>
    <col min="12047" max="12047" width="9.375" style="127"/>
    <col min="12048" max="12048" width="9.875" style="127" customWidth="1"/>
    <col min="12049" max="12049" width="11.75" style="127" bestFit="1" customWidth="1"/>
    <col min="12050" max="12279" width="9.375" style="127"/>
    <col min="12280" max="12280" width="5" style="127" customWidth="1"/>
    <col min="12281" max="12281" width="17.875" style="127" bestFit="1" customWidth="1"/>
    <col min="12282" max="12282" width="9.875" style="127" customWidth="1"/>
    <col min="12283" max="12283" width="8.875" style="127" customWidth="1"/>
    <col min="12284" max="12284" width="7.375" style="127" bestFit="1" customWidth="1"/>
    <col min="12285" max="12285" width="10.125" style="127" bestFit="1" customWidth="1"/>
    <col min="12286" max="12286" width="9.375" style="127"/>
    <col min="12287" max="12287" width="10.125" style="127" bestFit="1" customWidth="1"/>
    <col min="12288" max="12288" width="10.75" style="127" customWidth="1"/>
    <col min="12289" max="12291" width="9.375" style="127"/>
    <col min="12292" max="12293" width="10.75" style="127" customWidth="1"/>
    <col min="12294" max="12298" width="9.375" style="127"/>
    <col min="12299" max="12299" width="1.625" style="127" bestFit="1" customWidth="1"/>
    <col min="12300" max="12300" width="9.375" style="127"/>
    <col min="12301" max="12301" width="8.875" style="127" customWidth="1"/>
    <col min="12302" max="12302" width="13.125" style="127" customWidth="1"/>
    <col min="12303" max="12303" width="9.375" style="127"/>
    <col min="12304" max="12304" width="9.875" style="127" customWidth="1"/>
    <col min="12305" max="12305" width="11.75" style="127" bestFit="1" customWidth="1"/>
    <col min="12306" max="12535" width="9.375" style="127"/>
    <col min="12536" max="12536" width="5" style="127" customWidth="1"/>
    <col min="12537" max="12537" width="17.875" style="127" bestFit="1" customWidth="1"/>
    <col min="12538" max="12538" width="9.875" style="127" customWidth="1"/>
    <col min="12539" max="12539" width="8.875" style="127" customWidth="1"/>
    <col min="12540" max="12540" width="7.375" style="127" bestFit="1" customWidth="1"/>
    <col min="12541" max="12541" width="10.125" style="127" bestFit="1" customWidth="1"/>
    <col min="12542" max="12542" width="9.375" style="127"/>
    <col min="12543" max="12543" width="10.125" style="127" bestFit="1" customWidth="1"/>
    <col min="12544" max="12544" width="10.75" style="127" customWidth="1"/>
    <col min="12545" max="12547" width="9.375" style="127"/>
    <col min="12548" max="12549" width="10.75" style="127" customWidth="1"/>
    <col min="12550" max="12554" width="9.375" style="127"/>
    <col min="12555" max="12555" width="1.625" style="127" bestFit="1" customWidth="1"/>
    <col min="12556" max="12556" width="9.375" style="127"/>
    <col min="12557" max="12557" width="8.875" style="127" customWidth="1"/>
    <col min="12558" max="12558" width="13.125" style="127" customWidth="1"/>
    <col min="12559" max="12559" width="9.375" style="127"/>
    <col min="12560" max="12560" width="9.875" style="127" customWidth="1"/>
    <col min="12561" max="12561" width="11.75" style="127" bestFit="1" customWidth="1"/>
    <col min="12562" max="12791" width="9.375" style="127"/>
    <col min="12792" max="12792" width="5" style="127" customWidth="1"/>
    <col min="12793" max="12793" width="17.875" style="127" bestFit="1" customWidth="1"/>
    <col min="12794" max="12794" width="9.875" style="127" customWidth="1"/>
    <col min="12795" max="12795" width="8.875" style="127" customWidth="1"/>
    <col min="12796" max="12796" width="7.375" style="127" bestFit="1" customWidth="1"/>
    <col min="12797" max="12797" width="10.125" style="127" bestFit="1" customWidth="1"/>
    <col min="12798" max="12798" width="9.375" style="127"/>
    <col min="12799" max="12799" width="10.125" style="127" bestFit="1" customWidth="1"/>
    <col min="12800" max="12800" width="10.75" style="127" customWidth="1"/>
    <col min="12801" max="12803" width="9.375" style="127"/>
    <col min="12804" max="12805" width="10.75" style="127" customWidth="1"/>
    <col min="12806" max="12810" width="9.375" style="127"/>
    <col min="12811" max="12811" width="1.625" style="127" bestFit="1" customWidth="1"/>
    <col min="12812" max="12812" width="9.375" style="127"/>
    <col min="12813" max="12813" width="8.875" style="127" customWidth="1"/>
    <col min="12814" max="12814" width="13.125" style="127" customWidth="1"/>
    <col min="12815" max="12815" width="9.375" style="127"/>
    <col min="12816" max="12816" width="9.875" style="127" customWidth="1"/>
    <col min="12817" max="12817" width="11.75" style="127" bestFit="1" customWidth="1"/>
    <col min="12818" max="13047" width="9.375" style="127"/>
    <col min="13048" max="13048" width="5" style="127" customWidth="1"/>
    <col min="13049" max="13049" width="17.875" style="127" bestFit="1" customWidth="1"/>
    <col min="13050" max="13050" width="9.875" style="127" customWidth="1"/>
    <col min="13051" max="13051" width="8.875" style="127" customWidth="1"/>
    <col min="13052" max="13052" width="7.375" style="127" bestFit="1" customWidth="1"/>
    <col min="13053" max="13053" width="10.125" style="127" bestFit="1" customWidth="1"/>
    <col min="13054" max="13054" width="9.375" style="127"/>
    <col min="13055" max="13055" width="10.125" style="127" bestFit="1" customWidth="1"/>
    <col min="13056" max="13056" width="10.75" style="127" customWidth="1"/>
    <col min="13057" max="13059" width="9.375" style="127"/>
    <col min="13060" max="13061" width="10.75" style="127" customWidth="1"/>
    <col min="13062" max="13066" width="9.375" style="127"/>
    <col min="13067" max="13067" width="1.625" style="127" bestFit="1" customWidth="1"/>
    <col min="13068" max="13068" width="9.375" style="127"/>
    <col min="13069" max="13069" width="8.875" style="127" customWidth="1"/>
    <col min="13070" max="13070" width="13.125" style="127" customWidth="1"/>
    <col min="13071" max="13071" width="9.375" style="127"/>
    <col min="13072" max="13072" width="9.875" style="127" customWidth="1"/>
    <col min="13073" max="13073" width="11.75" style="127" bestFit="1" customWidth="1"/>
    <col min="13074" max="13303" width="9.375" style="127"/>
    <col min="13304" max="13304" width="5" style="127" customWidth="1"/>
    <col min="13305" max="13305" width="17.875" style="127" bestFit="1" customWidth="1"/>
    <col min="13306" max="13306" width="9.875" style="127" customWidth="1"/>
    <col min="13307" max="13307" width="8.875" style="127" customWidth="1"/>
    <col min="13308" max="13308" width="7.375" style="127" bestFit="1" customWidth="1"/>
    <col min="13309" max="13309" width="10.125" style="127" bestFit="1" customWidth="1"/>
    <col min="13310" max="13310" width="9.375" style="127"/>
    <col min="13311" max="13311" width="10.125" style="127" bestFit="1" customWidth="1"/>
    <col min="13312" max="13312" width="10.75" style="127" customWidth="1"/>
    <col min="13313" max="13315" width="9.375" style="127"/>
    <col min="13316" max="13317" width="10.75" style="127" customWidth="1"/>
    <col min="13318" max="13322" width="9.375" style="127"/>
    <col min="13323" max="13323" width="1.625" style="127" bestFit="1" customWidth="1"/>
    <col min="13324" max="13324" width="9.375" style="127"/>
    <col min="13325" max="13325" width="8.875" style="127" customWidth="1"/>
    <col min="13326" max="13326" width="13.125" style="127" customWidth="1"/>
    <col min="13327" max="13327" width="9.375" style="127"/>
    <col min="13328" max="13328" width="9.875" style="127" customWidth="1"/>
    <col min="13329" max="13329" width="11.75" style="127" bestFit="1" customWidth="1"/>
    <col min="13330" max="13559" width="9.375" style="127"/>
    <col min="13560" max="13560" width="5" style="127" customWidth="1"/>
    <col min="13561" max="13561" width="17.875" style="127" bestFit="1" customWidth="1"/>
    <col min="13562" max="13562" width="9.875" style="127" customWidth="1"/>
    <col min="13563" max="13563" width="8.875" style="127" customWidth="1"/>
    <col min="13564" max="13564" width="7.375" style="127" bestFit="1" customWidth="1"/>
    <col min="13565" max="13565" width="10.125" style="127" bestFit="1" customWidth="1"/>
    <col min="13566" max="13566" width="9.375" style="127"/>
    <col min="13567" max="13567" width="10.125" style="127" bestFit="1" customWidth="1"/>
    <col min="13568" max="13568" width="10.75" style="127" customWidth="1"/>
    <col min="13569" max="13571" width="9.375" style="127"/>
    <col min="13572" max="13573" width="10.75" style="127" customWidth="1"/>
    <col min="13574" max="13578" width="9.375" style="127"/>
    <col min="13579" max="13579" width="1.625" style="127" bestFit="1" customWidth="1"/>
    <col min="13580" max="13580" width="9.375" style="127"/>
    <col min="13581" max="13581" width="8.875" style="127" customWidth="1"/>
    <col min="13582" max="13582" width="13.125" style="127" customWidth="1"/>
    <col min="13583" max="13583" width="9.375" style="127"/>
    <col min="13584" max="13584" width="9.875" style="127" customWidth="1"/>
    <col min="13585" max="13585" width="11.75" style="127" bestFit="1" customWidth="1"/>
    <col min="13586" max="13815" width="9.375" style="127"/>
    <col min="13816" max="13816" width="5" style="127" customWidth="1"/>
    <col min="13817" max="13817" width="17.875" style="127" bestFit="1" customWidth="1"/>
    <col min="13818" max="13818" width="9.875" style="127" customWidth="1"/>
    <col min="13819" max="13819" width="8.875" style="127" customWidth="1"/>
    <col min="13820" max="13820" width="7.375" style="127" bestFit="1" customWidth="1"/>
    <col min="13821" max="13821" width="10.125" style="127" bestFit="1" customWidth="1"/>
    <col min="13822" max="13822" width="9.375" style="127"/>
    <col min="13823" max="13823" width="10.125" style="127" bestFit="1" customWidth="1"/>
    <col min="13824" max="13824" width="10.75" style="127" customWidth="1"/>
    <col min="13825" max="13827" width="9.375" style="127"/>
    <col min="13828" max="13829" width="10.75" style="127" customWidth="1"/>
    <col min="13830" max="13834" width="9.375" style="127"/>
    <col min="13835" max="13835" width="1.625" style="127" bestFit="1" customWidth="1"/>
    <col min="13836" max="13836" width="9.375" style="127"/>
    <col min="13837" max="13837" width="8.875" style="127" customWidth="1"/>
    <col min="13838" max="13838" width="13.125" style="127" customWidth="1"/>
    <col min="13839" max="13839" width="9.375" style="127"/>
    <col min="13840" max="13840" width="9.875" style="127" customWidth="1"/>
    <col min="13841" max="13841" width="11.75" style="127" bestFit="1" customWidth="1"/>
    <col min="13842" max="14071" width="9.375" style="127"/>
    <col min="14072" max="14072" width="5" style="127" customWidth="1"/>
    <col min="14073" max="14073" width="17.875" style="127" bestFit="1" customWidth="1"/>
    <col min="14074" max="14074" width="9.875" style="127" customWidth="1"/>
    <col min="14075" max="14075" width="8.875" style="127" customWidth="1"/>
    <col min="14076" max="14076" width="7.375" style="127" bestFit="1" customWidth="1"/>
    <col min="14077" max="14077" width="10.125" style="127" bestFit="1" customWidth="1"/>
    <col min="14078" max="14078" width="9.375" style="127"/>
    <col min="14079" max="14079" width="10.125" style="127" bestFit="1" customWidth="1"/>
    <col min="14080" max="14080" width="10.75" style="127" customWidth="1"/>
    <col min="14081" max="14083" width="9.375" style="127"/>
    <col min="14084" max="14085" width="10.75" style="127" customWidth="1"/>
    <col min="14086" max="14090" width="9.375" style="127"/>
    <col min="14091" max="14091" width="1.625" style="127" bestFit="1" customWidth="1"/>
    <col min="14092" max="14092" width="9.375" style="127"/>
    <col min="14093" max="14093" width="8.875" style="127" customWidth="1"/>
    <col min="14094" max="14094" width="13.125" style="127" customWidth="1"/>
    <col min="14095" max="14095" width="9.375" style="127"/>
    <col min="14096" max="14096" width="9.875" style="127" customWidth="1"/>
    <col min="14097" max="14097" width="11.75" style="127" bestFit="1" customWidth="1"/>
    <col min="14098" max="14327" width="9.375" style="127"/>
    <col min="14328" max="14328" width="5" style="127" customWidth="1"/>
    <col min="14329" max="14329" width="17.875" style="127" bestFit="1" customWidth="1"/>
    <col min="14330" max="14330" width="9.875" style="127" customWidth="1"/>
    <col min="14331" max="14331" width="8.875" style="127" customWidth="1"/>
    <col min="14332" max="14332" width="7.375" style="127" bestFit="1" customWidth="1"/>
    <col min="14333" max="14333" width="10.125" style="127" bestFit="1" customWidth="1"/>
    <col min="14334" max="14334" width="9.375" style="127"/>
    <col min="14335" max="14335" width="10.125" style="127" bestFit="1" customWidth="1"/>
    <col min="14336" max="14336" width="10.75" style="127" customWidth="1"/>
    <col min="14337" max="14339" width="9.375" style="127"/>
    <col min="14340" max="14341" width="10.75" style="127" customWidth="1"/>
    <col min="14342" max="14346" width="9.375" style="127"/>
    <col min="14347" max="14347" width="1.625" style="127" bestFit="1" customWidth="1"/>
    <col min="14348" max="14348" width="9.375" style="127"/>
    <col min="14349" max="14349" width="8.875" style="127" customWidth="1"/>
    <col min="14350" max="14350" width="13.125" style="127" customWidth="1"/>
    <col min="14351" max="14351" width="9.375" style="127"/>
    <col min="14352" max="14352" width="9.875" style="127" customWidth="1"/>
    <col min="14353" max="14353" width="11.75" style="127" bestFit="1" customWidth="1"/>
    <col min="14354" max="14583" width="9.375" style="127"/>
    <col min="14584" max="14584" width="5" style="127" customWidth="1"/>
    <col min="14585" max="14585" width="17.875" style="127" bestFit="1" customWidth="1"/>
    <col min="14586" max="14586" width="9.875" style="127" customWidth="1"/>
    <col min="14587" max="14587" width="8.875" style="127" customWidth="1"/>
    <col min="14588" max="14588" width="7.375" style="127" bestFit="1" customWidth="1"/>
    <col min="14589" max="14589" width="10.125" style="127" bestFit="1" customWidth="1"/>
    <col min="14590" max="14590" width="9.375" style="127"/>
    <col min="14591" max="14591" width="10.125" style="127" bestFit="1" customWidth="1"/>
    <col min="14592" max="14592" width="10.75" style="127" customWidth="1"/>
    <col min="14593" max="14595" width="9.375" style="127"/>
    <col min="14596" max="14597" width="10.75" style="127" customWidth="1"/>
    <col min="14598" max="14602" width="9.375" style="127"/>
    <col min="14603" max="14603" width="1.625" style="127" bestFit="1" customWidth="1"/>
    <col min="14604" max="14604" width="9.375" style="127"/>
    <col min="14605" max="14605" width="8.875" style="127" customWidth="1"/>
    <col min="14606" max="14606" width="13.125" style="127" customWidth="1"/>
    <col min="14607" max="14607" width="9.375" style="127"/>
    <col min="14608" max="14608" width="9.875" style="127" customWidth="1"/>
    <col min="14609" max="14609" width="11.75" style="127" bestFit="1" customWidth="1"/>
    <col min="14610" max="14839" width="9.375" style="127"/>
    <col min="14840" max="14840" width="5" style="127" customWidth="1"/>
    <col min="14841" max="14841" width="17.875" style="127" bestFit="1" customWidth="1"/>
    <col min="14842" max="14842" width="9.875" style="127" customWidth="1"/>
    <col min="14843" max="14843" width="8.875" style="127" customWidth="1"/>
    <col min="14844" max="14844" width="7.375" style="127" bestFit="1" customWidth="1"/>
    <col min="14845" max="14845" width="10.125" style="127" bestFit="1" customWidth="1"/>
    <col min="14846" max="14846" width="9.375" style="127"/>
    <col min="14847" max="14847" width="10.125" style="127" bestFit="1" customWidth="1"/>
    <col min="14848" max="14848" width="10.75" style="127" customWidth="1"/>
    <col min="14849" max="14851" width="9.375" style="127"/>
    <col min="14852" max="14853" width="10.75" style="127" customWidth="1"/>
    <col min="14854" max="14858" width="9.375" style="127"/>
    <col min="14859" max="14859" width="1.625" style="127" bestFit="1" customWidth="1"/>
    <col min="14860" max="14860" width="9.375" style="127"/>
    <col min="14861" max="14861" width="8.875" style="127" customWidth="1"/>
    <col min="14862" max="14862" width="13.125" style="127" customWidth="1"/>
    <col min="14863" max="14863" width="9.375" style="127"/>
    <col min="14864" max="14864" width="9.875" style="127" customWidth="1"/>
    <col min="14865" max="14865" width="11.75" style="127" bestFit="1" customWidth="1"/>
    <col min="14866" max="15095" width="9.375" style="127"/>
    <col min="15096" max="15096" width="5" style="127" customWidth="1"/>
    <col min="15097" max="15097" width="17.875" style="127" bestFit="1" customWidth="1"/>
    <col min="15098" max="15098" width="9.875" style="127" customWidth="1"/>
    <col min="15099" max="15099" width="8.875" style="127" customWidth="1"/>
    <col min="15100" max="15100" width="7.375" style="127" bestFit="1" customWidth="1"/>
    <col min="15101" max="15101" width="10.125" style="127" bestFit="1" customWidth="1"/>
    <col min="15102" max="15102" width="9.375" style="127"/>
    <col min="15103" max="15103" width="10.125" style="127" bestFit="1" customWidth="1"/>
    <col min="15104" max="15104" width="10.75" style="127" customWidth="1"/>
    <col min="15105" max="15107" width="9.375" style="127"/>
    <col min="15108" max="15109" width="10.75" style="127" customWidth="1"/>
    <col min="15110" max="15114" width="9.375" style="127"/>
    <col min="15115" max="15115" width="1.625" style="127" bestFit="1" customWidth="1"/>
    <col min="15116" max="15116" width="9.375" style="127"/>
    <col min="15117" max="15117" width="8.875" style="127" customWidth="1"/>
    <col min="15118" max="15118" width="13.125" style="127" customWidth="1"/>
    <col min="15119" max="15119" width="9.375" style="127"/>
    <col min="15120" max="15120" width="9.875" style="127" customWidth="1"/>
    <col min="15121" max="15121" width="11.75" style="127" bestFit="1" customWidth="1"/>
    <col min="15122" max="15351" width="9.375" style="127"/>
    <col min="15352" max="15352" width="5" style="127" customWidth="1"/>
    <col min="15353" max="15353" width="17.875" style="127" bestFit="1" customWidth="1"/>
    <col min="15354" max="15354" width="9.875" style="127" customWidth="1"/>
    <col min="15355" max="15355" width="8.875" style="127" customWidth="1"/>
    <col min="15356" max="15356" width="7.375" style="127" bestFit="1" customWidth="1"/>
    <col min="15357" max="15357" width="10.125" style="127" bestFit="1" customWidth="1"/>
    <col min="15358" max="15358" width="9.375" style="127"/>
    <col min="15359" max="15359" width="10.125" style="127" bestFit="1" customWidth="1"/>
    <col min="15360" max="15360" width="10.75" style="127" customWidth="1"/>
    <col min="15361" max="15363" width="9.375" style="127"/>
    <col min="15364" max="15365" width="10.75" style="127" customWidth="1"/>
    <col min="15366" max="15370" width="9.375" style="127"/>
    <col min="15371" max="15371" width="1.625" style="127" bestFit="1" customWidth="1"/>
    <col min="15372" max="15372" width="9.375" style="127"/>
    <col min="15373" max="15373" width="8.875" style="127" customWidth="1"/>
    <col min="15374" max="15374" width="13.125" style="127" customWidth="1"/>
    <col min="15375" max="15375" width="9.375" style="127"/>
    <col min="15376" max="15376" width="9.875" style="127" customWidth="1"/>
    <col min="15377" max="15377" width="11.75" style="127" bestFit="1" customWidth="1"/>
    <col min="15378" max="15607" width="9.375" style="127"/>
    <col min="15608" max="15608" width="5" style="127" customWidth="1"/>
    <col min="15609" max="15609" width="17.875" style="127" bestFit="1" customWidth="1"/>
    <col min="15610" max="15610" width="9.875" style="127" customWidth="1"/>
    <col min="15611" max="15611" width="8.875" style="127" customWidth="1"/>
    <col min="15612" max="15612" width="7.375" style="127" bestFit="1" customWidth="1"/>
    <col min="15613" max="15613" width="10.125" style="127" bestFit="1" customWidth="1"/>
    <col min="15614" max="15614" width="9.375" style="127"/>
    <col min="15615" max="15615" width="10.125" style="127" bestFit="1" customWidth="1"/>
    <col min="15616" max="15616" width="10.75" style="127" customWidth="1"/>
    <col min="15617" max="15619" width="9.375" style="127"/>
    <col min="15620" max="15621" width="10.75" style="127" customWidth="1"/>
    <col min="15622" max="15626" width="9.375" style="127"/>
    <col min="15627" max="15627" width="1.625" style="127" bestFit="1" customWidth="1"/>
    <col min="15628" max="15628" width="9.375" style="127"/>
    <col min="15629" max="15629" width="8.875" style="127" customWidth="1"/>
    <col min="15630" max="15630" width="13.125" style="127" customWidth="1"/>
    <col min="15631" max="15631" width="9.375" style="127"/>
    <col min="15632" max="15632" width="9.875" style="127" customWidth="1"/>
    <col min="15633" max="15633" width="11.75" style="127" bestFit="1" customWidth="1"/>
    <col min="15634" max="15863" width="9.375" style="127"/>
    <col min="15864" max="15864" width="5" style="127" customWidth="1"/>
    <col min="15865" max="15865" width="17.875" style="127" bestFit="1" customWidth="1"/>
    <col min="15866" max="15866" width="9.875" style="127" customWidth="1"/>
    <col min="15867" max="15867" width="8.875" style="127" customWidth="1"/>
    <col min="15868" max="15868" width="7.375" style="127" bestFit="1" customWidth="1"/>
    <col min="15869" max="15869" width="10.125" style="127" bestFit="1" customWidth="1"/>
    <col min="15870" max="15870" width="9.375" style="127"/>
    <col min="15871" max="15871" width="10.125" style="127" bestFit="1" customWidth="1"/>
    <col min="15872" max="15872" width="10.75" style="127" customWidth="1"/>
    <col min="15873" max="15875" width="9.375" style="127"/>
    <col min="15876" max="15877" width="10.75" style="127" customWidth="1"/>
    <col min="15878" max="15882" width="9.375" style="127"/>
    <col min="15883" max="15883" width="1.625" style="127" bestFit="1" customWidth="1"/>
    <col min="15884" max="15884" width="9.375" style="127"/>
    <col min="15885" max="15885" width="8.875" style="127" customWidth="1"/>
    <col min="15886" max="15886" width="13.125" style="127" customWidth="1"/>
    <col min="15887" max="15887" width="9.375" style="127"/>
    <col min="15888" max="15888" width="9.875" style="127" customWidth="1"/>
    <col min="15889" max="15889" width="11.75" style="127" bestFit="1" customWidth="1"/>
    <col min="15890" max="16119" width="9.375" style="127"/>
    <col min="16120" max="16120" width="5" style="127" customWidth="1"/>
    <col min="16121" max="16121" width="17.875" style="127" bestFit="1" customWidth="1"/>
    <col min="16122" max="16122" width="9.875" style="127" customWidth="1"/>
    <col min="16123" max="16123" width="8.875" style="127" customWidth="1"/>
    <col min="16124" max="16124" width="7.375" style="127" bestFit="1" customWidth="1"/>
    <col min="16125" max="16125" width="10.125" style="127" bestFit="1" customWidth="1"/>
    <col min="16126" max="16126" width="9.375" style="127"/>
    <col min="16127" max="16127" width="10.125" style="127" bestFit="1" customWidth="1"/>
    <col min="16128" max="16128" width="10.75" style="127" customWidth="1"/>
    <col min="16129" max="16131" width="9.375" style="127"/>
    <col min="16132" max="16133" width="10.75" style="127" customWidth="1"/>
    <col min="16134" max="16138" width="9.375" style="127"/>
    <col min="16139" max="16139" width="1.625" style="127" bestFit="1" customWidth="1"/>
    <col min="16140" max="16140" width="9.375" style="127"/>
    <col min="16141" max="16141" width="8.875" style="127" customWidth="1"/>
    <col min="16142" max="16142" width="13.125" style="127" customWidth="1"/>
    <col min="16143" max="16143" width="9.375" style="127"/>
    <col min="16144" max="16144" width="9.875" style="127" customWidth="1"/>
    <col min="16145" max="16145" width="11.75" style="127" bestFit="1" customWidth="1"/>
    <col min="16146" max="16384" width="9.375" style="127"/>
  </cols>
  <sheetData>
    <row r="1" spans="1:20" s="33" customFormat="1" ht="26.25" x14ac:dyDescent="0.2">
      <c r="A1" s="281" t="s">
        <v>411</v>
      </c>
      <c r="B1" s="32"/>
      <c r="C1" s="411" t="s">
        <v>406</v>
      </c>
      <c r="D1" s="305" t="s">
        <v>398</v>
      </c>
      <c r="E1" s="674" t="s">
        <v>407</v>
      </c>
      <c r="F1" s="674"/>
      <c r="G1" s="123"/>
      <c r="H1" s="123"/>
      <c r="I1" s="123"/>
      <c r="J1" s="123"/>
      <c r="K1" s="123"/>
      <c r="M1" s="123"/>
      <c r="N1" s="124"/>
      <c r="O1" s="43"/>
      <c r="P1" s="124"/>
      <c r="Q1" s="124"/>
      <c r="R1" s="43"/>
      <c r="S1" s="43"/>
      <c r="T1" s="43"/>
    </row>
    <row r="2" spans="1:20" s="40" customFormat="1" ht="15.75" x14ac:dyDescent="0.25">
      <c r="A2" s="360" t="str">
        <f>Paramètres!B4</f>
        <v>Acomptes 2023</v>
      </c>
      <c r="N2" s="126"/>
      <c r="O2" s="125"/>
      <c r="P2" s="126"/>
      <c r="Q2" s="126"/>
      <c r="R2" s="125"/>
      <c r="S2" s="125"/>
      <c r="T2" s="125"/>
    </row>
    <row r="4" spans="1:20" s="138" customFormat="1" ht="39" customHeight="1" x14ac:dyDescent="0.2">
      <c r="A4" s="683" t="s">
        <v>44</v>
      </c>
      <c r="B4" s="683" t="s">
        <v>84</v>
      </c>
      <c r="C4" s="683" t="s">
        <v>443</v>
      </c>
      <c r="D4" s="342" t="s">
        <v>257</v>
      </c>
      <c r="E4" s="683" t="s">
        <v>368</v>
      </c>
      <c r="F4" s="686" t="s">
        <v>288</v>
      </c>
      <c r="G4" s="683" t="s">
        <v>540</v>
      </c>
      <c r="H4" s="683" t="s">
        <v>498</v>
      </c>
      <c r="I4" s="683" t="s">
        <v>541</v>
      </c>
      <c r="J4" s="683" t="s">
        <v>414</v>
      </c>
      <c r="K4" s="342" t="s">
        <v>501</v>
      </c>
      <c r="L4" s="683" t="s">
        <v>370</v>
      </c>
      <c r="M4" s="136"/>
      <c r="N4" s="135"/>
      <c r="O4" s="136"/>
      <c r="P4" s="137"/>
      <c r="Q4" s="135"/>
      <c r="R4" s="135"/>
      <c r="S4" s="135"/>
    </row>
    <row r="5" spans="1:20" s="138" customFormat="1" x14ac:dyDescent="0.2">
      <c r="A5" s="685"/>
      <c r="B5" s="685"/>
      <c r="C5" s="684"/>
      <c r="D5" s="370">
        <f>Paramètres!B6</f>
        <v>43099</v>
      </c>
      <c r="E5" s="685"/>
      <c r="F5" s="687"/>
      <c r="G5" s="685"/>
      <c r="H5" s="685"/>
      <c r="I5" s="685"/>
      <c r="J5" s="684"/>
      <c r="K5" s="343">
        <f>(Paramètres!B56-'Facture policière'!$I$306)/'Facture policière'!J306</f>
        <v>1.2255658170853616</v>
      </c>
      <c r="L5" s="684"/>
      <c r="M5" s="137"/>
      <c r="N5" s="135"/>
      <c r="O5" s="137"/>
      <c r="P5" s="137"/>
      <c r="Q5" s="135"/>
      <c r="R5" s="135"/>
      <c r="S5" s="135"/>
    </row>
    <row r="6" spans="1:20" x14ac:dyDescent="0.25">
      <c r="A6" s="176">
        <f>Données!A6</f>
        <v>5401</v>
      </c>
      <c r="B6" s="355" t="str">
        <f>Données!B6</f>
        <v>Aigle</v>
      </c>
      <c r="C6" s="176">
        <f>Données!AR6</f>
        <v>1</v>
      </c>
      <c r="D6" s="357">
        <f>Données!Z6</f>
        <v>10828</v>
      </c>
      <c r="E6" s="130">
        <f>Données!X6</f>
        <v>66</v>
      </c>
      <c r="F6" s="31">
        <f>VPI!L6</f>
        <v>16456951.049999997</v>
      </c>
      <c r="G6" s="41">
        <f>F6/E6*2</f>
        <v>498695.48636363627</v>
      </c>
      <c r="H6" s="58">
        <f>+$G$306/$D$306*D6</f>
        <v>957872.62618887099</v>
      </c>
      <c r="I6" s="41">
        <f t="shared" ref="I6" si="0">IF(C6=1,0,IF(H6&gt;G6,G6,H6))</f>
        <v>0</v>
      </c>
      <c r="J6" s="41">
        <f>VPI!R6</f>
        <v>280916.50972222222</v>
      </c>
      <c r="K6" s="50">
        <f t="shared" ref="K6" si="1">+$K$5*J6</f>
        <v>344281.6717704832</v>
      </c>
      <c r="L6" s="344">
        <f t="shared" ref="L6" si="2">+K6+I6</f>
        <v>344281.6717704832</v>
      </c>
      <c r="M6" s="233"/>
      <c r="N6" s="132"/>
      <c r="O6" s="129"/>
      <c r="Q6" s="133"/>
      <c r="T6" s="127"/>
    </row>
    <row r="7" spans="1:20" x14ac:dyDescent="0.25">
      <c r="A7" s="177">
        <f>Données!A7</f>
        <v>5402</v>
      </c>
      <c r="B7" s="356" t="str">
        <f>Données!B7</f>
        <v>Bex</v>
      </c>
      <c r="C7" s="177">
        <f>Données!AR7</f>
        <v>1</v>
      </c>
      <c r="D7" s="357">
        <f>Données!Z7</f>
        <v>8063</v>
      </c>
      <c r="E7" s="130">
        <f>Données!X7</f>
        <v>71</v>
      </c>
      <c r="F7" s="31">
        <f>VPI!L7</f>
        <v>12197513.710000001</v>
      </c>
      <c r="G7" s="8">
        <f t="shared" ref="G7:G70" si="3">F7/E7*2</f>
        <v>343591.93549295777</v>
      </c>
      <c r="H7" s="215">
        <f t="shared" ref="H7:H70" si="4">+$G$306/$D$306*D7</f>
        <v>713273.64101965888</v>
      </c>
      <c r="I7" s="8">
        <f t="shared" ref="I7:I70" si="5">IF(C7=1,0,IF(H7&gt;G7,G7,H7))</f>
        <v>0</v>
      </c>
      <c r="J7" s="8">
        <f>VPI!R7</f>
        <v>192666.65084507043</v>
      </c>
      <c r="K7" s="238">
        <f t="shared" ref="K7:K70" si="6">+$K$5*J7</f>
        <v>236125.66136803883</v>
      </c>
      <c r="L7" s="345">
        <f t="shared" ref="L7:L70" si="7">+K7+I7</f>
        <v>236125.66136803883</v>
      </c>
      <c r="M7" s="233"/>
      <c r="N7" s="132"/>
      <c r="O7" s="129"/>
      <c r="Q7" s="133"/>
      <c r="T7" s="127"/>
    </row>
    <row r="8" spans="1:20" x14ac:dyDescent="0.25">
      <c r="A8" s="177">
        <f>Données!A8</f>
        <v>5403</v>
      </c>
      <c r="B8" s="356" t="str">
        <f>Données!B8</f>
        <v>Chessel</v>
      </c>
      <c r="C8" s="177">
        <f>Données!AR8</f>
        <v>0</v>
      </c>
      <c r="D8" s="357">
        <f>Données!Z8</f>
        <v>497</v>
      </c>
      <c r="E8" s="130">
        <f>Données!X8</f>
        <v>74</v>
      </c>
      <c r="F8" s="31">
        <f>VPI!L8</f>
        <v>797463.52</v>
      </c>
      <c r="G8" s="8">
        <f t="shared" si="3"/>
        <v>21553.068108108109</v>
      </c>
      <c r="H8" s="215">
        <f t="shared" si="4"/>
        <v>43965.89353674445</v>
      </c>
      <c r="I8" s="8">
        <f t="shared" si="5"/>
        <v>21553.068108108109</v>
      </c>
      <c r="J8" s="8">
        <f>VPI!R8</f>
        <v>12085.365135135135</v>
      </c>
      <c r="K8" s="238">
        <f t="shared" si="6"/>
        <v>14811.410396616833</v>
      </c>
      <c r="L8" s="345">
        <f t="shared" si="7"/>
        <v>36364.478504724946</v>
      </c>
      <c r="M8" s="233"/>
      <c r="N8" s="132"/>
      <c r="O8" s="129"/>
      <c r="Q8" s="133"/>
      <c r="T8" s="127"/>
    </row>
    <row r="9" spans="1:20" x14ac:dyDescent="0.25">
      <c r="A9" s="177">
        <f>Données!A9</f>
        <v>5404</v>
      </c>
      <c r="B9" s="356" t="str">
        <f>Données!B9</f>
        <v>Corbeyrier</v>
      </c>
      <c r="C9" s="177">
        <f>Données!AR9</f>
        <v>0</v>
      </c>
      <c r="D9" s="357">
        <f>Données!Z9</f>
        <v>439</v>
      </c>
      <c r="E9" s="130">
        <f>Données!X9</f>
        <v>74</v>
      </c>
      <c r="F9" s="31">
        <f>VPI!L9</f>
        <v>766524.19</v>
      </c>
      <c r="G9" s="8">
        <f t="shared" si="3"/>
        <v>20716.87</v>
      </c>
      <c r="H9" s="215">
        <f t="shared" si="4"/>
        <v>38835.064914750124</v>
      </c>
      <c r="I9" s="8">
        <f t="shared" si="5"/>
        <v>20716.87</v>
      </c>
      <c r="J9" s="8">
        <f>VPI!R9</f>
        <v>11580.799189189189</v>
      </c>
      <c r="K9" s="238">
        <f t="shared" si="6"/>
        <v>14193.031620800142</v>
      </c>
      <c r="L9" s="345">
        <f t="shared" si="7"/>
        <v>34909.901620800141</v>
      </c>
      <c r="M9" s="233"/>
      <c r="N9" s="132"/>
      <c r="O9" s="129"/>
      <c r="Q9" s="133"/>
      <c r="T9" s="127"/>
    </row>
    <row r="10" spans="1:20" x14ac:dyDescent="0.25">
      <c r="A10" s="177">
        <f>Données!A10</f>
        <v>5405</v>
      </c>
      <c r="B10" s="356" t="str">
        <f>Données!B10</f>
        <v>Gryon</v>
      </c>
      <c r="C10" s="177">
        <f>Données!AR10</f>
        <v>0</v>
      </c>
      <c r="D10" s="357">
        <f>Données!Z10</f>
        <v>1382</v>
      </c>
      <c r="E10" s="130">
        <f>Données!X10</f>
        <v>73.5</v>
      </c>
      <c r="F10" s="31">
        <f>VPI!L10</f>
        <v>4937828.49</v>
      </c>
      <c r="G10" s="8">
        <f t="shared" si="3"/>
        <v>134362.68</v>
      </c>
      <c r="H10" s="215">
        <f t="shared" si="4"/>
        <v>122255.26130338195</v>
      </c>
      <c r="I10" s="8">
        <f t="shared" si="5"/>
        <v>122255.26130338195</v>
      </c>
      <c r="J10" s="8">
        <f>VPI!R10</f>
        <v>78106.688299319736</v>
      </c>
      <c r="K10" s="238">
        <f t="shared" si="6"/>
        <v>95724.887265387442</v>
      </c>
      <c r="L10" s="345">
        <f t="shared" si="7"/>
        <v>217980.14856876939</v>
      </c>
      <c r="M10" s="233"/>
      <c r="N10" s="132"/>
      <c r="O10" s="129"/>
      <c r="Q10" s="133"/>
      <c r="T10" s="127"/>
    </row>
    <row r="11" spans="1:20" x14ac:dyDescent="0.25">
      <c r="A11" s="177">
        <f>Données!A11</f>
        <v>5406</v>
      </c>
      <c r="B11" s="356" t="str">
        <f>Données!B11</f>
        <v>Lavey-Morcles</v>
      </c>
      <c r="C11" s="177">
        <f>Données!AR11</f>
        <v>0</v>
      </c>
      <c r="D11" s="357">
        <f>Données!Z11</f>
        <v>966</v>
      </c>
      <c r="E11" s="130">
        <f>Données!X11</f>
        <v>71.5</v>
      </c>
      <c r="F11" s="31">
        <f>VPI!L11</f>
        <v>1371042.34</v>
      </c>
      <c r="G11" s="8">
        <f t="shared" si="3"/>
        <v>38350.834685314687</v>
      </c>
      <c r="H11" s="215">
        <f t="shared" si="4"/>
        <v>85454.835324939908</v>
      </c>
      <c r="I11" s="8">
        <f t="shared" si="5"/>
        <v>38350.834685314687</v>
      </c>
      <c r="J11" s="8">
        <f>VPI!R11</f>
        <v>21511.827778375475</v>
      </c>
      <c r="K11" s="238">
        <f t="shared" si="6"/>
        <v>26364.160788204317</v>
      </c>
      <c r="L11" s="345">
        <f t="shared" si="7"/>
        <v>64714.995473519004</v>
      </c>
      <c r="M11" s="233"/>
      <c r="N11" s="132"/>
      <c r="O11" s="129"/>
      <c r="Q11" s="133"/>
      <c r="T11" s="127"/>
    </row>
    <row r="12" spans="1:20" x14ac:dyDescent="0.25">
      <c r="A12" s="177">
        <f>Données!A12</f>
        <v>5407</v>
      </c>
      <c r="B12" s="356" t="str">
        <f>Données!B12</f>
        <v>Leysin</v>
      </c>
      <c r="C12" s="177">
        <f>Données!AR12</f>
        <v>0</v>
      </c>
      <c r="D12" s="357">
        <f>Données!Z12</f>
        <v>3637</v>
      </c>
      <c r="E12" s="130">
        <f>Données!X12</f>
        <v>78</v>
      </c>
      <c r="F12" s="31">
        <f>VPI!L12</f>
        <v>6167396.9900000002</v>
      </c>
      <c r="G12" s="8">
        <f t="shared" si="3"/>
        <v>158138.38435897438</v>
      </c>
      <c r="H12" s="215">
        <f t="shared" si="4"/>
        <v>321738.33962402324</v>
      </c>
      <c r="I12" s="8">
        <f t="shared" si="5"/>
        <v>158138.38435897438</v>
      </c>
      <c r="J12" s="8">
        <f>VPI!R12</f>
        <v>90677.609059829061</v>
      </c>
      <c r="K12" s="238">
        <f t="shared" si="6"/>
        <v>111131.37803875639</v>
      </c>
      <c r="L12" s="345">
        <f t="shared" si="7"/>
        <v>269269.76239773078</v>
      </c>
      <c r="M12" s="233"/>
      <c r="N12" s="132"/>
      <c r="O12" s="129"/>
      <c r="Q12" s="133"/>
      <c r="T12" s="127"/>
    </row>
    <row r="13" spans="1:20" x14ac:dyDescent="0.25">
      <c r="A13" s="177">
        <f>Données!A13</f>
        <v>5408</v>
      </c>
      <c r="B13" s="356" t="str">
        <f>Données!B13</f>
        <v>Noville</v>
      </c>
      <c r="C13" s="177">
        <f>Données!AR13</f>
        <v>0</v>
      </c>
      <c r="D13" s="357">
        <f>Données!Z13</f>
        <v>1169</v>
      </c>
      <c r="E13" s="130">
        <f>Données!X13</f>
        <v>78.5</v>
      </c>
      <c r="F13" s="31">
        <f>VPI!L13</f>
        <v>2877170.3800000008</v>
      </c>
      <c r="G13" s="8">
        <f t="shared" si="3"/>
        <v>73303.703949044604</v>
      </c>
      <c r="H13" s="215">
        <f t="shared" si="4"/>
        <v>103412.73550192003</v>
      </c>
      <c r="I13" s="8">
        <f t="shared" si="5"/>
        <v>73303.703949044604</v>
      </c>
      <c r="J13" s="8">
        <f>VPI!R13</f>
        <v>41378.888492569007</v>
      </c>
      <c r="K13" s="238">
        <f t="shared" si="6"/>
        <v>50712.5512854794</v>
      </c>
      <c r="L13" s="345">
        <f t="shared" si="7"/>
        <v>124016.255234524</v>
      </c>
      <c r="M13" s="233"/>
      <c r="N13" s="132"/>
      <c r="O13" s="129"/>
      <c r="Q13" s="133"/>
      <c r="T13" s="127"/>
    </row>
    <row r="14" spans="1:20" x14ac:dyDescent="0.25">
      <c r="A14" s="177">
        <f>Données!A14</f>
        <v>5409</v>
      </c>
      <c r="B14" s="356" t="str">
        <f>Données!B14</f>
        <v>Ollon</v>
      </c>
      <c r="C14" s="177">
        <f>Données!AR14</f>
        <v>1</v>
      </c>
      <c r="D14" s="357">
        <f>Données!Z14</f>
        <v>7904</v>
      </c>
      <c r="E14" s="130">
        <f>Données!X14</f>
        <v>68</v>
      </c>
      <c r="F14" s="31">
        <f>VPI!L14</f>
        <v>25846581.330000002</v>
      </c>
      <c r="G14" s="8">
        <f t="shared" si="3"/>
        <v>760193.5685294118</v>
      </c>
      <c r="H14" s="215">
        <f t="shared" si="4"/>
        <v>699208.09359039867</v>
      </c>
      <c r="I14" s="8">
        <f t="shared" si="5"/>
        <v>0</v>
      </c>
      <c r="J14" s="8">
        <f>VPI!R14</f>
        <v>428223.81707013579</v>
      </c>
      <c r="K14" s="238">
        <f t="shared" si="6"/>
        <v>524816.47226297343</v>
      </c>
      <c r="L14" s="345">
        <f t="shared" si="7"/>
        <v>524816.47226297343</v>
      </c>
      <c r="M14" s="233"/>
      <c r="N14" s="132"/>
      <c r="O14" s="129"/>
      <c r="Q14" s="133"/>
      <c r="T14" s="127"/>
    </row>
    <row r="15" spans="1:20" x14ac:dyDescent="0.25">
      <c r="A15" s="177">
        <f>Données!A15</f>
        <v>5410</v>
      </c>
      <c r="B15" s="356" t="str">
        <f>Données!B15</f>
        <v>Ormont-Dessous</v>
      </c>
      <c r="C15" s="177">
        <f>Données!AR15</f>
        <v>0</v>
      </c>
      <c r="D15" s="357">
        <f>Données!Z15</f>
        <v>1162</v>
      </c>
      <c r="E15" s="130">
        <f>Données!X15</f>
        <v>77</v>
      </c>
      <c r="F15" s="31">
        <f>VPI!L15</f>
        <v>2567974.86</v>
      </c>
      <c r="G15" s="8">
        <f t="shared" si="3"/>
        <v>66700.645714285711</v>
      </c>
      <c r="H15" s="26">
        <f t="shared" si="4"/>
        <v>102793.4975647828</v>
      </c>
      <c r="I15" s="8">
        <f t="shared" si="5"/>
        <v>66700.645714285711</v>
      </c>
      <c r="J15" s="8">
        <f>VPI!R15</f>
        <v>38612.897532467534</v>
      </c>
      <c r="K15" s="238">
        <f t="shared" si="6"/>
        <v>47322.647314411915</v>
      </c>
      <c r="L15" s="345">
        <f t="shared" si="7"/>
        <v>114023.29302869763</v>
      </c>
      <c r="M15" s="131"/>
      <c r="N15" s="132"/>
      <c r="O15" s="129"/>
      <c r="Q15" s="133"/>
      <c r="T15" s="127"/>
    </row>
    <row r="16" spans="1:20" x14ac:dyDescent="0.25">
      <c r="A16" s="177">
        <f>Données!A16</f>
        <v>5411</v>
      </c>
      <c r="B16" s="356" t="str">
        <f>Données!B16</f>
        <v>Ormont-Dessus</v>
      </c>
      <c r="C16" s="177">
        <f>Données!AR16</f>
        <v>0</v>
      </c>
      <c r="D16" s="357">
        <f>Données!Z16</f>
        <v>1451</v>
      </c>
      <c r="E16" s="130">
        <f>Données!X16</f>
        <v>76</v>
      </c>
      <c r="F16" s="31">
        <f>VPI!L16</f>
        <v>5019763.4400000004</v>
      </c>
      <c r="G16" s="8">
        <f t="shared" si="3"/>
        <v>132099.03789473686</v>
      </c>
      <c r="H16" s="26">
        <f t="shared" si="4"/>
        <v>128359.17811230622</v>
      </c>
      <c r="I16" s="8">
        <f t="shared" si="5"/>
        <v>128359.17811230622</v>
      </c>
      <c r="J16" s="8">
        <f>VPI!R16</f>
        <v>77406.69241228071</v>
      </c>
      <c r="K16" s="238">
        <f t="shared" si="6"/>
        <v>94866.996234132064</v>
      </c>
      <c r="L16" s="345">
        <f t="shared" si="7"/>
        <v>223226.17434643829</v>
      </c>
      <c r="M16" s="234"/>
      <c r="N16" s="132"/>
      <c r="O16" s="129"/>
      <c r="Q16" s="133"/>
      <c r="T16" s="127"/>
    </row>
    <row r="17" spans="1:20" x14ac:dyDescent="0.25">
      <c r="A17" s="177">
        <f>Données!A17</f>
        <v>5412</v>
      </c>
      <c r="B17" s="356" t="str">
        <f>Données!B17</f>
        <v>Rennaz</v>
      </c>
      <c r="C17" s="177">
        <f>Données!AR17</f>
        <v>0</v>
      </c>
      <c r="D17" s="357">
        <f>Données!Z17</f>
        <v>883</v>
      </c>
      <c r="E17" s="130">
        <f>Données!X17</f>
        <v>69</v>
      </c>
      <c r="F17" s="31">
        <f>VPI!L17</f>
        <v>1591181.95</v>
      </c>
      <c r="G17" s="8">
        <f t="shared" si="3"/>
        <v>46121.215942028983</v>
      </c>
      <c r="H17" s="26">
        <f t="shared" si="4"/>
        <v>78112.442641741145</v>
      </c>
      <c r="I17" s="8">
        <f t="shared" si="5"/>
        <v>46121.215942028983</v>
      </c>
      <c r="J17" s="8">
        <f>VPI!R17</f>
        <v>28866.898550724636</v>
      </c>
      <c r="K17" s="238">
        <f t="shared" si="6"/>
        <v>35378.284109039079</v>
      </c>
      <c r="L17" s="345">
        <f t="shared" si="7"/>
        <v>81499.500051068055</v>
      </c>
      <c r="M17" s="131"/>
      <c r="N17" s="132"/>
      <c r="O17" s="129"/>
      <c r="Q17" s="133"/>
      <c r="T17" s="127"/>
    </row>
    <row r="18" spans="1:20" x14ac:dyDescent="0.25">
      <c r="A18" s="177">
        <f>Données!A18</f>
        <v>5413</v>
      </c>
      <c r="B18" s="356" t="str">
        <f>Données!B18</f>
        <v>Roche</v>
      </c>
      <c r="C18" s="177">
        <f>Données!AR18</f>
        <v>0</v>
      </c>
      <c r="D18" s="357">
        <f>Données!Z18</f>
        <v>1874</v>
      </c>
      <c r="E18" s="130">
        <f>Données!X18</f>
        <v>68</v>
      </c>
      <c r="F18" s="31">
        <f>VPI!L18</f>
        <v>2615565.4099999997</v>
      </c>
      <c r="G18" s="8">
        <f t="shared" si="3"/>
        <v>76928.39441176469</v>
      </c>
      <c r="H18" s="26">
        <f t="shared" si="4"/>
        <v>165778.84202788549</v>
      </c>
      <c r="I18" s="8">
        <f t="shared" si="5"/>
        <v>76928.39441176469</v>
      </c>
      <c r="J18" s="8">
        <f>VPI!R18</f>
        <v>43141.688749999994</v>
      </c>
      <c r="K18" s="238">
        <f t="shared" si="6"/>
        <v>52872.979023336098</v>
      </c>
      <c r="L18" s="345">
        <f t="shared" si="7"/>
        <v>129801.37343510079</v>
      </c>
      <c r="M18" s="131"/>
      <c r="N18" s="132"/>
      <c r="O18" s="129"/>
      <c r="Q18" s="133"/>
      <c r="T18" s="127"/>
    </row>
    <row r="19" spans="1:20" x14ac:dyDescent="0.25">
      <c r="A19" s="177">
        <f>Données!A19</f>
        <v>5414</v>
      </c>
      <c r="B19" s="356" t="str">
        <f>Données!B19</f>
        <v>Villeneuve</v>
      </c>
      <c r="C19" s="177">
        <f>Données!AR19</f>
        <v>0</v>
      </c>
      <c r="D19" s="357">
        <f>Données!Z19</f>
        <v>5921</v>
      </c>
      <c r="E19" s="130">
        <f>Données!X19</f>
        <v>67.5</v>
      </c>
      <c r="F19" s="31">
        <f>VPI!L19</f>
        <v>11083246.029999999</v>
      </c>
      <c r="G19" s="8">
        <f t="shared" si="3"/>
        <v>328392.47496296297</v>
      </c>
      <c r="H19" s="26">
        <f t="shared" si="4"/>
        <v>523786.83225566172</v>
      </c>
      <c r="I19" s="8">
        <f t="shared" si="5"/>
        <v>328392.47496296297</v>
      </c>
      <c r="J19" s="8">
        <f>VPI!R19</f>
        <v>185623.95377777779</v>
      </c>
      <c r="K19" s="238">
        <f t="shared" si="6"/>
        <v>227494.37258227763</v>
      </c>
      <c r="L19" s="345">
        <f t="shared" si="7"/>
        <v>555886.84754524054</v>
      </c>
      <c r="M19" s="131"/>
      <c r="N19" s="132"/>
      <c r="O19" s="129"/>
      <c r="Q19" s="133"/>
      <c r="T19" s="127"/>
    </row>
    <row r="20" spans="1:20" x14ac:dyDescent="0.25">
      <c r="A20" s="177">
        <f>Données!A20</f>
        <v>5415</v>
      </c>
      <c r="B20" s="356" t="str">
        <f>Données!B20</f>
        <v>Yvorne</v>
      </c>
      <c r="C20" s="177">
        <f>Données!AR20</f>
        <v>0</v>
      </c>
      <c r="D20" s="357">
        <f>Données!Z20</f>
        <v>1038</v>
      </c>
      <c r="E20" s="130">
        <f>Données!X20</f>
        <v>71.5</v>
      </c>
      <c r="F20" s="31">
        <f>VPI!L20</f>
        <v>2317223.7699999991</v>
      </c>
      <c r="G20" s="8">
        <f t="shared" si="3"/>
        <v>64817.448111888087</v>
      </c>
      <c r="H20" s="26">
        <f t="shared" si="4"/>
        <v>91824.139821208722</v>
      </c>
      <c r="I20" s="8">
        <f t="shared" si="5"/>
        <v>64817.448111888087</v>
      </c>
      <c r="J20" s="8">
        <f>VPI!R20</f>
        <v>35904.669044289032</v>
      </c>
      <c r="K20" s="238">
        <f t="shared" si="6"/>
        <v>44003.535054443579</v>
      </c>
      <c r="L20" s="345">
        <f t="shared" si="7"/>
        <v>108820.98316633166</v>
      </c>
      <c r="M20" s="131"/>
      <c r="N20" s="132"/>
      <c r="O20" s="129"/>
      <c r="Q20" s="133"/>
      <c r="T20" s="127"/>
    </row>
    <row r="21" spans="1:20" x14ac:dyDescent="0.25">
      <c r="A21" s="177">
        <f>Données!A21</f>
        <v>5422</v>
      </c>
      <c r="B21" s="356" t="str">
        <f>Données!B21</f>
        <v>Aubonne</v>
      </c>
      <c r="C21" s="177">
        <f>Données!AR21</f>
        <v>0</v>
      </c>
      <c r="D21" s="357">
        <f>Données!Z21</f>
        <v>3781</v>
      </c>
      <c r="E21" s="130">
        <f>Données!X21</f>
        <v>70</v>
      </c>
      <c r="F21" s="31">
        <f>VPI!L21</f>
        <v>20249598.690000001</v>
      </c>
      <c r="G21" s="8">
        <f t="shared" si="3"/>
        <v>578559.96257142862</v>
      </c>
      <c r="H21" s="26">
        <f t="shared" si="4"/>
        <v>334476.9486165609</v>
      </c>
      <c r="I21" s="8">
        <f t="shared" si="5"/>
        <v>334476.9486165609</v>
      </c>
      <c r="J21" s="8">
        <f>VPI!R21</f>
        <v>307027.61800000002</v>
      </c>
      <c r="K21" s="238">
        <f t="shared" si="6"/>
        <v>376282.55352194229</v>
      </c>
      <c r="L21" s="345">
        <f t="shared" si="7"/>
        <v>710759.50213850313</v>
      </c>
      <c r="M21" s="131"/>
      <c r="N21" s="132"/>
      <c r="O21" s="129"/>
      <c r="Q21" s="133"/>
      <c r="T21" s="127"/>
    </row>
    <row r="22" spans="1:20" x14ac:dyDescent="0.25">
      <c r="A22" s="177">
        <f>Données!A22</f>
        <v>5423</v>
      </c>
      <c r="B22" s="356" t="str">
        <f>Données!B22</f>
        <v>Ballens</v>
      </c>
      <c r="C22" s="177">
        <f>Données!AR22</f>
        <v>0</v>
      </c>
      <c r="D22" s="357">
        <f>Données!Z22</f>
        <v>567</v>
      </c>
      <c r="E22" s="130">
        <f>Données!X22</f>
        <v>73</v>
      </c>
      <c r="F22" s="31">
        <f>VPI!L22</f>
        <v>1098352.0799999996</v>
      </c>
      <c r="G22" s="8">
        <f t="shared" si="3"/>
        <v>30091.837808219167</v>
      </c>
      <c r="H22" s="26">
        <f t="shared" si="4"/>
        <v>50158.272908116902</v>
      </c>
      <c r="I22" s="8">
        <f t="shared" si="5"/>
        <v>30091.837808219167</v>
      </c>
      <c r="J22" s="8">
        <f>VPI!R22</f>
        <v>16194.081232876708</v>
      </c>
      <c r="K22" s="238">
        <f t="shared" si="6"/>
        <v>19846.912398117263</v>
      </c>
      <c r="L22" s="345">
        <f t="shared" si="7"/>
        <v>49938.75020633643</v>
      </c>
      <c r="M22" s="131"/>
      <c r="N22" s="132"/>
      <c r="O22" s="129"/>
      <c r="Q22" s="133"/>
      <c r="T22" s="127"/>
    </row>
    <row r="23" spans="1:20" x14ac:dyDescent="0.25">
      <c r="A23" s="177">
        <f>Données!A23</f>
        <v>5424</v>
      </c>
      <c r="B23" s="356" t="str">
        <f>Données!B23</f>
        <v>Berolle</v>
      </c>
      <c r="C23" s="177">
        <f>Données!AR23</f>
        <v>0</v>
      </c>
      <c r="D23" s="357">
        <f>Données!Z23</f>
        <v>308</v>
      </c>
      <c r="E23" s="130">
        <f>Données!X23</f>
        <v>75.5</v>
      </c>
      <c r="F23" s="31">
        <f>VPI!L23</f>
        <v>575498.07000000007</v>
      </c>
      <c r="G23" s="8">
        <f t="shared" si="3"/>
        <v>15244.981986754969</v>
      </c>
      <c r="H23" s="26">
        <f t="shared" si="4"/>
        <v>27246.469234038814</v>
      </c>
      <c r="I23" s="8">
        <f t="shared" si="5"/>
        <v>15244.981986754969</v>
      </c>
      <c r="J23" s="8">
        <f>VPI!R23</f>
        <v>8301.7307284768212</v>
      </c>
      <c r="K23" s="238">
        <f t="shared" si="6"/>
        <v>10174.317403468349</v>
      </c>
      <c r="L23" s="345">
        <f t="shared" si="7"/>
        <v>25419.299390223317</v>
      </c>
      <c r="M23" s="131"/>
      <c r="N23" s="132"/>
      <c r="O23" s="129"/>
      <c r="Q23" s="133"/>
      <c r="T23" s="127"/>
    </row>
    <row r="24" spans="1:20" s="128" customFormat="1" x14ac:dyDescent="0.25">
      <c r="A24" s="177">
        <f>Données!A24</f>
        <v>5425</v>
      </c>
      <c r="B24" s="356" t="str">
        <f>Données!B24</f>
        <v>Bière</v>
      </c>
      <c r="C24" s="177">
        <f>Données!AR24</f>
        <v>0</v>
      </c>
      <c r="D24" s="357">
        <f>Données!Z24</f>
        <v>1634</v>
      </c>
      <c r="E24" s="130">
        <f>Données!X24</f>
        <v>69</v>
      </c>
      <c r="F24" s="31">
        <f>VPI!L24</f>
        <v>2817712.2399999998</v>
      </c>
      <c r="G24" s="8">
        <f t="shared" si="3"/>
        <v>81672.818550724623</v>
      </c>
      <c r="H24" s="26">
        <f t="shared" si="4"/>
        <v>144547.82704032279</v>
      </c>
      <c r="I24" s="8">
        <f t="shared" si="5"/>
        <v>81672.818550724623</v>
      </c>
      <c r="J24" s="8">
        <f>VPI!R24</f>
        <v>44215.914072963518</v>
      </c>
      <c r="K24" s="238">
        <f t="shared" si="6"/>
        <v>54189.512859007671</v>
      </c>
      <c r="L24" s="345">
        <f t="shared" si="7"/>
        <v>135862.33140973229</v>
      </c>
      <c r="M24" s="131"/>
      <c r="N24" s="132"/>
      <c r="O24" s="129"/>
      <c r="P24" s="129"/>
      <c r="Q24" s="133"/>
    </row>
    <row r="25" spans="1:20" s="128" customFormat="1" x14ac:dyDescent="0.25">
      <c r="A25" s="177">
        <f>Données!A25</f>
        <v>5426</v>
      </c>
      <c r="B25" s="356" t="str">
        <f>Données!B25</f>
        <v>Bougy-Villars</v>
      </c>
      <c r="C25" s="177">
        <f>Données!AR25</f>
        <v>0</v>
      </c>
      <c r="D25" s="357">
        <f>Données!Z25</f>
        <v>497</v>
      </c>
      <c r="E25" s="130">
        <f>Données!X25</f>
        <v>64.5</v>
      </c>
      <c r="F25" s="31">
        <f>VPI!L25</f>
        <v>3118952.62</v>
      </c>
      <c r="G25" s="8">
        <f t="shared" si="3"/>
        <v>96711.70914728682</v>
      </c>
      <c r="H25" s="26">
        <f t="shared" si="4"/>
        <v>43965.89353674445</v>
      </c>
      <c r="I25" s="8">
        <f t="shared" si="5"/>
        <v>43965.89353674445</v>
      </c>
      <c r="J25" s="8">
        <f>VPI!R25</f>
        <v>53043.343074935401</v>
      </c>
      <c r="K25" s="238">
        <f t="shared" si="6"/>
        <v>65008.108096572359</v>
      </c>
      <c r="L25" s="345">
        <f t="shared" si="7"/>
        <v>108974.0016333168</v>
      </c>
      <c r="M25" s="131"/>
      <c r="N25" s="132"/>
      <c r="O25" s="129"/>
      <c r="P25" s="129"/>
      <c r="Q25" s="133"/>
    </row>
    <row r="26" spans="1:20" s="128" customFormat="1" x14ac:dyDescent="0.25">
      <c r="A26" s="177">
        <f>Données!A26</f>
        <v>5427</v>
      </c>
      <c r="B26" s="356" t="str">
        <f>Données!B26</f>
        <v>Féchy</v>
      </c>
      <c r="C26" s="177">
        <f>Données!AR26</f>
        <v>0</v>
      </c>
      <c r="D26" s="357">
        <f>Données!Z26</f>
        <v>893</v>
      </c>
      <c r="E26" s="130">
        <f>Données!X26</f>
        <v>64</v>
      </c>
      <c r="F26" s="31">
        <f>VPI!L26</f>
        <v>5282963.5600000015</v>
      </c>
      <c r="G26" s="8">
        <f t="shared" si="3"/>
        <v>165092.61125000005</v>
      </c>
      <c r="H26" s="26">
        <f t="shared" si="4"/>
        <v>78997.068266222923</v>
      </c>
      <c r="I26" s="8">
        <f t="shared" si="5"/>
        <v>78997.068266222923</v>
      </c>
      <c r="J26" s="8">
        <f>VPI!R26</f>
        <v>88211.829663461554</v>
      </c>
      <c r="K26" s="238">
        <f t="shared" si="6"/>
        <v>108109.403098095</v>
      </c>
      <c r="L26" s="345">
        <f t="shared" si="7"/>
        <v>187106.47136431793</v>
      </c>
      <c r="M26" s="131"/>
      <c r="N26" s="132"/>
      <c r="O26" s="129"/>
      <c r="P26" s="129"/>
      <c r="Q26" s="133"/>
    </row>
    <row r="27" spans="1:20" s="128" customFormat="1" x14ac:dyDescent="0.25">
      <c r="A27" s="177">
        <f>Données!A27</f>
        <v>5428</v>
      </c>
      <c r="B27" s="356" t="str">
        <f>Données!B27</f>
        <v>Gimel</v>
      </c>
      <c r="C27" s="177">
        <f>Données!AR27</f>
        <v>0</v>
      </c>
      <c r="D27" s="357">
        <f>Données!Z27</f>
        <v>2402</v>
      </c>
      <c r="E27" s="130">
        <f>Données!X27</f>
        <v>74.5</v>
      </c>
      <c r="F27" s="31">
        <f>VPI!L27</f>
        <v>4845238.72</v>
      </c>
      <c r="G27" s="8">
        <f t="shared" si="3"/>
        <v>130073.52268456375</v>
      </c>
      <c r="H27" s="26">
        <f t="shared" si="4"/>
        <v>212487.07500052347</v>
      </c>
      <c r="I27" s="8">
        <f t="shared" si="5"/>
        <v>130073.52268456375</v>
      </c>
      <c r="J27" s="8">
        <f>VPI!R27</f>
        <v>70557.620626398202</v>
      </c>
      <c r="K27" s="238">
        <f t="shared" si="6"/>
        <v>86473.00797459067</v>
      </c>
      <c r="L27" s="345">
        <f t="shared" si="7"/>
        <v>216546.53065915441</v>
      </c>
      <c r="M27" s="131"/>
      <c r="N27" s="132"/>
      <c r="O27" s="129"/>
      <c r="P27" s="129"/>
      <c r="Q27" s="133"/>
    </row>
    <row r="28" spans="1:20" s="128" customFormat="1" x14ac:dyDescent="0.25">
      <c r="A28" s="177">
        <f>Données!A28</f>
        <v>5429</v>
      </c>
      <c r="B28" s="356" t="str">
        <f>Données!B28</f>
        <v>Longirod</v>
      </c>
      <c r="C28" s="177">
        <f>Données!AR28</f>
        <v>0</v>
      </c>
      <c r="D28" s="357">
        <f>Données!Z28</f>
        <v>520</v>
      </c>
      <c r="E28" s="130">
        <f>Données!X28</f>
        <v>77.5</v>
      </c>
      <c r="F28" s="31">
        <f>VPI!L28</f>
        <v>1331033.2</v>
      </c>
      <c r="G28" s="8">
        <f t="shared" si="3"/>
        <v>34349.243870967737</v>
      </c>
      <c r="H28" s="26">
        <f t="shared" si="4"/>
        <v>46000.532473052539</v>
      </c>
      <c r="I28" s="8">
        <f t="shared" si="5"/>
        <v>34349.243870967737</v>
      </c>
      <c r="J28" s="8">
        <f>VPI!R28</f>
        <v>18573.92709677419</v>
      </c>
      <c r="K28" s="238">
        <f t="shared" si="6"/>
        <v>22763.570138841998</v>
      </c>
      <c r="L28" s="345">
        <f t="shared" si="7"/>
        <v>57112.814009809736</v>
      </c>
      <c r="M28" s="131"/>
      <c r="N28" s="132"/>
      <c r="O28" s="129"/>
      <c r="P28" s="129"/>
      <c r="Q28" s="133"/>
    </row>
    <row r="29" spans="1:20" s="128" customFormat="1" x14ac:dyDescent="0.25">
      <c r="A29" s="177">
        <f>Données!A29</f>
        <v>5430</v>
      </c>
      <c r="B29" s="356" t="str">
        <f>Données!B29</f>
        <v>Marchissy</v>
      </c>
      <c r="C29" s="177">
        <f>Données!AR29</f>
        <v>0</v>
      </c>
      <c r="D29" s="357">
        <f>Données!Z29</f>
        <v>485</v>
      </c>
      <c r="E29" s="130">
        <f>Données!X29</f>
        <v>77.5</v>
      </c>
      <c r="F29" s="31">
        <f>VPI!L29</f>
        <v>1112301.1100000001</v>
      </c>
      <c r="G29" s="8">
        <f t="shared" si="3"/>
        <v>28704.54477419355</v>
      </c>
      <c r="H29" s="215">
        <f t="shared" si="4"/>
        <v>42904.342787366309</v>
      </c>
      <c r="I29" s="8">
        <f t="shared" si="5"/>
        <v>28704.54477419355</v>
      </c>
      <c r="J29" s="8">
        <f>VPI!R29</f>
        <v>15580.605290322583</v>
      </c>
      <c r="K29" s="238">
        <f t="shared" si="6"/>
        <v>19095.057253318704</v>
      </c>
      <c r="L29" s="345">
        <f t="shared" si="7"/>
        <v>47799.602027512257</v>
      </c>
      <c r="M29" s="131"/>
      <c r="N29" s="132"/>
      <c r="O29" s="129"/>
      <c r="P29" s="129"/>
      <c r="Q29" s="133"/>
    </row>
    <row r="30" spans="1:20" s="128" customFormat="1" x14ac:dyDescent="0.25">
      <c r="A30" s="177">
        <f>Données!A30</f>
        <v>5431</v>
      </c>
      <c r="B30" s="356" t="str">
        <f>Données!B30</f>
        <v>Mollens</v>
      </c>
      <c r="C30" s="177">
        <f>Données!AR30</f>
        <v>0</v>
      </c>
      <c r="D30" s="357">
        <f>Données!Z30</f>
        <v>319</v>
      </c>
      <c r="E30" s="130">
        <f>Données!X30</f>
        <v>74</v>
      </c>
      <c r="F30" s="31">
        <f>VPI!L30</f>
        <v>720290.19</v>
      </c>
      <c r="G30" s="8">
        <f t="shared" si="3"/>
        <v>19467.302432432432</v>
      </c>
      <c r="H30" s="26">
        <f t="shared" si="4"/>
        <v>28219.557420968769</v>
      </c>
      <c r="I30" s="8">
        <f t="shared" si="5"/>
        <v>19467.302432432432</v>
      </c>
      <c r="J30" s="8">
        <f>VPI!R30</f>
        <v>10464.936351351351</v>
      </c>
      <c r="K30" s="238">
        <f t="shared" si="6"/>
        <v>12825.468270190222</v>
      </c>
      <c r="L30" s="345">
        <f t="shared" si="7"/>
        <v>32292.770702622656</v>
      </c>
      <c r="M30" s="131"/>
      <c r="N30" s="132"/>
      <c r="O30" s="129"/>
      <c r="P30" s="129"/>
      <c r="Q30" s="133"/>
    </row>
    <row r="31" spans="1:20" s="128" customFormat="1" x14ac:dyDescent="0.25">
      <c r="A31" s="177">
        <f>Données!A31</f>
        <v>5434</v>
      </c>
      <c r="B31" s="356" t="str">
        <f>Données!B31</f>
        <v>Saint-George</v>
      </c>
      <c r="C31" s="177">
        <f>Données!AR31</f>
        <v>0</v>
      </c>
      <c r="D31" s="357">
        <f>Données!Z31</f>
        <v>1072</v>
      </c>
      <c r="E31" s="130">
        <f>Données!X31</f>
        <v>69.5</v>
      </c>
      <c r="F31" s="31">
        <f>VPI!L31</f>
        <v>2781447.4699999997</v>
      </c>
      <c r="G31" s="8">
        <f t="shared" si="3"/>
        <v>80041.653812949633</v>
      </c>
      <c r="H31" s="26">
        <f t="shared" si="4"/>
        <v>94831.866944446781</v>
      </c>
      <c r="I31" s="8">
        <f t="shared" si="5"/>
        <v>80041.653812949633</v>
      </c>
      <c r="J31" s="8">
        <f>VPI!R31</f>
        <v>43543.93829736211</v>
      </c>
      <c r="K31" s="238">
        <f t="shared" si="6"/>
        <v>53365.962318521168</v>
      </c>
      <c r="L31" s="345">
        <f t="shared" si="7"/>
        <v>133407.6161314708</v>
      </c>
      <c r="M31" s="131"/>
      <c r="N31" s="132"/>
      <c r="O31" s="129"/>
      <c r="P31" s="129"/>
      <c r="Q31" s="133"/>
    </row>
    <row r="32" spans="1:20" s="128" customFormat="1" x14ac:dyDescent="0.25">
      <c r="A32" s="177">
        <f>Données!A32</f>
        <v>5435</v>
      </c>
      <c r="B32" s="356" t="str">
        <f>Données!B32</f>
        <v>Saint-Livres</v>
      </c>
      <c r="C32" s="177">
        <f>Données!AR32</f>
        <v>0</v>
      </c>
      <c r="D32" s="357">
        <f>Données!Z32</f>
        <v>674</v>
      </c>
      <c r="E32" s="130">
        <f>Données!X32</f>
        <v>69</v>
      </c>
      <c r="F32" s="31">
        <f>VPI!L32</f>
        <v>1655396.2000000004</v>
      </c>
      <c r="G32" s="8">
        <f t="shared" si="3"/>
        <v>47982.498550724653</v>
      </c>
      <c r="H32" s="26">
        <f t="shared" si="4"/>
        <v>59623.767090071946</v>
      </c>
      <c r="I32" s="8">
        <f t="shared" si="5"/>
        <v>47982.498550724653</v>
      </c>
      <c r="J32" s="8">
        <f>VPI!R32</f>
        <v>25853.824637681166</v>
      </c>
      <c r="K32" s="238">
        <f t="shared" si="6"/>
        <v>31685.563716861372</v>
      </c>
      <c r="L32" s="345">
        <f t="shared" si="7"/>
        <v>79668.062267586021</v>
      </c>
      <c r="M32" s="131"/>
      <c r="N32" s="132"/>
      <c r="O32" s="129"/>
      <c r="P32" s="129"/>
      <c r="Q32" s="133"/>
    </row>
    <row r="33" spans="1:17" s="128" customFormat="1" x14ac:dyDescent="0.25">
      <c r="A33" s="177">
        <f>Données!A33</f>
        <v>5436</v>
      </c>
      <c r="B33" s="356" t="str">
        <f>Données!B33</f>
        <v>Saint-Oyens</v>
      </c>
      <c r="C33" s="177">
        <f>Données!AR33</f>
        <v>0</v>
      </c>
      <c r="D33" s="357">
        <f>Données!Z33</f>
        <v>458</v>
      </c>
      <c r="E33" s="130">
        <f>Données!X33</f>
        <v>81</v>
      </c>
      <c r="F33" s="31">
        <f>VPI!L33</f>
        <v>1275652.07</v>
      </c>
      <c r="G33" s="8">
        <f t="shared" si="3"/>
        <v>31497.581975308643</v>
      </c>
      <c r="H33" s="26">
        <f t="shared" si="4"/>
        <v>40515.853601265509</v>
      </c>
      <c r="I33" s="8">
        <f t="shared" si="5"/>
        <v>31497.581975308643</v>
      </c>
      <c r="J33" s="8">
        <f>VPI!R33</f>
        <v>16868.155185185187</v>
      </c>
      <c r="K33" s="238">
        <f t="shared" si="6"/>
        <v>20673.034392254162</v>
      </c>
      <c r="L33" s="345">
        <f t="shared" si="7"/>
        <v>52170.616367562805</v>
      </c>
      <c r="M33" s="131"/>
      <c r="N33" s="132"/>
      <c r="O33" s="129"/>
      <c r="P33" s="129"/>
      <c r="Q33" s="133"/>
    </row>
    <row r="34" spans="1:17" s="128" customFormat="1" x14ac:dyDescent="0.25">
      <c r="A34" s="177">
        <f>Données!A34</f>
        <v>5437</v>
      </c>
      <c r="B34" s="356" t="str">
        <f>Données!B34</f>
        <v>Saubraz</v>
      </c>
      <c r="C34" s="177">
        <f>Données!AR34</f>
        <v>0</v>
      </c>
      <c r="D34" s="357">
        <f>Données!Z34</f>
        <v>444</v>
      </c>
      <c r="E34" s="130">
        <f>Données!X34</f>
        <v>80</v>
      </c>
      <c r="F34" s="31">
        <f>VPI!L34</f>
        <v>1013160.57</v>
      </c>
      <c r="G34" s="8">
        <f t="shared" si="3"/>
        <v>25329.01425</v>
      </c>
      <c r="H34" s="26">
        <f t="shared" si="4"/>
        <v>39277.377726991013</v>
      </c>
      <c r="I34" s="8">
        <f t="shared" si="5"/>
        <v>25329.01425</v>
      </c>
      <c r="J34" s="8">
        <f>VPI!R34</f>
        <v>13551.123374999999</v>
      </c>
      <c r="K34" s="238">
        <f t="shared" si="6"/>
        <v>16607.793591506415</v>
      </c>
      <c r="L34" s="345">
        <f t="shared" si="7"/>
        <v>41936.807841506416</v>
      </c>
      <c r="M34" s="131"/>
      <c r="N34" s="132"/>
      <c r="O34" s="129"/>
      <c r="P34" s="129"/>
      <c r="Q34" s="133"/>
    </row>
    <row r="35" spans="1:17" s="128" customFormat="1" x14ac:dyDescent="0.25">
      <c r="A35" s="177">
        <f>Données!A35</f>
        <v>5451</v>
      </c>
      <c r="B35" s="356" t="str">
        <f>Données!B35</f>
        <v>Avenches</v>
      </c>
      <c r="C35" s="177">
        <f>Données!AR35</f>
        <v>0</v>
      </c>
      <c r="D35" s="357">
        <f>Données!Z35</f>
        <v>4616</v>
      </c>
      <c r="E35" s="130">
        <f>Données!X35</f>
        <v>66.5</v>
      </c>
      <c r="F35" s="31">
        <f>VPI!L35</f>
        <v>8049718.7200000007</v>
      </c>
      <c r="G35" s="8">
        <f t="shared" si="3"/>
        <v>242096.80360902258</v>
      </c>
      <c r="H35" s="26">
        <f t="shared" si="4"/>
        <v>408343.18826078949</v>
      </c>
      <c r="I35" s="8">
        <f t="shared" si="5"/>
        <v>242096.80360902258</v>
      </c>
      <c r="J35" s="8">
        <f>VPI!R35</f>
        <v>137788.88576441104</v>
      </c>
      <c r="K35" s="238">
        <f t="shared" si="6"/>
        <v>168869.34836714197</v>
      </c>
      <c r="L35" s="345">
        <f t="shared" si="7"/>
        <v>410966.15197616455</v>
      </c>
      <c r="M35" s="131"/>
      <c r="N35" s="132"/>
      <c r="O35" s="129"/>
      <c r="P35" s="129"/>
      <c r="Q35" s="133"/>
    </row>
    <row r="36" spans="1:17" s="128" customFormat="1" x14ac:dyDescent="0.25">
      <c r="A36" s="177">
        <f>Données!A36</f>
        <v>5456</v>
      </c>
      <c r="B36" s="356" t="str">
        <f>Données!B36</f>
        <v>Cudrefin</v>
      </c>
      <c r="C36" s="177">
        <f>Données!AR36</f>
        <v>0</v>
      </c>
      <c r="D36" s="357">
        <f>Données!Z36</f>
        <v>1836</v>
      </c>
      <c r="E36" s="130">
        <f>Données!X36</f>
        <v>59</v>
      </c>
      <c r="F36" s="31">
        <f>VPI!L36</f>
        <v>3419490.2399999998</v>
      </c>
      <c r="G36" s="8">
        <f t="shared" si="3"/>
        <v>115914.9233898305</v>
      </c>
      <c r="H36" s="26">
        <f t="shared" si="4"/>
        <v>162417.26465485475</v>
      </c>
      <c r="I36" s="8">
        <f t="shared" si="5"/>
        <v>115914.9233898305</v>
      </c>
      <c r="J36" s="8">
        <f>VPI!R36</f>
        <v>64142.52694915254</v>
      </c>
      <c r="K36" s="238">
        <f t="shared" si="6"/>
        <v>78610.888450357961</v>
      </c>
      <c r="L36" s="345">
        <f t="shared" si="7"/>
        <v>194525.81184018846</v>
      </c>
      <c r="M36" s="131"/>
      <c r="N36" s="132"/>
      <c r="O36" s="129"/>
      <c r="P36" s="129"/>
      <c r="Q36" s="133"/>
    </row>
    <row r="37" spans="1:17" s="128" customFormat="1" x14ac:dyDescent="0.25">
      <c r="A37" s="177">
        <f>Données!A37</f>
        <v>5458</v>
      </c>
      <c r="B37" s="356" t="str">
        <f>Données!B37</f>
        <v>Faoug</v>
      </c>
      <c r="C37" s="177">
        <f>Données!AR37</f>
        <v>0</v>
      </c>
      <c r="D37" s="357">
        <f>Données!Z37</f>
        <v>866</v>
      </c>
      <c r="E37" s="130">
        <f>Données!X37</f>
        <v>65</v>
      </c>
      <c r="F37" s="31">
        <f>VPI!L37</f>
        <v>2053986.42</v>
      </c>
      <c r="G37" s="8">
        <f t="shared" si="3"/>
        <v>63199.582153846153</v>
      </c>
      <c r="H37" s="26">
        <f t="shared" si="4"/>
        <v>76608.579080122116</v>
      </c>
      <c r="I37" s="8">
        <f t="shared" si="5"/>
        <v>63199.582153846153</v>
      </c>
      <c r="J37" s="8">
        <f>VPI!R37</f>
        <v>34719.981076923075</v>
      </c>
      <c r="K37" s="238">
        <f t="shared" si="6"/>
        <v>42551.621977727526</v>
      </c>
      <c r="L37" s="345">
        <f t="shared" si="7"/>
        <v>105751.20413157367</v>
      </c>
      <c r="M37" s="131"/>
      <c r="N37" s="132"/>
      <c r="O37" s="129"/>
      <c r="P37" s="129"/>
      <c r="Q37" s="133"/>
    </row>
    <row r="38" spans="1:17" s="128" customFormat="1" x14ac:dyDescent="0.25">
      <c r="A38" s="177">
        <f>Données!A38</f>
        <v>5464</v>
      </c>
      <c r="B38" s="356" t="str">
        <f>Données!B38</f>
        <v>Vully-les-Lacs</v>
      </c>
      <c r="C38" s="177">
        <f>Données!AR38</f>
        <v>0</v>
      </c>
      <c r="D38" s="357">
        <f>Données!Z38</f>
        <v>3465</v>
      </c>
      <c r="E38" s="130">
        <f>Données!X38</f>
        <v>67</v>
      </c>
      <c r="F38" s="31">
        <f>VPI!L38</f>
        <v>7252381.1000000006</v>
      </c>
      <c r="G38" s="8">
        <f t="shared" si="3"/>
        <v>216488.98805970151</v>
      </c>
      <c r="H38" s="26">
        <f t="shared" si="4"/>
        <v>306522.77888293663</v>
      </c>
      <c r="I38" s="8">
        <f t="shared" si="5"/>
        <v>216488.98805970151</v>
      </c>
      <c r="J38" s="8">
        <f>VPI!R38</f>
        <v>119166.87835820897</v>
      </c>
      <c r="K38" s="238">
        <f t="shared" si="6"/>
        <v>146046.85264459025</v>
      </c>
      <c r="L38" s="345">
        <f t="shared" si="7"/>
        <v>362535.84070429177</v>
      </c>
      <c r="M38" s="131"/>
      <c r="N38" s="132"/>
      <c r="O38" s="129"/>
      <c r="P38" s="129"/>
      <c r="Q38" s="133"/>
    </row>
    <row r="39" spans="1:17" s="128" customFormat="1" x14ac:dyDescent="0.25">
      <c r="A39" s="177">
        <f>Données!A39</f>
        <v>5471</v>
      </c>
      <c r="B39" s="356" t="str">
        <f>Données!B39</f>
        <v>Bettens</v>
      </c>
      <c r="C39" s="177">
        <f>Données!AR39</f>
        <v>0</v>
      </c>
      <c r="D39" s="357">
        <f>Données!Z39</f>
        <v>626</v>
      </c>
      <c r="E39" s="130">
        <f>Données!X39</f>
        <v>70</v>
      </c>
      <c r="F39" s="31">
        <f>VPI!L39</f>
        <v>1460644.92</v>
      </c>
      <c r="G39" s="8">
        <f t="shared" si="3"/>
        <v>41732.712</v>
      </c>
      <c r="H39" s="26">
        <f t="shared" si="4"/>
        <v>55377.564092559405</v>
      </c>
      <c r="I39" s="8">
        <f t="shared" si="5"/>
        <v>41732.712</v>
      </c>
      <c r="J39" s="8">
        <f>VPI!R39</f>
        <v>22887.22226984127</v>
      </c>
      <c r="K39" s="238">
        <f t="shared" si="6"/>
        <v>28049.797261952299</v>
      </c>
      <c r="L39" s="345">
        <f t="shared" si="7"/>
        <v>69782.509261952306</v>
      </c>
      <c r="M39" s="131"/>
      <c r="N39" s="132"/>
      <c r="O39" s="129"/>
      <c r="P39" s="129"/>
      <c r="Q39" s="133"/>
    </row>
    <row r="40" spans="1:17" s="128" customFormat="1" x14ac:dyDescent="0.25">
      <c r="A40" s="177">
        <f>Données!A40</f>
        <v>5472</v>
      </c>
      <c r="B40" s="356" t="str">
        <f>Données!B40</f>
        <v>Bournens</v>
      </c>
      <c r="C40" s="177">
        <f>Données!AR40</f>
        <v>0</v>
      </c>
      <c r="D40" s="357">
        <f>Données!Z40</f>
        <v>507</v>
      </c>
      <c r="E40" s="130">
        <f>Données!X40</f>
        <v>72</v>
      </c>
      <c r="F40" s="31">
        <f>VPI!L40</f>
        <v>1483899.1099999999</v>
      </c>
      <c r="G40" s="8">
        <f t="shared" si="3"/>
        <v>41219.419722222221</v>
      </c>
      <c r="H40" s="26">
        <f t="shared" si="4"/>
        <v>44850.519161226228</v>
      </c>
      <c r="I40" s="8">
        <f t="shared" si="5"/>
        <v>41219.419722222221</v>
      </c>
      <c r="J40" s="8">
        <f>VPI!R40</f>
        <v>22175.50986111111</v>
      </c>
      <c r="K40" s="238">
        <f t="shared" si="6"/>
        <v>27177.546862217132</v>
      </c>
      <c r="L40" s="345">
        <f t="shared" si="7"/>
        <v>68396.96658443936</v>
      </c>
      <c r="M40" s="131"/>
      <c r="N40" s="132"/>
      <c r="O40" s="129"/>
      <c r="P40" s="129"/>
      <c r="Q40" s="133"/>
    </row>
    <row r="41" spans="1:17" s="128" customFormat="1" x14ac:dyDescent="0.25">
      <c r="A41" s="177">
        <f>Données!A41</f>
        <v>5473</v>
      </c>
      <c r="B41" s="356" t="str">
        <f>Données!B41</f>
        <v>Boussens</v>
      </c>
      <c r="C41" s="177">
        <f>Données!AR41</f>
        <v>0</v>
      </c>
      <c r="D41" s="357">
        <f>Données!Z41</f>
        <v>1001</v>
      </c>
      <c r="E41" s="130">
        <f>Données!X41</f>
        <v>67.5</v>
      </c>
      <c r="F41" s="31">
        <f>VPI!L41</f>
        <v>2300223.6000000006</v>
      </c>
      <c r="G41" s="8">
        <f t="shared" si="3"/>
        <v>68154.773333333345</v>
      </c>
      <c r="H41" s="26">
        <f t="shared" si="4"/>
        <v>88551.025010626137</v>
      </c>
      <c r="I41" s="8">
        <f t="shared" si="5"/>
        <v>68154.773333333345</v>
      </c>
      <c r="J41" s="8">
        <f>VPI!R41</f>
        <v>37058.091851851859</v>
      </c>
      <c r="K41" s="238">
        <f t="shared" si="6"/>
        <v>45417.130620039206</v>
      </c>
      <c r="L41" s="345">
        <f t="shared" si="7"/>
        <v>113571.90395337256</v>
      </c>
      <c r="M41" s="131"/>
      <c r="N41" s="132"/>
      <c r="O41" s="129"/>
      <c r="P41" s="129"/>
      <c r="Q41" s="133"/>
    </row>
    <row r="42" spans="1:17" s="128" customFormat="1" x14ac:dyDescent="0.25">
      <c r="A42" s="177">
        <f>Données!A42</f>
        <v>5474</v>
      </c>
      <c r="B42" s="356" t="str">
        <f>Données!B42</f>
        <v>La Chaux (Cossonay)</v>
      </c>
      <c r="C42" s="177">
        <f>Données!AR42</f>
        <v>0</v>
      </c>
      <c r="D42" s="357">
        <f>Données!Z42</f>
        <v>398</v>
      </c>
      <c r="E42" s="130">
        <f>Données!X42</f>
        <v>76</v>
      </c>
      <c r="F42" s="31">
        <f>VPI!L42</f>
        <v>905777.50000000012</v>
      </c>
      <c r="G42" s="8">
        <f t="shared" si="3"/>
        <v>23836.250000000004</v>
      </c>
      <c r="H42" s="26">
        <f t="shared" si="4"/>
        <v>35208.099854374828</v>
      </c>
      <c r="I42" s="8">
        <f t="shared" si="5"/>
        <v>23836.250000000004</v>
      </c>
      <c r="J42" s="8">
        <f>VPI!R42</f>
        <v>12904.367324561405</v>
      </c>
      <c r="K42" s="238">
        <f t="shared" si="6"/>
        <v>15815.151484095739</v>
      </c>
      <c r="L42" s="345">
        <f t="shared" si="7"/>
        <v>39651.401484095739</v>
      </c>
      <c r="M42" s="131"/>
      <c r="N42" s="132"/>
      <c r="O42" s="129"/>
      <c r="P42" s="129"/>
      <c r="Q42" s="133"/>
    </row>
    <row r="43" spans="1:17" s="128" customFormat="1" x14ac:dyDescent="0.25">
      <c r="A43" s="177">
        <f>Données!A43</f>
        <v>5475</v>
      </c>
      <c r="B43" s="356" t="str">
        <f>Données!B43</f>
        <v>Chavannes-le-Veyron</v>
      </c>
      <c r="C43" s="177">
        <f>Données!AR43</f>
        <v>0</v>
      </c>
      <c r="D43" s="357">
        <f>Données!Z43</f>
        <v>155</v>
      </c>
      <c r="E43" s="130">
        <f>Données!X43</f>
        <v>75</v>
      </c>
      <c r="F43" s="31">
        <f>VPI!L43</f>
        <v>295394.94</v>
      </c>
      <c r="G43" s="8">
        <f t="shared" si="3"/>
        <v>7877.1984000000002</v>
      </c>
      <c r="H43" s="26">
        <f t="shared" si="4"/>
        <v>13711.697179467585</v>
      </c>
      <c r="I43" s="8">
        <f t="shared" si="5"/>
        <v>7877.1984000000002</v>
      </c>
      <c r="J43" s="8">
        <f>VPI!R43</f>
        <v>4277.2565333333332</v>
      </c>
      <c r="K43" s="238">
        <f t="shared" si="6"/>
        <v>5242.0593981583679</v>
      </c>
      <c r="L43" s="345">
        <f t="shared" si="7"/>
        <v>13119.257798158367</v>
      </c>
      <c r="M43" s="131"/>
      <c r="N43" s="132"/>
      <c r="O43" s="129"/>
      <c r="P43" s="129"/>
      <c r="Q43" s="133"/>
    </row>
    <row r="44" spans="1:17" s="128" customFormat="1" x14ac:dyDescent="0.25">
      <c r="A44" s="177">
        <f>Données!A44</f>
        <v>5476</v>
      </c>
      <c r="B44" s="356" t="str">
        <f>Données!B44</f>
        <v>Chevilly</v>
      </c>
      <c r="C44" s="177">
        <f>Données!AR44</f>
        <v>0</v>
      </c>
      <c r="D44" s="357">
        <f>Données!Z44</f>
        <v>322</v>
      </c>
      <c r="E44" s="130">
        <f>Données!X44</f>
        <v>72.5</v>
      </c>
      <c r="F44" s="31">
        <f>VPI!L44</f>
        <v>814178.25000000012</v>
      </c>
      <c r="G44" s="8">
        <f t="shared" si="3"/>
        <v>22460.089655172418</v>
      </c>
      <c r="H44" s="26">
        <f t="shared" si="4"/>
        <v>28484.945108313303</v>
      </c>
      <c r="I44" s="8">
        <f t="shared" si="5"/>
        <v>22460.089655172418</v>
      </c>
      <c r="J44" s="8">
        <f>VPI!R44</f>
        <v>12081.593793103451</v>
      </c>
      <c r="K44" s="238">
        <f t="shared" si="6"/>
        <v>14806.788368738265</v>
      </c>
      <c r="L44" s="345">
        <f t="shared" si="7"/>
        <v>37266.878023910685</v>
      </c>
      <c r="M44" s="131"/>
      <c r="N44" s="132"/>
      <c r="O44" s="129"/>
      <c r="P44" s="129"/>
      <c r="Q44" s="133"/>
    </row>
    <row r="45" spans="1:17" s="128" customFormat="1" x14ac:dyDescent="0.25">
      <c r="A45" s="177">
        <f>Données!A45</f>
        <v>5477</v>
      </c>
      <c r="B45" s="356" t="str">
        <f>Données!B45</f>
        <v>Cossonay</v>
      </c>
      <c r="C45" s="177">
        <f>Données!AR45</f>
        <v>0</v>
      </c>
      <c r="D45" s="357">
        <f>Données!Z45</f>
        <v>4326</v>
      </c>
      <c r="E45" s="130">
        <f>Données!X45</f>
        <v>69.5</v>
      </c>
      <c r="F45" s="31">
        <f>VPI!L45</f>
        <v>9095484.9899999984</v>
      </c>
      <c r="G45" s="8">
        <f t="shared" si="3"/>
        <v>261740.57525179852</v>
      </c>
      <c r="H45" s="26">
        <f t="shared" si="4"/>
        <v>382689.04515081784</v>
      </c>
      <c r="I45" s="8">
        <f t="shared" si="5"/>
        <v>261740.57525179852</v>
      </c>
      <c r="J45" s="8">
        <f>VPI!R45</f>
        <v>142576.66388489207</v>
      </c>
      <c r="K45" s="238">
        <f t="shared" si="6"/>
        <v>174737.08557139273</v>
      </c>
      <c r="L45" s="345">
        <f t="shared" si="7"/>
        <v>436477.66082319128</v>
      </c>
      <c r="M45" s="131"/>
      <c r="N45" s="132"/>
      <c r="O45" s="129"/>
      <c r="P45" s="129"/>
      <c r="Q45" s="133"/>
    </row>
    <row r="46" spans="1:17" s="128" customFormat="1" x14ac:dyDescent="0.25">
      <c r="A46" s="177">
        <f>Données!A46</f>
        <v>5479</v>
      </c>
      <c r="B46" s="356" t="str">
        <f>Données!B46</f>
        <v>Cuarnens</v>
      </c>
      <c r="C46" s="177">
        <f>Données!AR46</f>
        <v>0</v>
      </c>
      <c r="D46" s="357">
        <f>Données!Z46</f>
        <v>531</v>
      </c>
      <c r="E46" s="130">
        <f>Données!X46</f>
        <v>77</v>
      </c>
      <c r="F46" s="31">
        <f>VPI!L46</f>
        <v>1292536.4099999999</v>
      </c>
      <c r="G46" s="8">
        <f t="shared" si="3"/>
        <v>33572.374285714286</v>
      </c>
      <c r="H46" s="26">
        <f t="shared" si="4"/>
        <v>46973.620659982495</v>
      </c>
      <c r="I46" s="8">
        <f t="shared" si="5"/>
        <v>33572.374285714286</v>
      </c>
      <c r="J46" s="8">
        <f>VPI!R46</f>
        <v>17984.468961038958</v>
      </c>
      <c r="K46" s="238">
        <f t="shared" si="6"/>
        <v>22041.150397082034</v>
      </c>
      <c r="L46" s="345">
        <f t="shared" si="7"/>
        <v>55613.52468279632</v>
      </c>
      <c r="M46" s="131"/>
      <c r="N46" s="132"/>
      <c r="O46" s="129"/>
      <c r="P46" s="129"/>
      <c r="Q46" s="133"/>
    </row>
    <row r="47" spans="1:17" s="128" customFormat="1" x14ac:dyDescent="0.25">
      <c r="A47" s="177">
        <f>Données!A47</f>
        <v>5480</v>
      </c>
      <c r="B47" s="356" t="str">
        <f>Données!B47</f>
        <v>Daillens</v>
      </c>
      <c r="C47" s="177">
        <f>Données!AR47</f>
        <v>0</v>
      </c>
      <c r="D47" s="357">
        <f>Données!Z47</f>
        <v>1051</v>
      </c>
      <c r="E47" s="130">
        <f>Données!X47</f>
        <v>66</v>
      </c>
      <c r="F47" s="31">
        <f>VPI!L47</f>
        <v>2402529.9500000002</v>
      </c>
      <c r="G47" s="8">
        <f t="shared" si="3"/>
        <v>72803.937878787881</v>
      </c>
      <c r="H47" s="26">
        <f t="shared" si="4"/>
        <v>92974.153133035041</v>
      </c>
      <c r="I47" s="8">
        <f t="shared" si="5"/>
        <v>72803.937878787881</v>
      </c>
      <c r="J47" s="8">
        <f>VPI!R47</f>
        <v>41328.998989898995</v>
      </c>
      <c r="K47" s="238">
        <f t="shared" si="6"/>
        <v>50651.408416375649</v>
      </c>
      <c r="L47" s="345">
        <f t="shared" si="7"/>
        <v>123455.34629516353</v>
      </c>
      <c r="M47" s="131"/>
      <c r="N47" s="132"/>
      <c r="O47" s="129"/>
      <c r="P47" s="129"/>
      <c r="Q47" s="133"/>
    </row>
    <row r="48" spans="1:17" s="128" customFormat="1" x14ac:dyDescent="0.25">
      <c r="A48" s="177">
        <f>Données!A48</f>
        <v>5481</v>
      </c>
      <c r="B48" s="356" t="str">
        <f>Données!B48</f>
        <v>Dizy</v>
      </c>
      <c r="C48" s="177">
        <f>Données!AR48</f>
        <v>0</v>
      </c>
      <c r="D48" s="357">
        <f>Données!Z48</f>
        <v>225</v>
      </c>
      <c r="E48" s="130">
        <f>Données!X48</f>
        <v>75</v>
      </c>
      <c r="F48" s="31">
        <f>VPI!L48</f>
        <v>567596.74000000011</v>
      </c>
      <c r="G48" s="8">
        <f t="shared" si="3"/>
        <v>15135.91306666667</v>
      </c>
      <c r="H48" s="26">
        <f t="shared" si="4"/>
        <v>19904.07655084004</v>
      </c>
      <c r="I48" s="8">
        <f t="shared" si="5"/>
        <v>15135.91306666667</v>
      </c>
      <c r="J48" s="8">
        <f>VPI!R48</f>
        <v>8120.2678666666679</v>
      </c>
      <c r="K48" s="238">
        <f t="shared" si="6"/>
        <v>9951.9227229633416</v>
      </c>
      <c r="L48" s="345">
        <f t="shared" si="7"/>
        <v>25087.835789630011</v>
      </c>
      <c r="M48" s="131"/>
      <c r="N48" s="132"/>
      <c r="O48" s="129"/>
      <c r="P48" s="129"/>
      <c r="Q48" s="133"/>
    </row>
    <row r="49" spans="1:17" s="128" customFormat="1" x14ac:dyDescent="0.25">
      <c r="A49" s="177">
        <f>Données!A49</f>
        <v>5482</v>
      </c>
      <c r="B49" s="356" t="str">
        <f>Données!B49</f>
        <v>Eclépens</v>
      </c>
      <c r="C49" s="177">
        <f>Données!AR49</f>
        <v>0</v>
      </c>
      <c r="D49" s="357">
        <f>Données!Z49</f>
        <v>1198</v>
      </c>
      <c r="E49" s="130">
        <f>Données!X49</f>
        <v>46</v>
      </c>
      <c r="F49" s="31">
        <f>VPI!L49</f>
        <v>1993638.5299999998</v>
      </c>
      <c r="G49" s="8">
        <f t="shared" si="3"/>
        <v>86679.936086956513</v>
      </c>
      <c r="H49" s="26">
        <f t="shared" si="4"/>
        <v>105978.1498129172</v>
      </c>
      <c r="I49" s="8">
        <f t="shared" si="5"/>
        <v>86679.936086956513</v>
      </c>
      <c r="J49" s="8">
        <f>VPI!R49</f>
        <v>54169.31369565217</v>
      </c>
      <c r="K49" s="238">
        <f t="shared" si="6"/>
        <v>66388.059200365227</v>
      </c>
      <c r="L49" s="345">
        <f t="shared" si="7"/>
        <v>153067.99528732174</v>
      </c>
      <c r="M49" s="131"/>
      <c r="N49" s="132"/>
      <c r="O49" s="129"/>
      <c r="P49" s="129"/>
      <c r="Q49" s="133"/>
    </row>
    <row r="50" spans="1:17" s="128" customFormat="1" x14ac:dyDescent="0.25">
      <c r="A50" s="177">
        <f>Données!A50</f>
        <v>5483</v>
      </c>
      <c r="B50" s="356" t="str">
        <f>Données!B50</f>
        <v>Ferreyres</v>
      </c>
      <c r="C50" s="177">
        <f>Données!AR50</f>
        <v>0</v>
      </c>
      <c r="D50" s="357">
        <f>Données!Z50</f>
        <v>319</v>
      </c>
      <c r="E50" s="130">
        <f>Données!X50</f>
        <v>76</v>
      </c>
      <c r="F50" s="31">
        <f>VPI!L50</f>
        <v>743544.14</v>
      </c>
      <c r="G50" s="8">
        <f t="shared" si="3"/>
        <v>19566.951052631579</v>
      </c>
      <c r="H50" s="26">
        <f t="shared" si="4"/>
        <v>28219.557420968769</v>
      </c>
      <c r="I50" s="8">
        <f t="shared" si="5"/>
        <v>19566.951052631579</v>
      </c>
      <c r="J50" s="8">
        <f>VPI!R50</f>
        <v>10537.013684210528</v>
      </c>
      <c r="K50" s="238">
        <f t="shared" si="6"/>
        <v>12913.803785529111</v>
      </c>
      <c r="L50" s="345">
        <f t="shared" si="7"/>
        <v>32480.75483816069</v>
      </c>
      <c r="M50" s="131"/>
      <c r="N50" s="132"/>
      <c r="O50" s="129"/>
      <c r="P50" s="129"/>
      <c r="Q50" s="133"/>
    </row>
    <row r="51" spans="1:17" s="128" customFormat="1" x14ac:dyDescent="0.25">
      <c r="A51" s="177">
        <f>Données!A51</f>
        <v>5484</v>
      </c>
      <c r="B51" s="356" t="str">
        <f>Données!B51</f>
        <v>Gollion</v>
      </c>
      <c r="C51" s="177">
        <f>Données!AR51</f>
        <v>0</v>
      </c>
      <c r="D51" s="357">
        <f>Données!Z51</f>
        <v>1018</v>
      </c>
      <c r="E51" s="130">
        <f>Données!X51</f>
        <v>74</v>
      </c>
      <c r="F51" s="31">
        <f>VPI!L51</f>
        <v>2454781.6100000008</v>
      </c>
      <c r="G51" s="8">
        <f t="shared" si="3"/>
        <v>66345.448918918933</v>
      </c>
      <c r="H51" s="26">
        <f t="shared" si="4"/>
        <v>90054.888572245167</v>
      </c>
      <c r="I51" s="8">
        <f t="shared" si="5"/>
        <v>66345.448918918933</v>
      </c>
      <c r="J51" s="8">
        <f>VPI!R51</f>
        <v>35949.064324324332</v>
      </c>
      <c r="K51" s="238">
        <f t="shared" si="6"/>
        <v>44057.944392094774</v>
      </c>
      <c r="L51" s="345">
        <f t="shared" si="7"/>
        <v>110403.3933110137</v>
      </c>
      <c r="M51" s="131"/>
      <c r="N51" s="132"/>
      <c r="O51" s="129"/>
      <c r="P51" s="129"/>
      <c r="Q51" s="133"/>
    </row>
    <row r="52" spans="1:17" s="128" customFormat="1" x14ac:dyDescent="0.25">
      <c r="A52" s="177">
        <f>Données!A52</f>
        <v>5485</v>
      </c>
      <c r="B52" s="356" t="str">
        <f>Données!B52</f>
        <v>Grancy</v>
      </c>
      <c r="C52" s="177">
        <f>Données!AR52</f>
        <v>0</v>
      </c>
      <c r="D52" s="357">
        <f>Données!Z52</f>
        <v>445</v>
      </c>
      <c r="E52" s="130">
        <f>Données!X52</f>
        <v>70</v>
      </c>
      <c r="F52" s="31">
        <f>VPI!L52</f>
        <v>1634878.09</v>
      </c>
      <c r="G52" s="8">
        <f t="shared" si="3"/>
        <v>46710.802571428576</v>
      </c>
      <c r="H52" s="26">
        <f t="shared" si="4"/>
        <v>39365.840289439191</v>
      </c>
      <c r="I52" s="8">
        <f t="shared" si="5"/>
        <v>39365.840289439191</v>
      </c>
      <c r="J52" s="8">
        <f>VPI!R52</f>
        <v>24486.752</v>
      </c>
      <c r="K52" s="238">
        <f t="shared" si="6"/>
        <v>30010.126222646613</v>
      </c>
      <c r="L52" s="345">
        <f t="shared" si="7"/>
        <v>69375.966512085812</v>
      </c>
      <c r="M52" s="131"/>
      <c r="N52" s="132"/>
      <c r="O52" s="129"/>
      <c r="P52" s="129"/>
      <c r="Q52" s="133"/>
    </row>
    <row r="53" spans="1:17" s="128" customFormat="1" x14ac:dyDescent="0.25">
      <c r="A53" s="177">
        <f>Données!A53</f>
        <v>5486</v>
      </c>
      <c r="B53" s="356" t="str">
        <f>Données!B53</f>
        <v>L'Isle</v>
      </c>
      <c r="C53" s="177">
        <f>Données!AR53</f>
        <v>0</v>
      </c>
      <c r="D53" s="357">
        <f>Données!Z53</f>
        <v>1079</v>
      </c>
      <c r="E53" s="130">
        <f>Données!X53</f>
        <v>75</v>
      </c>
      <c r="F53" s="31">
        <f>VPI!L53</f>
        <v>1979418.2800000003</v>
      </c>
      <c r="G53" s="8">
        <f t="shared" si="3"/>
        <v>52784.487466666673</v>
      </c>
      <c r="H53" s="26">
        <f t="shared" si="4"/>
        <v>95451.104881584019</v>
      </c>
      <c r="I53" s="8">
        <f t="shared" si="5"/>
        <v>52784.487466666673</v>
      </c>
      <c r="J53" s="8">
        <f>VPI!R53</f>
        <v>29228.321066666667</v>
      </c>
      <c r="K53" s="238">
        <f t="shared" si="6"/>
        <v>35821.231190102619</v>
      </c>
      <c r="L53" s="345">
        <f t="shared" si="7"/>
        <v>88605.718656769284</v>
      </c>
      <c r="M53" s="131"/>
      <c r="N53" s="132"/>
      <c r="O53" s="129"/>
      <c r="P53" s="129"/>
      <c r="Q53" s="133"/>
    </row>
    <row r="54" spans="1:17" s="128" customFormat="1" x14ac:dyDescent="0.25">
      <c r="A54" s="177">
        <f>Données!A54</f>
        <v>5487</v>
      </c>
      <c r="B54" s="356" t="str">
        <f>Données!B54</f>
        <v>Lussery-Villars</v>
      </c>
      <c r="C54" s="177">
        <f>Données!AR54</f>
        <v>0</v>
      </c>
      <c r="D54" s="357">
        <f>Données!Z54</f>
        <v>475</v>
      </c>
      <c r="E54" s="130">
        <f>Données!X54</f>
        <v>75</v>
      </c>
      <c r="F54" s="31">
        <f>VPI!L54</f>
        <v>1161168.9400000002</v>
      </c>
      <c r="G54" s="8">
        <f t="shared" si="3"/>
        <v>30964.505066666672</v>
      </c>
      <c r="H54" s="26">
        <f t="shared" si="4"/>
        <v>42019.717162884532</v>
      </c>
      <c r="I54" s="8">
        <f t="shared" si="5"/>
        <v>30964.505066666672</v>
      </c>
      <c r="J54" s="8">
        <f>VPI!R54</f>
        <v>16622.186533333337</v>
      </c>
      <c r="K54" s="238">
        <f t="shared" si="6"/>
        <v>20371.583620469966</v>
      </c>
      <c r="L54" s="345">
        <f t="shared" si="7"/>
        <v>51336.088687136638</v>
      </c>
      <c r="M54" s="131"/>
      <c r="N54" s="132"/>
      <c r="O54" s="129"/>
      <c r="P54" s="129"/>
      <c r="Q54" s="133"/>
    </row>
    <row r="55" spans="1:17" s="128" customFormat="1" x14ac:dyDescent="0.25">
      <c r="A55" s="177">
        <f>Données!A55</f>
        <v>5488</v>
      </c>
      <c r="B55" s="356" t="str">
        <f>Données!B55</f>
        <v>Mauraz</v>
      </c>
      <c r="C55" s="177">
        <f>Données!AR55</f>
        <v>0</v>
      </c>
      <c r="D55" s="357">
        <f>Données!Z55</f>
        <v>60</v>
      </c>
      <c r="E55" s="130">
        <f>Données!X55</f>
        <v>77</v>
      </c>
      <c r="F55" s="31">
        <f>VPI!L55</f>
        <v>124563.17</v>
      </c>
      <c r="G55" s="8">
        <f t="shared" si="3"/>
        <v>3235.4070129870129</v>
      </c>
      <c r="H55" s="26">
        <f t="shared" si="4"/>
        <v>5307.7537468906776</v>
      </c>
      <c r="I55" s="8">
        <f t="shared" si="5"/>
        <v>3235.4070129870129</v>
      </c>
      <c r="J55" s="8">
        <f>VPI!R55</f>
        <v>1729.1580519480517</v>
      </c>
      <c r="K55" s="238">
        <f t="shared" si="6"/>
        <v>2119.1970008054464</v>
      </c>
      <c r="L55" s="345">
        <f t="shared" si="7"/>
        <v>5354.6040137924592</v>
      </c>
      <c r="M55" s="131"/>
      <c r="N55" s="132"/>
      <c r="O55" s="129"/>
      <c r="P55" s="129"/>
      <c r="Q55" s="133"/>
    </row>
    <row r="56" spans="1:17" s="128" customFormat="1" x14ac:dyDescent="0.25">
      <c r="A56" s="177">
        <f>Données!A56</f>
        <v>5489</v>
      </c>
      <c r="B56" s="356" t="str">
        <f>Données!B56</f>
        <v>Mex</v>
      </c>
      <c r="C56" s="177">
        <f>Données!AR56</f>
        <v>0</v>
      </c>
      <c r="D56" s="357">
        <f>Données!Z56</f>
        <v>795</v>
      </c>
      <c r="E56" s="130">
        <f>Données!X56</f>
        <v>59.5</v>
      </c>
      <c r="F56" s="31">
        <f>VPI!L56</f>
        <v>2694384.7799999993</v>
      </c>
      <c r="G56" s="8">
        <f t="shared" si="3"/>
        <v>90567.555630252085</v>
      </c>
      <c r="H56" s="26">
        <f t="shared" si="4"/>
        <v>70327.737146301486</v>
      </c>
      <c r="I56" s="8">
        <f t="shared" si="5"/>
        <v>70327.737146301486</v>
      </c>
      <c r="J56" s="8">
        <f>VPI!R56</f>
        <v>50433.121512605037</v>
      </c>
      <c r="K56" s="238">
        <f t="shared" si="6"/>
        <v>61809.10977476112</v>
      </c>
      <c r="L56" s="345">
        <f t="shared" si="7"/>
        <v>132136.84692106262</v>
      </c>
      <c r="M56" s="131"/>
      <c r="N56" s="132"/>
      <c r="O56" s="129"/>
      <c r="P56" s="129"/>
      <c r="Q56" s="133"/>
    </row>
    <row r="57" spans="1:17" s="128" customFormat="1" x14ac:dyDescent="0.25">
      <c r="A57" s="177">
        <f>Données!A57</f>
        <v>5490</v>
      </c>
      <c r="B57" s="356" t="str">
        <f>Données!B57</f>
        <v>Moiry</v>
      </c>
      <c r="C57" s="177">
        <f>Données!AR57</f>
        <v>0</v>
      </c>
      <c r="D57" s="357">
        <f>Données!Z57</f>
        <v>301</v>
      </c>
      <c r="E57" s="130">
        <f>Données!X57</f>
        <v>77.5</v>
      </c>
      <c r="F57" s="31">
        <f>VPI!L57</f>
        <v>654499.34</v>
      </c>
      <c r="G57" s="8">
        <f t="shared" si="3"/>
        <v>16890.305548387096</v>
      </c>
      <c r="H57" s="26">
        <f t="shared" si="4"/>
        <v>26627.231296901566</v>
      </c>
      <c r="I57" s="8">
        <f t="shared" si="5"/>
        <v>16890.305548387096</v>
      </c>
      <c r="J57" s="8">
        <f>VPI!R57</f>
        <v>9056.7353548387091</v>
      </c>
      <c r="K57" s="238">
        <f t="shared" si="6"/>
        <v>11099.625265278784</v>
      </c>
      <c r="L57" s="345">
        <f t="shared" si="7"/>
        <v>27989.93081366588</v>
      </c>
      <c r="M57" s="131"/>
      <c r="N57" s="132"/>
      <c r="O57" s="129"/>
      <c r="P57" s="129"/>
      <c r="Q57" s="133"/>
    </row>
    <row r="58" spans="1:17" s="128" customFormat="1" x14ac:dyDescent="0.25">
      <c r="A58" s="177">
        <f>Données!A58</f>
        <v>5491</v>
      </c>
      <c r="B58" s="356" t="str">
        <f>Données!B58</f>
        <v>Mont-la-Ville</v>
      </c>
      <c r="C58" s="177">
        <f>Données!AR58</f>
        <v>0</v>
      </c>
      <c r="D58" s="357">
        <f>Données!Z58</f>
        <v>508</v>
      </c>
      <c r="E58" s="130">
        <f>Données!X58</f>
        <v>76</v>
      </c>
      <c r="F58" s="31">
        <f>VPI!L58</f>
        <v>945223.34</v>
      </c>
      <c r="G58" s="8">
        <f t="shared" si="3"/>
        <v>24874.29842105263</v>
      </c>
      <c r="H58" s="26">
        <f t="shared" si="4"/>
        <v>44938.981723674406</v>
      </c>
      <c r="I58" s="8">
        <f t="shared" si="5"/>
        <v>24874.29842105263</v>
      </c>
      <c r="J58" s="8">
        <f>VPI!R58</f>
        <v>13648.672236842105</v>
      </c>
      <c r="K58" s="238">
        <f t="shared" si="6"/>
        <v>16727.346142075683</v>
      </c>
      <c r="L58" s="345">
        <f t="shared" si="7"/>
        <v>41601.644563128313</v>
      </c>
      <c r="M58" s="131"/>
      <c r="N58" s="132"/>
      <c r="O58" s="129"/>
      <c r="P58" s="129"/>
      <c r="Q58" s="133"/>
    </row>
    <row r="59" spans="1:17" s="128" customFormat="1" x14ac:dyDescent="0.25">
      <c r="A59" s="177">
        <f>Données!A59</f>
        <v>5492</v>
      </c>
      <c r="B59" s="356" t="str">
        <f>Données!B59</f>
        <v>Montricher</v>
      </c>
      <c r="C59" s="177">
        <f>Données!AR59</f>
        <v>0</v>
      </c>
      <c r="D59" s="357">
        <f>Données!Z59</f>
        <v>981</v>
      </c>
      <c r="E59" s="130">
        <f>Données!X59</f>
        <v>64</v>
      </c>
      <c r="F59" s="31">
        <f>VPI!L59</f>
        <v>10964143.970000001</v>
      </c>
      <c r="G59" s="8">
        <f t="shared" si="3"/>
        <v>342629.49906250002</v>
      </c>
      <c r="H59" s="26">
        <f t="shared" si="4"/>
        <v>86781.773761662582</v>
      </c>
      <c r="I59" s="8">
        <f t="shared" si="5"/>
        <v>86781.773761662582</v>
      </c>
      <c r="J59" s="8">
        <f>VPI!R59</f>
        <v>175265.155</v>
      </c>
      <c r="K59" s="238">
        <f t="shared" si="6"/>
        <v>214798.98289416754</v>
      </c>
      <c r="L59" s="345">
        <f t="shared" si="7"/>
        <v>301580.75665583013</v>
      </c>
      <c r="M59" s="131"/>
      <c r="N59" s="132"/>
      <c r="O59" s="129"/>
      <c r="P59" s="129"/>
      <c r="Q59" s="133"/>
    </row>
    <row r="60" spans="1:17" s="128" customFormat="1" x14ac:dyDescent="0.25">
      <c r="A60" s="177">
        <f>Données!A60</f>
        <v>5493</v>
      </c>
      <c r="B60" s="356" t="str">
        <f>Données!B60</f>
        <v>Orny</v>
      </c>
      <c r="C60" s="177">
        <f>Données!AR60</f>
        <v>0</v>
      </c>
      <c r="D60" s="357">
        <f>Données!Z60</f>
        <v>480</v>
      </c>
      <c r="E60" s="130">
        <f>Données!X60</f>
        <v>73</v>
      </c>
      <c r="F60" s="31">
        <f>VPI!L60</f>
        <v>900031.34000000008</v>
      </c>
      <c r="G60" s="8">
        <f t="shared" si="3"/>
        <v>24658.392876712333</v>
      </c>
      <c r="H60" s="26">
        <f t="shared" si="4"/>
        <v>42462.029975125421</v>
      </c>
      <c r="I60" s="8">
        <f t="shared" si="5"/>
        <v>24658.392876712333</v>
      </c>
      <c r="J60" s="8">
        <f>VPI!R60</f>
        <v>13489.645489989463</v>
      </c>
      <c r="K60" s="238">
        <f t="shared" si="6"/>
        <v>16532.4483971308</v>
      </c>
      <c r="L60" s="345">
        <f t="shared" si="7"/>
        <v>41190.841273843136</v>
      </c>
      <c r="M60" s="131"/>
      <c r="N60" s="132"/>
      <c r="O60" s="129"/>
      <c r="P60" s="129"/>
      <c r="Q60" s="133"/>
    </row>
    <row r="61" spans="1:17" s="128" customFormat="1" x14ac:dyDescent="0.25">
      <c r="A61" s="177">
        <f>Données!A61</f>
        <v>5495</v>
      </c>
      <c r="B61" s="356" t="str">
        <f>Données!B61</f>
        <v>Penthalaz</v>
      </c>
      <c r="C61" s="177">
        <f>Données!AR61</f>
        <v>0</v>
      </c>
      <c r="D61" s="357">
        <f>Données!Z61</f>
        <v>3210</v>
      </c>
      <c r="E61" s="130">
        <f>Données!X61</f>
        <v>74</v>
      </c>
      <c r="F61" s="31">
        <f>VPI!L61</f>
        <v>6473881.8599999985</v>
      </c>
      <c r="G61" s="8">
        <f t="shared" si="3"/>
        <v>174969.77999999997</v>
      </c>
      <c r="H61" s="26">
        <f t="shared" si="4"/>
        <v>283964.82545865123</v>
      </c>
      <c r="I61" s="8">
        <f t="shared" si="5"/>
        <v>174969.77999999997</v>
      </c>
      <c r="J61" s="8">
        <f>VPI!R61</f>
        <v>95307.914324324302</v>
      </c>
      <c r="K61" s="238">
        <f t="shared" si="6"/>
        <v>116806.12189359215</v>
      </c>
      <c r="L61" s="345">
        <f t="shared" si="7"/>
        <v>291775.90189359209</v>
      </c>
      <c r="M61" s="131"/>
      <c r="N61" s="132"/>
      <c r="O61" s="129"/>
      <c r="P61" s="129"/>
      <c r="Q61" s="133"/>
    </row>
    <row r="62" spans="1:17" s="128" customFormat="1" x14ac:dyDescent="0.25">
      <c r="A62" s="177">
        <f>Données!A62</f>
        <v>5496</v>
      </c>
      <c r="B62" s="356" t="str">
        <f>Données!B62</f>
        <v>Penthaz</v>
      </c>
      <c r="C62" s="177">
        <f>Données!AR62</f>
        <v>0</v>
      </c>
      <c r="D62" s="357">
        <f>Données!Z62</f>
        <v>1890</v>
      </c>
      <c r="E62" s="130">
        <f>Données!X62</f>
        <v>69.5</v>
      </c>
      <c r="F62" s="31">
        <f>VPI!L62</f>
        <v>3542663.0600000005</v>
      </c>
      <c r="G62" s="8">
        <f t="shared" si="3"/>
        <v>101947.13841726621</v>
      </c>
      <c r="H62" s="26">
        <f t="shared" si="4"/>
        <v>167194.24302705633</v>
      </c>
      <c r="I62" s="8">
        <f t="shared" si="5"/>
        <v>101947.13841726621</v>
      </c>
      <c r="J62" s="8">
        <f>VPI!R62</f>
        <v>56262.398705035986</v>
      </c>
      <c r="K62" s="238">
        <f t="shared" si="6"/>
        <v>68953.272640119816</v>
      </c>
      <c r="L62" s="345">
        <f t="shared" si="7"/>
        <v>170900.41105738602</v>
      </c>
      <c r="M62" s="131"/>
      <c r="N62" s="132"/>
      <c r="O62" s="129"/>
      <c r="P62" s="129"/>
      <c r="Q62" s="133"/>
    </row>
    <row r="63" spans="1:17" s="128" customFormat="1" x14ac:dyDescent="0.25">
      <c r="A63" s="177">
        <f>Données!A63</f>
        <v>5497</v>
      </c>
      <c r="B63" s="356" t="str">
        <f>Données!B63</f>
        <v>Pompaples</v>
      </c>
      <c r="C63" s="177">
        <f>Données!AR63</f>
        <v>0</v>
      </c>
      <c r="D63" s="357">
        <f>Données!Z63</f>
        <v>849</v>
      </c>
      <c r="E63" s="130">
        <f>Données!X63</f>
        <v>66</v>
      </c>
      <c r="F63" s="31">
        <f>VPI!L63</f>
        <v>1331454.3400000001</v>
      </c>
      <c r="G63" s="8">
        <f t="shared" si="3"/>
        <v>40347.101212121212</v>
      </c>
      <c r="H63" s="26">
        <f t="shared" si="4"/>
        <v>75104.715518503086</v>
      </c>
      <c r="I63" s="8">
        <f t="shared" si="5"/>
        <v>40347.101212121212</v>
      </c>
      <c r="J63" s="8">
        <f>VPI!R63</f>
        <v>22253.218787878792</v>
      </c>
      <c r="K63" s="238">
        <f t="shared" si="6"/>
        <v>27272.78426654599</v>
      </c>
      <c r="L63" s="345">
        <f t="shared" si="7"/>
        <v>67619.885478667202</v>
      </c>
      <c r="M63" s="131"/>
      <c r="N63" s="132"/>
      <c r="O63" s="129"/>
      <c r="P63" s="129"/>
      <c r="Q63" s="133"/>
    </row>
    <row r="64" spans="1:17" s="128" customFormat="1" x14ac:dyDescent="0.25">
      <c r="A64" s="177">
        <f>Données!A64</f>
        <v>5498</v>
      </c>
      <c r="B64" s="356" t="str">
        <f>Données!B64</f>
        <v>La Sarraz</v>
      </c>
      <c r="C64" s="177">
        <f>Données!AR64</f>
        <v>0</v>
      </c>
      <c r="D64" s="357">
        <f>Données!Z64</f>
        <v>2620</v>
      </c>
      <c r="E64" s="130">
        <f>Données!X64</f>
        <v>66</v>
      </c>
      <c r="F64" s="31">
        <f>VPI!L64</f>
        <v>4480202.75</v>
      </c>
      <c r="G64" s="8">
        <f t="shared" si="3"/>
        <v>135763.7196969697</v>
      </c>
      <c r="H64" s="26">
        <f t="shared" si="4"/>
        <v>231771.91361422627</v>
      </c>
      <c r="I64" s="8">
        <f t="shared" si="5"/>
        <v>135763.7196969697</v>
      </c>
      <c r="J64" s="8">
        <f>VPI!R64</f>
        <v>74676.731060606064</v>
      </c>
      <c r="K64" s="238">
        <f t="shared" si="6"/>
        <v>91521.248919555466</v>
      </c>
      <c r="L64" s="345">
        <f t="shared" si="7"/>
        <v>227284.96861652518</v>
      </c>
      <c r="M64" s="131"/>
      <c r="N64" s="132"/>
      <c r="O64" s="129"/>
      <c r="P64" s="129"/>
      <c r="Q64" s="133"/>
    </row>
    <row r="65" spans="1:17" s="128" customFormat="1" x14ac:dyDescent="0.25">
      <c r="A65" s="177">
        <f>Données!A65</f>
        <v>5499</v>
      </c>
      <c r="B65" s="356" t="str">
        <f>Données!B65</f>
        <v>Senarclens</v>
      </c>
      <c r="C65" s="177">
        <f>Données!AR65</f>
        <v>0</v>
      </c>
      <c r="D65" s="357">
        <f>Données!Z65</f>
        <v>491</v>
      </c>
      <c r="E65" s="130">
        <f>Données!X65</f>
        <v>68.5</v>
      </c>
      <c r="F65" s="31">
        <f>VPI!L65</f>
        <v>1150959.8199999998</v>
      </c>
      <c r="G65" s="8">
        <f t="shared" si="3"/>
        <v>33604.666277372256</v>
      </c>
      <c r="H65" s="26">
        <f t="shared" si="4"/>
        <v>43435.118162055376</v>
      </c>
      <c r="I65" s="8">
        <f t="shared" si="5"/>
        <v>33604.666277372256</v>
      </c>
      <c r="J65" s="8">
        <f>VPI!R65</f>
        <v>18237.495182481751</v>
      </c>
      <c r="K65" s="238">
        <f t="shared" si="6"/>
        <v>22351.250684908591</v>
      </c>
      <c r="L65" s="345">
        <f t="shared" si="7"/>
        <v>55955.916962280848</v>
      </c>
      <c r="M65" s="131"/>
      <c r="N65" s="132"/>
      <c r="O65" s="129"/>
      <c r="P65" s="129"/>
      <c r="Q65" s="133"/>
    </row>
    <row r="66" spans="1:17" s="128" customFormat="1" x14ac:dyDescent="0.25">
      <c r="A66" s="177">
        <f>Données!A66</f>
        <v>5501</v>
      </c>
      <c r="B66" s="356" t="str">
        <f>Données!B66</f>
        <v>Sullens</v>
      </c>
      <c r="C66" s="177">
        <f>Données!AR66</f>
        <v>0</v>
      </c>
      <c r="D66" s="357">
        <f>Données!Z66</f>
        <v>1143</v>
      </c>
      <c r="E66" s="130">
        <f>Données!X66</f>
        <v>68.5</v>
      </c>
      <c r="F66" s="31">
        <f>VPI!L66</f>
        <v>2724110.1</v>
      </c>
      <c r="G66" s="8">
        <f t="shared" si="3"/>
        <v>79536.061313868617</v>
      </c>
      <c r="H66" s="26">
        <f t="shared" si="4"/>
        <v>101112.70887826741</v>
      </c>
      <c r="I66" s="8">
        <f t="shared" si="5"/>
        <v>79536.061313868617</v>
      </c>
      <c r="J66" s="8">
        <f>VPI!R66</f>
        <v>43189.9197080292</v>
      </c>
      <c r="K66" s="238">
        <f t="shared" si="6"/>
        <v>52932.089236821972</v>
      </c>
      <c r="L66" s="345">
        <f t="shared" si="7"/>
        <v>132468.1505506906</v>
      </c>
      <c r="M66" s="131"/>
      <c r="N66" s="132"/>
      <c r="O66" s="129"/>
      <c r="P66" s="129"/>
      <c r="Q66" s="133"/>
    </row>
    <row r="67" spans="1:17" s="128" customFormat="1" x14ac:dyDescent="0.25">
      <c r="A67" s="177">
        <f>Données!A67</f>
        <v>5503</v>
      </c>
      <c r="B67" s="356" t="str">
        <f>Données!B67</f>
        <v>Vufflens-la-Ville</v>
      </c>
      <c r="C67" s="177">
        <f>Données!AR67</f>
        <v>0</v>
      </c>
      <c r="D67" s="357">
        <f>Données!Z67</f>
        <v>1346</v>
      </c>
      <c r="E67" s="130">
        <f>Données!X67</f>
        <v>67</v>
      </c>
      <c r="F67" s="31">
        <f>VPI!L67</f>
        <v>4837431.62</v>
      </c>
      <c r="G67" s="8">
        <f t="shared" si="3"/>
        <v>144400.94388059701</v>
      </c>
      <c r="H67" s="26">
        <f t="shared" si="4"/>
        <v>119070.60905524754</v>
      </c>
      <c r="I67" s="8">
        <f t="shared" si="5"/>
        <v>119070.60905524754</v>
      </c>
      <c r="J67" s="8">
        <f>VPI!R67</f>
        <v>79644.71771144279</v>
      </c>
      <c r="K67" s="238">
        <f t="shared" si="6"/>
        <v>97609.843538557354</v>
      </c>
      <c r="L67" s="345">
        <f t="shared" si="7"/>
        <v>216680.45259380489</v>
      </c>
      <c r="M67" s="131"/>
      <c r="N67" s="132"/>
      <c r="O67" s="129"/>
      <c r="P67" s="129"/>
      <c r="Q67" s="133"/>
    </row>
    <row r="68" spans="1:17" s="128" customFormat="1" x14ac:dyDescent="0.25">
      <c r="A68" s="177">
        <f>Données!A68</f>
        <v>5511</v>
      </c>
      <c r="B68" s="356" t="str">
        <f>Données!B68</f>
        <v>Assens</v>
      </c>
      <c r="C68" s="177">
        <f>Données!AR68</f>
        <v>0</v>
      </c>
      <c r="D68" s="357">
        <f>Données!Z68</f>
        <v>1669</v>
      </c>
      <c r="E68" s="130">
        <f>Données!X68</f>
        <v>69.36</v>
      </c>
      <c r="F68" s="31">
        <f>VPI!L68</f>
        <v>4450038.6799999988</v>
      </c>
      <c r="G68" s="8">
        <f t="shared" si="3"/>
        <v>128317.14763552476</v>
      </c>
      <c r="H68" s="26">
        <f t="shared" si="4"/>
        <v>147644.01672600902</v>
      </c>
      <c r="I68" s="8">
        <f t="shared" si="5"/>
        <v>128317.14763552476</v>
      </c>
      <c r="J68" s="8">
        <f>VPI!R68</f>
        <v>70063.08636788046</v>
      </c>
      <c r="K68" s="238">
        <f t="shared" si="6"/>
        <v>85866.923691973672</v>
      </c>
      <c r="L68" s="345">
        <f t="shared" si="7"/>
        <v>214184.07132749842</v>
      </c>
      <c r="M68" s="131"/>
      <c r="N68" s="132"/>
      <c r="O68" s="129"/>
      <c r="P68" s="129"/>
      <c r="Q68" s="133"/>
    </row>
    <row r="69" spans="1:17" s="128" customFormat="1" x14ac:dyDescent="0.25">
      <c r="A69" s="177">
        <f>Données!A69</f>
        <v>5512</v>
      </c>
      <c r="B69" s="356" t="str">
        <f>Données!B69</f>
        <v>Bercher</v>
      </c>
      <c r="C69" s="177">
        <f>Données!AR69</f>
        <v>0</v>
      </c>
      <c r="D69" s="357">
        <f>Données!Z69</f>
        <v>1320</v>
      </c>
      <c r="E69" s="130">
        <f>Données!X69</f>
        <v>79</v>
      </c>
      <c r="F69" s="31">
        <f>VPI!L69</f>
        <v>2942292.5999999996</v>
      </c>
      <c r="G69" s="8">
        <f t="shared" si="3"/>
        <v>74488.420253164542</v>
      </c>
      <c r="H69" s="26">
        <f t="shared" si="4"/>
        <v>116770.58243159491</v>
      </c>
      <c r="I69" s="8">
        <f t="shared" si="5"/>
        <v>74488.420253164542</v>
      </c>
      <c r="J69" s="8">
        <f>VPI!R69</f>
        <v>40760.724050632911</v>
      </c>
      <c r="K69" s="238">
        <f t="shared" si="6"/>
        <v>49954.950076104877</v>
      </c>
      <c r="L69" s="345">
        <f t="shared" si="7"/>
        <v>124443.37032926941</v>
      </c>
      <c r="M69" s="131"/>
      <c r="N69" s="132"/>
      <c r="O69" s="129"/>
      <c r="P69" s="129"/>
      <c r="Q69" s="133"/>
    </row>
    <row r="70" spans="1:17" s="128" customFormat="1" x14ac:dyDescent="0.25">
      <c r="A70" s="177">
        <f>Données!A70</f>
        <v>5514</v>
      </c>
      <c r="B70" s="356" t="str">
        <f>Données!B70</f>
        <v>Bottens</v>
      </c>
      <c r="C70" s="177">
        <f>Données!AR70</f>
        <v>0</v>
      </c>
      <c r="D70" s="357">
        <f>Données!Z70</f>
        <v>1357</v>
      </c>
      <c r="E70" s="130">
        <f>Données!X70</f>
        <v>72.5</v>
      </c>
      <c r="F70" s="31">
        <f>VPI!L70</f>
        <v>2954497.5100000002</v>
      </c>
      <c r="G70" s="8">
        <f t="shared" si="3"/>
        <v>81503.379586206909</v>
      </c>
      <c r="H70" s="26">
        <f t="shared" si="4"/>
        <v>120043.6972421775</v>
      </c>
      <c r="I70" s="8">
        <f t="shared" si="5"/>
        <v>81503.379586206909</v>
      </c>
      <c r="J70" s="8">
        <f>VPI!R70</f>
        <v>44222.939448275865</v>
      </c>
      <c r="K70" s="238">
        <f t="shared" si="6"/>
        <v>54198.122918842681</v>
      </c>
      <c r="L70" s="345">
        <f t="shared" si="7"/>
        <v>135701.50250504958</v>
      </c>
      <c r="M70" s="131"/>
      <c r="N70" s="132"/>
      <c r="O70" s="129"/>
      <c r="P70" s="129"/>
      <c r="Q70" s="133"/>
    </row>
    <row r="71" spans="1:17" s="128" customFormat="1" x14ac:dyDescent="0.25">
      <c r="A71" s="177">
        <f>Données!A71</f>
        <v>5515</v>
      </c>
      <c r="B71" s="356" t="str">
        <f>Données!B71</f>
        <v>Bretigny-sur-Morrens</v>
      </c>
      <c r="C71" s="177">
        <f>Données!AR71</f>
        <v>0</v>
      </c>
      <c r="D71" s="357">
        <f>Données!Z71</f>
        <v>882</v>
      </c>
      <c r="E71" s="130">
        <f>Données!X71</f>
        <v>78</v>
      </c>
      <c r="F71" s="31">
        <f>VPI!L71</f>
        <v>2332066.09</v>
      </c>
      <c r="G71" s="8">
        <f t="shared" ref="G71:G134" si="8">F71/E71*2</f>
        <v>59796.566410256404</v>
      </c>
      <c r="H71" s="26">
        <f t="shared" ref="H71:H134" si="9">+$G$306/$D$306*D71</f>
        <v>78023.98007929296</v>
      </c>
      <c r="I71" s="8">
        <f t="shared" ref="I71:I134" si="10">IF(C71=1,0,IF(H71&gt;G71,G71,H71))</f>
        <v>59796.566410256404</v>
      </c>
      <c r="J71" s="8">
        <f>VPI!R71</f>
        <v>32347.747307692302</v>
      </c>
      <c r="K71" s="238">
        <f t="shared" ref="K71:K134" si="11">+$K$5*J71</f>
        <v>39644.293360022719</v>
      </c>
      <c r="L71" s="345">
        <f t="shared" ref="L71:L134" si="12">+K71+I71</f>
        <v>99440.859770279116</v>
      </c>
      <c r="M71" s="131"/>
      <c r="N71" s="132"/>
      <c r="O71" s="129"/>
      <c r="P71" s="129"/>
      <c r="Q71" s="133"/>
    </row>
    <row r="72" spans="1:17" s="128" customFormat="1" x14ac:dyDescent="0.25">
      <c r="A72" s="177">
        <f>Données!A72</f>
        <v>5516</v>
      </c>
      <c r="B72" s="356" t="str">
        <f>Données!B72</f>
        <v>Cugy</v>
      </c>
      <c r="C72" s="177">
        <f>Données!AR72</f>
        <v>0</v>
      </c>
      <c r="D72" s="357">
        <f>Données!Z72</f>
        <v>2733</v>
      </c>
      <c r="E72" s="130">
        <f>Données!X72</f>
        <v>78</v>
      </c>
      <c r="F72" s="31">
        <f>VPI!L72</f>
        <v>8080798.0699999984</v>
      </c>
      <c r="G72" s="8">
        <f t="shared" si="8"/>
        <v>207199.95051282048</v>
      </c>
      <c r="H72" s="26">
        <f t="shared" si="9"/>
        <v>241768.18317087038</v>
      </c>
      <c r="I72" s="8">
        <f t="shared" si="10"/>
        <v>207199.95051282048</v>
      </c>
      <c r="J72" s="8">
        <f>VPI!R72</f>
        <v>111596.10185897433</v>
      </c>
      <c r="K72" s="238">
        <f t="shared" si="11"/>
        <v>136768.36775833511</v>
      </c>
      <c r="L72" s="345">
        <f t="shared" si="12"/>
        <v>343968.31827115559</v>
      </c>
      <c r="M72" s="131"/>
      <c r="N72" s="132"/>
      <c r="O72" s="129"/>
      <c r="P72" s="129"/>
      <c r="Q72" s="133"/>
    </row>
    <row r="73" spans="1:17" s="128" customFormat="1" x14ac:dyDescent="0.25">
      <c r="A73" s="177">
        <f>Données!A73</f>
        <v>5518</v>
      </c>
      <c r="B73" s="356" t="str">
        <f>Données!B73</f>
        <v>Echallens</v>
      </c>
      <c r="C73" s="177">
        <f>Données!AR73</f>
        <v>0</v>
      </c>
      <c r="D73" s="357">
        <f>Données!Z73</f>
        <v>5739</v>
      </c>
      <c r="E73" s="130">
        <f>Données!X73</f>
        <v>72.5</v>
      </c>
      <c r="F73" s="31">
        <f>VPI!L73</f>
        <v>12095252.499999996</v>
      </c>
      <c r="G73" s="8">
        <f t="shared" si="8"/>
        <v>333662.13793103438</v>
      </c>
      <c r="H73" s="26">
        <f t="shared" si="9"/>
        <v>507686.64589009335</v>
      </c>
      <c r="I73" s="8">
        <f t="shared" si="10"/>
        <v>333662.13793103438</v>
      </c>
      <c r="J73" s="8">
        <f>VPI!R73</f>
        <v>183008.89172413788</v>
      </c>
      <c r="K73" s="238">
        <f t="shared" si="11"/>
        <v>224289.44191977952</v>
      </c>
      <c r="L73" s="345">
        <f t="shared" si="12"/>
        <v>557951.57985081384</v>
      </c>
      <c r="M73" s="131"/>
      <c r="N73" s="132"/>
      <c r="O73" s="129"/>
      <c r="P73" s="129"/>
      <c r="Q73" s="133"/>
    </row>
    <row r="74" spans="1:17" s="128" customFormat="1" x14ac:dyDescent="0.25">
      <c r="A74" s="177">
        <f>Données!A74</f>
        <v>5520</v>
      </c>
      <c r="B74" s="356" t="str">
        <f>Données!B74</f>
        <v>Essertines-sur-Yverdon</v>
      </c>
      <c r="C74" s="177">
        <f>Données!AR74</f>
        <v>0</v>
      </c>
      <c r="D74" s="357">
        <f>Données!Z74</f>
        <v>1059</v>
      </c>
      <c r="E74" s="130">
        <f>Données!X74</f>
        <v>73</v>
      </c>
      <c r="F74" s="31">
        <f>VPI!L74</f>
        <v>2112060.88</v>
      </c>
      <c r="G74" s="8">
        <f t="shared" si="8"/>
        <v>57864.681643835611</v>
      </c>
      <c r="H74" s="26">
        <f t="shared" si="9"/>
        <v>93681.853632620463</v>
      </c>
      <c r="I74" s="8">
        <f t="shared" si="10"/>
        <v>57864.681643835611</v>
      </c>
      <c r="J74" s="8">
        <f>VPI!R74</f>
        <v>31695.423698630133</v>
      </c>
      <c r="K74" s="238">
        <f t="shared" si="11"/>
        <v>38844.827843078376</v>
      </c>
      <c r="L74" s="345">
        <f t="shared" si="12"/>
        <v>96709.509486913987</v>
      </c>
      <c r="M74" s="131"/>
      <c r="N74" s="132"/>
      <c r="O74" s="129"/>
      <c r="P74" s="129"/>
      <c r="Q74" s="133"/>
    </row>
    <row r="75" spans="1:17" s="128" customFormat="1" x14ac:dyDescent="0.25">
      <c r="A75" s="177">
        <f>Données!A75</f>
        <v>5521</v>
      </c>
      <c r="B75" s="356" t="str">
        <f>Données!B75</f>
        <v>Etagnières</v>
      </c>
      <c r="C75" s="177">
        <f>Données!AR75</f>
        <v>0</v>
      </c>
      <c r="D75" s="357">
        <f>Données!Z75</f>
        <v>1148</v>
      </c>
      <c r="E75" s="130">
        <f>Données!X75</f>
        <v>73</v>
      </c>
      <c r="F75" s="31">
        <f>VPI!L75</f>
        <v>2830144.8099999996</v>
      </c>
      <c r="G75" s="8">
        <f t="shared" si="8"/>
        <v>77538.213972602724</v>
      </c>
      <c r="H75" s="26">
        <f t="shared" si="9"/>
        <v>101555.02169050831</v>
      </c>
      <c r="I75" s="8">
        <f t="shared" si="10"/>
        <v>77538.213972602724</v>
      </c>
      <c r="J75" s="8">
        <f>VPI!R75</f>
        <v>42637.34945205479</v>
      </c>
      <c r="K75" s="238">
        <f t="shared" si="11"/>
        <v>52254.878019561627</v>
      </c>
      <c r="L75" s="345">
        <f t="shared" si="12"/>
        <v>129793.09199216435</v>
      </c>
      <c r="M75" s="131"/>
      <c r="N75" s="132"/>
      <c r="O75" s="129"/>
      <c r="P75" s="129"/>
      <c r="Q75" s="133"/>
    </row>
    <row r="76" spans="1:17" s="128" customFormat="1" x14ac:dyDescent="0.25">
      <c r="A76" s="177">
        <f>Données!A76</f>
        <v>5522</v>
      </c>
      <c r="B76" s="356" t="str">
        <f>Données!B76</f>
        <v>Fey</v>
      </c>
      <c r="C76" s="177">
        <f>Données!AR76</f>
        <v>0</v>
      </c>
      <c r="D76" s="357">
        <f>Données!Z76</f>
        <v>754</v>
      </c>
      <c r="E76" s="130">
        <f>Données!X76</f>
        <v>75</v>
      </c>
      <c r="F76" s="31">
        <f>VPI!L76</f>
        <v>1646218.6</v>
      </c>
      <c r="G76" s="8">
        <f t="shared" si="8"/>
        <v>43899.162666666671</v>
      </c>
      <c r="H76" s="215">
        <f t="shared" si="9"/>
        <v>66700.77208592619</v>
      </c>
      <c r="I76" s="8">
        <f t="shared" si="10"/>
        <v>43899.162666666671</v>
      </c>
      <c r="J76" s="8">
        <f>VPI!R76</f>
        <v>23923.447333333334</v>
      </c>
      <c r="K76" s="238">
        <f t="shared" si="11"/>
        <v>29319.759278575282</v>
      </c>
      <c r="L76" s="345">
        <f t="shared" si="12"/>
        <v>73218.921945241949</v>
      </c>
      <c r="M76" s="131"/>
      <c r="N76" s="132"/>
      <c r="O76" s="129"/>
      <c r="P76" s="129"/>
      <c r="Q76" s="133"/>
    </row>
    <row r="77" spans="1:17" s="128" customFormat="1" x14ac:dyDescent="0.25">
      <c r="A77" s="177">
        <f>Données!A77</f>
        <v>5523</v>
      </c>
      <c r="B77" s="356" t="str">
        <f>Données!B77</f>
        <v>Froideville</v>
      </c>
      <c r="C77" s="177">
        <f>Données!AR77</f>
        <v>0</v>
      </c>
      <c r="D77" s="357">
        <f>Données!Z77</f>
        <v>2673</v>
      </c>
      <c r="E77" s="130">
        <f>Données!X77</f>
        <v>72</v>
      </c>
      <c r="F77" s="31">
        <f>VPI!L77</f>
        <v>6172351.5600000005</v>
      </c>
      <c r="G77" s="8">
        <f t="shared" si="8"/>
        <v>171454.21000000002</v>
      </c>
      <c r="H77" s="26">
        <f t="shared" si="9"/>
        <v>236460.42942397969</v>
      </c>
      <c r="I77" s="8">
        <f t="shared" si="10"/>
        <v>171454.21000000002</v>
      </c>
      <c r="J77" s="8">
        <f>VPI!R77</f>
        <v>93735.809027777781</v>
      </c>
      <c r="K77" s="238">
        <f t="shared" si="11"/>
        <v>114879.4033812859</v>
      </c>
      <c r="L77" s="345">
        <f t="shared" si="12"/>
        <v>286333.61338128592</v>
      </c>
      <c r="M77" s="131"/>
      <c r="N77" s="132"/>
      <c r="O77" s="129"/>
      <c r="P77" s="129"/>
      <c r="Q77" s="133"/>
    </row>
    <row r="78" spans="1:17" s="128" customFormat="1" x14ac:dyDescent="0.25">
      <c r="A78" s="177">
        <f>Données!A78</f>
        <v>5527</v>
      </c>
      <c r="B78" s="356" t="str">
        <f>Données!B78</f>
        <v>Morrens</v>
      </c>
      <c r="C78" s="177">
        <f>Données!AR78</f>
        <v>0</v>
      </c>
      <c r="D78" s="357">
        <f>Données!Z78</f>
        <v>1156</v>
      </c>
      <c r="E78" s="130">
        <f>Données!X78</f>
        <v>74</v>
      </c>
      <c r="F78" s="31">
        <f>VPI!L78</f>
        <v>2667974.5299999998</v>
      </c>
      <c r="G78" s="8">
        <f t="shared" si="8"/>
        <v>72107.419729729721</v>
      </c>
      <c r="H78" s="26">
        <f t="shared" si="9"/>
        <v>102262.72219009373</v>
      </c>
      <c r="I78" s="8">
        <f t="shared" si="10"/>
        <v>72107.419729729721</v>
      </c>
      <c r="J78" s="8">
        <f>VPI!R78</f>
        <v>39310.034189189188</v>
      </c>
      <c r="K78" s="238">
        <f t="shared" si="11"/>
        <v>48177.034170727144</v>
      </c>
      <c r="L78" s="345">
        <f t="shared" si="12"/>
        <v>120284.45390045687</v>
      </c>
      <c r="M78" s="131"/>
      <c r="N78" s="132"/>
      <c r="O78" s="129"/>
      <c r="P78" s="129"/>
      <c r="Q78" s="133"/>
    </row>
    <row r="79" spans="1:17" s="128" customFormat="1" x14ac:dyDescent="0.25">
      <c r="A79" s="177">
        <f>Données!A79</f>
        <v>5529</v>
      </c>
      <c r="B79" s="356" t="str">
        <f>Données!B79</f>
        <v>Oulens-sous-Echallens</v>
      </c>
      <c r="C79" s="177">
        <f>Données!AR79</f>
        <v>0</v>
      </c>
      <c r="D79" s="357">
        <f>Données!Z79</f>
        <v>619</v>
      </c>
      <c r="E79" s="130">
        <f>Données!X79</f>
        <v>70</v>
      </c>
      <c r="F79" s="31">
        <f>VPI!L79</f>
        <v>1349884</v>
      </c>
      <c r="G79" s="8">
        <f t="shared" si="8"/>
        <v>38568.114285714284</v>
      </c>
      <c r="H79" s="26">
        <f t="shared" si="9"/>
        <v>54758.326155422161</v>
      </c>
      <c r="I79" s="8">
        <f t="shared" si="10"/>
        <v>38568.114285714284</v>
      </c>
      <c r="J79" s="8">
        <f>VPI!R79</f>
        <v>21162.073571428573</v>
      </c>
      <c r="K79" s="238">
        <f t="shared" si="11"/>
        <v>25935.513987788396</v>
      </c>
      <c r="L79" s="345">
        <f t="shared" si="12"/>
        <v>64503.628273502676</v>
      </c>
      <c r="M79" s="131"/>
      <c r="N79" s="132"/>
      <c r="O79" s="129"/>
      <c r="P79" s="129"/>
      <c r="Q79" s="133"/>
    </row>
    <row r="80" spans="1:17" s="128" customFormat="1" x14ac:dyDescent="0.25">
      <c r="A80" s="177">
        <f>Données!A80</f>
        <v>5530</v>
      </c>
      <c r="B80" s="356" t="str">
        <f>Données!B80</f>
        <v>Pailly</v>
      </c>
      <c r="C80" s="177">
        <f>Données!AR80</f>
        <v>0</v>
      </c>
      <c r="D80" s="357">
        <f>Données!Z80</f>
        <v>575</v>
      </c>
      <c r="E80" s="130">
        <f>Données!X80</f>
        <v>76</v>
      </c>
      <c r="F80" s="31">
        <f>VPI!L80</f>
        <v>1355730.2199999997</v>
      </c>
      <c r="G80" s="8">
        <f t="shared" si="8"/>
        <v>35677.111052631575</v>
      </c>
      <c r="H80" s="26">
        <f t="shared" si="9"/>
        <v>50865.973407702331</v>
      </c>
      <c r="I80" s="8">
        <f t="shared" si="10"/>
        <v>35677.111052631575</v>
      </c>
      <c r="J80" s="8">
        <f>VPI!R80</f>
        <v>19308.365285087715</v>
      </c>
      <c r="K80" s="238">
        <f t="shared" si="11"/>
        <v>23663.672477201158</v>
      </c>
      <c r="L80" s="345">
        <f t="shared" si="12"/>
        <v>59340.783529832734</v>
      </c>
      <c r="M80" s="131"/>
      <c r="N80" s="132"/>
      <c r="O80" s="129"/>
      <c r="P80" s="129"/>
      <c r="Q80" s="133"/>
    </row>
    <row r="81" spans="1:17" s="128" customFormat="1" x14ac:dyDescent="0.25">
      <c r="A81" s="177">
        <f>Données!A81</f>
        <v>5531</v>
      </c>
      <c r="B81" s="356" t="str">
        <f>Données!B81</f>
        <v>Penthéréaz</v>
      </c>
      <c r="C81" s="177">
        <f>Données!AR81</f>
        <v>0</v>
      </c>
      <c r="D81" s="357">
        <f>Données!Z81</f>
        <v>417</v>
      </c>
      <c r="E81" s="130">
        <f>Données!X81</f>
        <v>74</v>
      </c>
      <c r="F81" s="31">
        <f>VPI!L81</f>
        <v>974090.25</v>
      </c>
      <c r="G81" s="8">
        <f t="shared" si="8"/>
        <v>26326.763513513513</v>
      </c>
      <c r="H81" s="26">
        <f t="shared" si="9"/>
        <v>36888.888540890213</v>
      </c>
      <c r="I81" s="8">
        <f t="shared" si="10"/>
        <v>26326.763513513513</v>
      </c>
      <c r="J81" s="8">
        <f>VPI!R81</f>
        <v>14300.520945945947</v>
      </c>
      <c r="K81" s="238">
        <f t="shared" si="11"/>
        <v>17526.229637864573</v>
      </c>
      <c r="L81" s="345">
        <f t="shared" si="12"/>
        <v>43852.99315137809</v>
      </c>
      <c r="M81" s="131"/>
      <c r="N81" s="132"/>
      <c r="O81" s="129"/>
      <c r="P81" s="129"/>
      <c r="Q81" s="133"/>
    </row>
    <row r="82" spans="1:17" s="128" customFormat="1" x14ac:dyDescent="0.25">
      <c r="A82" s="177">
        <f>Données!A82</f>
        <v>5533</v>
      </c>
      <c r="B82" s="356" t="str">
        <f>Données!B82</f>
        <v>Poliez-Pittet</v>
      </c>
      <c r="C82" s="177">
        <f>Données!AR82</f>
        <v>0</v>
      </c>
      <c r="D82" s="357">
        <f>Données!Z82</f>
        <v>833</v>
      </c>
      <c r="E82" s="130">
        <f>Données!X82</f>
        <v>73</v>
      </c>
      <c r="F82" s="31">
        <f>VPI!L82</f>
        <v>1850581.3799999997</v>
      </c>
      <c r="G82" s="8">
        <f t="shared" si="8"/>
        <v>50700.859726027389</v>
      </c>
      <c r="H82" s="26">
        <f t="shared" si="9"/>
        <v>73689.314519332242</v>
      </c>
      <c r="I82" s="8">
        <f t="shared" si="10"/>
        <v>50700.859726027389</v>
      </c>
      <c r="J82" s="8">
        <f>VPI!R82</f>
        <v>27495.737397260269</v>
      </c>
      <c r="K82" s="238">
        <f t="shared" si="11"/>
        <v>33697.835869637813</v>
      </c>
      <c r="L82" s="345">
        <f t="shared" si="12"/>
        <v>84398.695595665195</v>
      </c>
      <c r="M82" s="131"/>
      <c r="N82" s="132"/>
      <c r="O82" s="129"/>
      <c r="P82" s="129"/>
      <c r="Q82" s="133"/>
    </row>
    <row r="83" spans="1:17" s="128" customFormat="1" x14ac:dyDescent="0.25">
      <c r="A83" s="177">
        <f>Données!A83</f>
        <v>5534</v>
      </c>
      <c r="B83" s="356" t="str">
        <f>Données!B83</f>
        <v>Rueyres</v>
      </c>
      <c r="C83" s="177">
        <f>Données!AR83</f>
        <v>0</v>
      </c>
      <c r="D83" s="357">
        <f>Données!Z83</f>
        <v>304</v>
      </c>
      <c r="E83" s="130">
        <f>Données!X83</f>
        <v>73</v>
      </c>
      <c r="F83" s="31">
        <f>VPI!L83</f>
        <v>874930.23</v>
      </c>
      <c r="G83" s="8">
        <f t="shared" si="8"/>
        <v>23970.69123287671</v>
      </c>
      <c r="H83" s="26">
        <f t="shared" si="9"/>
        <v>26892.618984246099</v>
      </c>
      <c r="I83" s="8">
        <f t="shared" si="10"/>
        <v>23970.69123287671</v>
      </c>
      <c r="J83" s="8">
        <f>VPI!R83</f>
        <v>13098.988310502282</v>
      </c>
      <c r="K83" s="238">
        <f t="shared" si="11"/>
        <v>16053.672311752329</v>
      </c>
      <c r="L83" s="345">
        <f t="shared" si="12"/>
        <v>40024.363544629043</v>
      </c>
      <c r="M83" s="131"/>
      <c r="N83" s="132"/>
      <c r="O83" s="129"/>
      <c r="P83" s="129"/>
      <c r="Q83" s="133"/>
    </row>
    <row r="84" spans="1:17" s="128" customFormat="1" x14ac:dyDescent="0.25">
      <c r="A84" s="177">
        <f>Données!A84</f>
        <v>5535</v>
      </c>
      <c r="B84" s="356" t="str">
        <f>Données!B84</f>
        <v>Saint-Barthélemy</v>
      </c>
      <c r="C84" s="177">
        <f>Données!AR84</f>
        <v>0</v>
      </c>
      <c r="D84" s="357">
        <f>Données!Z84</f>
        <v>809</v>
      </c>
      <c r="E84" s="130">
        <f>Données!X84</f>
        <v>75</v>
      </c>
      <c r="F84" s="31">
        <f>VPI!L84</f>
        <v>1731328.6399999997</v>
      </c>
      <c r="G84" s="8">
        <f t="shared" si="8"/>
        <v>46168.763733333326</v>
      </c>
      <c r="H84" s="26">
        <f t="shared" si="9"/>
        <v>71566.213020575975</v>
      </c>
      <c r="I84" s="8">
        <f t="shared" si="10"/>
        <v>46168.763733333326</v>
      </c>
      <c r="J84" s="8">
        <f>VPI!R84</f>
        <v>25080.037866666662</v>
      </c>
      <c r="K84" s="238">
        <f t="shared" si="11"/>
        <v>30737.237100593138</v>
      </c>
      <c r="L84" s="345">
        <f t="shared" si="12"/>
        <v>76906.00083392646</v>
      </c>
      <c r="M84" s="131"/>
      <c r="N84" s="132"/>
      <c r="O84" s="129"/>
      <c r="P84" s="129"/>
      <c r="Q84" s="133"/>
    </row>
    <row r="85" spans="1:17" s="128" customFormat="1" x14ac:dyDescent="0.25">
      <c r="A85" s="177">
        <f>Données!A85</f>
        <v>5537</v>
      </c>
      <c r="B85" s="356" t="str">
        <f>Données!B85</f>
        <v>Villars-le-Terroir</v>
      </c>
      <c r="C85" s="177">
        <f>Données!AR85</f>
        <v>0</v>
      </c>
      <c r="D85" s="357">
        <f>Données!Z85</f>
        <v>1316</v>
      </c>
      <c r="E85" s="130">
        <f>Données!X85</f>
        <v>76</v>
      </c>
      <c r="F85" s="31">
        <f>VPI!L85</f>
        <v>3009467.75</v>
      </c>
      <c r="G85" s="8">
        <f t="shared" si="8"/>
        <v>79196.519736842107</v>
      </c>
      <c r="H85" s="26">
        <f t="shared" si="9"/>
        <v>116416.7321818022</v>
      </c>
      <c r="I85" s="8">
        <f t="shared" si="10"/>
        <v>79196.519736842107</v>
      </c>
      <c r="J85" s="8">
        <f>VPI!R85</f>
        <v>42917.111184210531</v>
      </c>
      <c r="K85" s="238">
        <f t="shared" si="11"/>
        <v>52597.744435420289</v>
      </c>
      <c r="L85" s="345">
        <f t="shared" si="12"/>
        <v>131794.2641722624</v>
      </c>
      <c r="M85" s="131"/>
      <c r="N85" s="132"/>
      <c r="O85" s="129"/>
      <c r="P85" s="129"/>
      <c r="Q85" s="133"/>
    </row>
    <row r="86" spans="1:17" s="128" customFormat="1" x14ac:dyDescent="0.25">
      <c r="A86" s="177">
        <f>Données!A86</f>
        <v>5539</v>
      </c>
      <c r="B86" s="356" t="str">
        <f>Données!B86</f>
        <v>Vuarrens</v>
      </c>
      <c r="C86" s="177">
        <f>Données!AR86</f>
        <v>0</v>
      </c>
      <c r="D86" s="357">
        <f>Données!Z86</f>
        <v>1097</v>
      </c>
      <c r="E86" s="130">
        <f>Données!X86</f>
        <v>73.5</v>
      </c>
      <c r="F86" s="31">
        <f>VPI!L86</f>
        <v>2340180.9499999993</v>
      </c>
      <c r="G86" s="8">
        <f t="shared" si="8"/>
        <v>63678.393197278892</v>
      </c>
      <c r="H86" s="26">
        <f t="shared" si="9"/>
        <v>97043.431005651219</v>
      </c>
      <c r="I86" s="8">
        <f t="shared" si="10"/>
        <v>63678.393197278892</v>
      </c>
      <c r="J86" s="8">
        <f>VPI!R86</f>
        <v>34556.836734693868</v>
      </c>
      <c r="K86" s="238">
        <f t="shared" si="11"/>
        <v>42351.677848640531</v>
      </c>
      <c r="L86" s="345">
        <f t="shared" si="12"/>
        <v>106030.07104591942</v>
      </c>
      <c r="M86" s="131"/>
      <c r="N86" s="132"/>
      <c r="O86" s="129"/>
      <c r="P86" s="129"/>
      <c r="Q86" s="133"/>
    </row>
    <row r="87" spans="1:17" s="128" customFormat="1" x14ac:dyDescent="0.25">
      <c r="A87" s="177">
        <f>Données!A87</f>
        <v>5540</v>
      </c>
      <c r="B87" s="356" t="str">
        <f>Données!B87</f>
        <v>Montilliez</v>
      </c>
      <c r="C87" s="177">
        <f>Données!AR87</f>
        <v>0</v>
      </c>
      <c r="D87" s="357">
        <f>Données!Z87</f>
        <v>1883</v>
      </c>
      <c r="E87" s="130">
        <f>Données!X87</f>
        <v>72.5</v>
      </c>
      <c r="F87" s="31">
        <f>VPI!L87</f>
        <v>4225347.79</v>
      </c>
      <c r="G87" s="8">
        <f t="shared" si="8"/>
        <v>116561.31834482758</v>
      </c>
      <c r="H87" s="26">
        <f t="shared" si="9"/>
        <v>166575.00508991911</v>
      </c>
      <c r="I87" s="8">
        <f t="shared" si="10"/>
        <v>116561.31834482758</v>
      </c>
      <c r="J87" s="8">
        <f>VPI!R87</f>
        <v>63309.453137931036</v>
      </c>
      <c r="K87" s="238">
        <f t="shared" si="11"/>
        <v>77589.901664215853</v>
      </c>
      <c r="L87" s="345">
        <f t="shared" si="12"/>
        <v>194151.22000904343</v>
      </c>
      <c r="M87" s="131"/>
      <c r="N87" s="132"/>
      <c r="O87" s="129"/>
      <c r="P87" s="129"/>
      <c r="Q87" s="133"/>
    </row>
    <row r="88" spans="1:17" s="128" customFormat="1" x14ac:dyDescent="0.25">
      <c r="A88" s="177">
        <f>Données!A88</f>
        <v>5541</v>
      </c>
      <c r="B88" s="356" t="str">
        <f>Données!B88</f>
        <v>Goumoëns</v>
      </c>
      <c r="C88" s="177">
        <f>Données!AR88</f>
        <v>0</v>
      </c>
      <c r="D88" s="357">
        <f>Données!Z88</f>
        <v>1166</v>
      </c>
      <c r="E88" s="130">
        <f>Données!X88</f>
        <v>75.5</v>
      </c>
      <c r="F88" s="31">
        <f>VPI!L88</f>
        <v>2894503.92</v>
      </c>
      <c r="G88" s="8">
        <f t="shared" si="8"/>
        <v>76675.600529801319</v>
      </c>
      <c r="H88" s="26">
        <f t="shared" si="9"/>
        <v>103147.34781457551</v>
      </c>
      <c r="I88" s="8">
        <f t="shared" si="10"/>
        <v>76675.600529801319</v>
      </c>
      <c r="J88" s="8">
        <f>VPI!R88</f>
        <v>41276.409536423838</v>
      </c>
      <c r="K88" s="238">
        <f t="shared" si="11"/>
        <v>50586.956579857295</v>
      </c>
      <c r="L88" s="345">
        <f t="shared" si="12"/>
        <v>127262.55710965861</v>
      </c>
      <c r="M88" s="131"/>
      <c r="N88" s="132"/>
      <c r="O88" s="129"/>
      <c r="P88" s="129"/>
      <c r="Q88" s="133"/>
    </row>
    <row r="89" spans="1:17" s="128" customFormat="1" x14ac:dyDescent="0.25">
      <c r="A89" s="177">
        <f>Données!A89</f>
        <v>5551</v>
      </c>
      <c r="B89" s="356" t="str">
        <f>Données!B89</f>
        <v>Bonvillars</v>
      </c>
      <c r="C89" s="177">
        <f>Données!AR89</f>
        <v>0</v>
      </c>
      <c r="D89" s="357">
        <f>Données!Z89</f>
        <v>481</v>
      </c>
      <c r="E89" s="130">
        <f>Données!X89</f>
        <v>55</v>
      </c>
      <c r="F89" s="31">
        <f>VPI!L89</f>
        <v>902143.05999999982</v>
      </c>
      <c r="G89" s="8">
        <f t="shared" si="8"/>
        <v>32805.202181818175</v>
      </c>
      <c r="H89" s="26">
        <f t="shared" si="9"/>
        <v>42550.492537573598</v>
      </c>
      <c r="I89" s="8">
        <f t="shared" si="10"/>
        <v>32805.202181818175</v>
      </c>
      <c r="J89" s="8">
        <f>VPI!R89</f>
        <v>18704.487454545451</v>
      </c>
      <c r="K89" s="238">
        <f t="shared" si="11"/>
        <v>22923.580450392892</v>
      </c>
      <c r="L89" s="345">
        <f t="shared" si="12"/>
        <v>55728.782632211063</v>
      </c>
      <c r="M89" s="131"/>
      <c r="N89" s="132"/>
      <c r="O89" s="129"/>
      <c r="P89" s="129"/>
      <c r="Q89" s="133"/>
    </row>
    <row r="90" spans="1:17" s="128" customFormat="1" x14ac:dyDescent="0.25">
      <c r="A90" s="177">
        <f>Données!A90</f>
        <v>5552</v>
      </c>
      <c r="B90" s="356" t="str">
        <f>Données!B90</f>
        <v>Bullet</v>
      </c>
      <c r="C90" s="177">
        <f>Données!AR90</f>
        <v>0</v>
      </c>
      <c r="D90" s="357">
        <f>Données!Z90</f>
        <v>657</v>
      </c>
      <c r="E90" s="130">
        <f>Données!X90</f>
        <v>71.5</v>
      </c>
      <c r="F90" s="31">
        <f>VPI!L90</f>
        <v>1266404.3500000001</v>
      </c>
      <c r="G90" s="8">
        <f t="shared" si="8"/>
        <v>35423.897902097902</v>
      </c>
      <c r="H90" s="26">
        <f t="shared" si="9"/>
        <v>58119.903528452924</v>
      </c>
      <c r="I90" s="8">
        <f t="shared" si="10"/>
        <v>35423.897902097902</v>
      </c>
      <c r="J90" s="8">
        <f>VPI!R90</f>
        <v>19598.576923076926</v>
      </c>
      <c r="K90" s="238">
        <f t="shared" si="11"/>
        <v>24019.345940441086</v>
      </c>
      <c r="L90" s="345">
        <f t="shared" si="12"/>
        <v>59443.243842538985</v>
      </c>
      <c r="M90" s="131"/>
      <c r="N90" s="132"/>
      <c r="O90" s="129"/>
      <c r="P90" s="129"/>
      <c r="Q90" s="133"/>
    </row>
    <row r="91" spans="1:17" s="128" customFormat="1" x14ac:dyDescent="0.25">
      <c r="A91" s="177">
        <f>Données!A91</f>
        <v>5553</v>
      </c>
      <c r="B91" s="356" t="str">
        <f>Données!B91</f>
        <v>Champagne</v>
      </c>
      <c r="C91" s="177">
        <f>Données!AR91</f>
        <v>0</v>
      </c>
      <c r="D91" s="357">
        <f>Données!Z91</f>
        <v>1085</v>
      </c>
      <c r="E91" s="130">
        <f>Données!X91</f>
        <v>65</v>
      </c>
      <c r="F91" s="31">
        <f>VPI!L91</f>
        <v>2350084.9000000004</v>
      </c>
      <c r="G91" s="8">
        <f t="shared" si="8"/>
        <v>72310.304615384623</v>
      </c>
      <c r="H91" s="26">
        <f t="shared" si="9"/>
        <v>95981.880256273085</v>
      </c>
      <c r="I91" s="8">
        <f t="shared" si="10"/>
        <v>72310.304615384623</v>
      </c>
      <c r="J91" s="8">
        <f>VPI!R91</f>
        <v>40077.283076923086</v>
      </c>
      <c r="K91" s="238">
        <f t="shared" si="11"/>
        <v>49117.34818073058</v>
      </c>
      <c r="L91" s="345">
        <f t="shared" si="12"/>
        <v>121427.6527961152</v>
      </c>
      <c r="M91" s="131"/>
      <c r="N91" s="132"/>
      <c r="O91" s="129"/>
      <c r="P91" s="129"/>
      <c r="Q91" s="133"/>
    </row>
    <row r="92" spans="1:17" s="128" customFormat="1" x14ac:dyDescent="0.25">
      <c r="A92" s="177">
        <f>Données!A92</f>
        <v>5554</v>
      </c>
      <c r="B92" s="356" t="str">
        <f>Données!B92</f>
        <v>Concise</v>
      </c>
      <c r="C92" s="177">
        <f>Données!AR92</f>
        <v>0</v>
      </c>
      <c r="D92" s="357">
        <f>Données!Z92</f>
        <v>1004</v>
      </c>
      <c r="E92" s="130">
        <f>Données!X92</f>
        <v>75</v>
      </c>
      <c r="F92" s="31">
        <f>VPI!L92</f>
        <v>2174783.7799999998</v>
      </c>
      <c r="G92" s="8">
        <f t="shared" si="8"/>
        <v>57994.234133333324</v>
      </c>
      <c r="H92" s="26">
        <f t="shared" si="9"/>
        <v>88816.412697970678</v>
      </c>
      <c r="I92" s="8">
        <f t="shared" si="10"/>
        <v>57994.234133333324</v>
      </c>
      <c r="J92" s="8">
        <f>VPI!R92</f>
        <v>31499.25106666666</v>
      </c>
      <c r="K92" s="238">
        <f t="shared" si="11"/>
        <v>38604.405371096276</v>
      </c>
      <c r="L92" s="345">
        <f t="shared" si="12"/>
        <v>96598.639504429593</v>
      </c>
      <c r="M92" s="131"/>
      <c r="N92" s="132"/>
      <c r="O92" s="129"/>
      <c r="P92" s="129"/>
      <c r="Q92" s="133"/>
    </row>
    <row r="93" spans="1:17" s="128" customFormat="1" x14ac:dyDescent="0.25">
      <c r="A93" s="177">
        <f>Données!A93</f>
        <v>5555</v>
      </c>
      <c r="B93" s="356" t="str">
        <f>Données!B93</f>
        <v>Corcelles-près-Concise</v>
      </c>
      <c r="C93" s="177">
        <f>Données!AR93</f>
        <v>0</v>
      </c>
      <c r="D93" s="357">
        <f>Données!Z93</f>
        <v>417</v>
      </c>
      <c r="E93" s="130">
        <f>Données!X93</f>
        <v>69</v>
      </c>
      <c r="F93" s="31">
        <f>VPI!L93</f>
        <v>862958.14999999991</v>
      </c>
      <c r="G93" s="8">
        <f t="shared" si="8"/>
        <v>25013.279710144925</v>
      </c>
      <c r="H93" s="26">
        <f t="shared" si="9"/>
        <v>36888.888540890213</v>
      </c>
      <c r="I93" s="8">
        <f t="shared" si="10"/>
        <v>25013.279710144925</v>
      </c>
      <c r="J93" s="8">
        <f>VPI!R93</f>
        <v>13877.681159420288</v>
      </c>
      <c r="K93" s="238">
        <f t="shared" si="11"/>
        <v>17008.011649395055</v>
      </c>
      <c r="L93" s="345">
        <f t="shared" si="12"/>
        <v>42021.29135953998</v>
      </c>
      <c r="M93" s="131"/>
      <c r="N93" s="132"/>
      <c r="O93" s="129"/>
      <c r="P93" s="129"/>
      <c r="Q93" s="133"/>
    </row>
    <row r="94" spans="1:17" s="128" customFormat="1" x14ac:dyDescent="0.25">
      <c r="A94" s="177">
        <f>Données!A94</f>
        <v>5556</v>
      </c>
      <c r="B94" s="356" t="str">
        <f>Données!B94</f>
        <v>Fiez</v>
      </c>
      <c r="C94" s="177">
        <f>Données!AR94</f>
        <v>0</v>
      </c>
      <c r="D94" s="357">
        <f>Données!Z94</f>
        <v>442</v>
      </c>
      <c r="E94" s="130">
        <f>Données!X94</f>
        <v>69</v>
      </c>
      <c r="F94" s="31">
        <f>VPI!L94</f>
        <v>927173.91</v>
      </c>
      <c r="G94" s="8">
        <f t="shared" si="8"/>
        <v>26874.606086956523</v>
      </c>
      <c r="H94" s="26">
        <f t="shared" si="9"/>
        <v>39100.452602094658</v>
      </c>
      <c r="I94" s="8">
        <f t="shared" si="10"/>
        <v>26874.606086956523</v>
      </c>
      <c r="J94" s="8">
        <f>VPI!R94</f>
        <v>14574.59084541063</v>
      </c>
      <c r="K94" s="238">
        <f t="shared" si="11"/>
        <v>17862.12033814051</v>
      </c>
      <c r="L94" s="345">
        <f t="shared" si="12"/>
        <v>44736.726425097033</v>
      </c>
      <c r="M94" s="131"/>
      <c r="N94" s="132"/>
      <c r="O94" s="129"/>
      <c r="P94" s="129"/>
      <c r="Q94" s="133"/>
    </row>
    <row r="95" spans="1:17" s="128" customFormat="1" x14ac:dyDescent="0.25">
      <c r="A95" s="177">
        <f>Données!A95</f>
        <v>5557</v>
      </c>
      <c r="B95" s="356" t="str">
        <f>Données!B95</f>
        <v>Fontaines-sur-Grandson</v>
      </c>
      <c r="C95" s="177">
        <f>Données!AR95</f>
        <v>0</v>
      </c>
      <c r="D95" s="357">
        <f>Données!Z95</f>
        <v>220</v>
      </c>
      <c r="E95" s="130">
        <f>Données!X95</f>
        <v>69</v>
      </c>
      <c r="F95" s="31">
        <f>VPI!L95</f>
        <v>255692.43999999997</v>
      </c>
      <c r="G95" s="8">
        <f t="shared" si="8"/>
        <v>7411.3750724637675</v>
      </c>
      <c r="H95" s="26">
        <f t="shared" si="9"/>
        <v>19461.763738599151</v>
      </c>
      <c r="I95" s="8">
        <f t="shared" si="10"/>
        <v>7411.3750724637675</v>
      </c>
      <c r="J95" s="8">
        <f>VPI!R95</f>
        <v>4232.7078260869557</v>
      </c>
      <c r="K95" s="238">
        <f t="shared" si="11"/>
        <v>5187.4620253618641</v>
      </c>
      <c r="L95" s="345">
        <f t="shared" si="12"/>
        <v>12598.837097825632</v>
      </c>
      <c r="M95" s="131"/>
      <c r="N95" s="132"/>
      <c r="O95" s="129"/>
      <c r="P95" s="129"/>
      <c r="Q95" s="133"/>
    </row>
    <row r="96" spans="1:17" s="128" customFormat="1" x14ac:dyDescent="0.25">
      <c r="A96" s="177">
        <f>Données!A96</f>
        <v>5559</v>
      </c>
      <c r="B96" s="356" t="str">
        <f>Données!B96</f>
        <v>Giez</v>
      </c>
      <c r="C96" s="177">
        <f>Données!AR96</f>
        <v>0</v>
      </c>
      <c r="D96" s="357">
        <f>Données!Z96</f>
        <v>443</v>
      </c>
      <c r="E96" s="130">
        <f>Données!X96</f>
        <v>66</v>
      </c>
      <c r="F96" s="31">
        <f>VPI!L96</f>
        <v>1450396.74</v>
      </c>
      <c r="G96" s="8">
        <f t="shared" si="8"/>
        <v>43951.416363636366</v>
      </c>
      <c r="H96" s="26">
        <f t="shared" si="9"/>
        <v>39188.915164542836</v>
      </c>
      <c r="I96" s="8">
        <f t="shared" si="10"/>
        <v>39188.915164542836</v>
      </c>
      <c r="J96" s="8">
        <f>VPI!R96</f>
        <v>23427.520303030306</v>
      </c>
      <c r="K96" s="238">
        <f t="shared" si="11"/>
        <v>28711.968062467236</v>
      </c>
      <c r="L96" s="345">
        <f t="shared" si="12"/>
        <v>67900.883227010068</v>
      </c>
      <c r="M96" s="131"/>
      <c r="N96" s="132"/>
      <c r="O96" s="129"/>
      <c r="P96" s="129"/>
      <c r="Q96" s="133"/>
    </row>
    <row r="97" spans="1:17" s="128" customFormat="1" x14ac:dyDescent="0.25">
      <c r="A97" s="177">
        <f>Données!A97</f>
        <v>5560</v>
      </c>
      <c r="B97" s="356" t="str">
        <f>Données!B97</f>
        <v>Grandevent</v>
      </c>
      <c r="C97" s="177">
        <f>Données!AR97</f>
        <v>0</v>
      </c>
      <c r="D97" s="357">
        <f>Données!Z97</f>
        <v>238</v>
      </c>
      <c r="E97" s="130">
        <f>Données!X97</f>
        <v>68</v>
      </c>
      <c r="F97" s="31">
        <f>VPI!L97</f>
        <v>432872.58999999997</v>
      </c>
      <c r="G97" s="8">
        <f t="shared" si="8"/>
        <v>12731.546764705881</v>
      </c>
      <c r="H97" s="26">
        <f t="shared" si="9"/>
        <v>21054.089862666355</v>
      </c>
      <c r="I97" s="8">
        <f t="shared" si="10"/>
        <v>12731.546764705881</v>
      </c>
      <c r="J97" s="8">
        <f>VPI!R97</f>
        <v>7003.3020588235295</v>
      </c>
      <c r="K97" s="238">
        <f t="shared" si="11"/>
        <v>8583.0076100176539</v>
      </c>
      <c r="L97" s="345">
        <f t="shared" si="12"/>
        <v>21314.554374723535</v>
      </c>
      <c r="M97" s="131"/>
      <c r="N97" s="132"/>
      <c r="O97" s="129"/>
      <c r="P97" s="129"/>
      <c r="Q97" s="133"/>
    </row>
    <row r="98" spans="1:17" s="128" customFormat="1" x14ac:dyDescent="0.25">
      <c r="A98" s="177">
        <f>Données!A98</f>
        <v>5561</v>
      </c>
      <c r="B98" s="356" t="str">
        <f>Données!B98</f>
        <v>Grandson</v>
      </c>
      <c r="C98" s="177">
        <f>Données!AR98</f>
        <v>0</v>
      </c>
      <c r="D98" s="357">
        <f>Données!Z98</f>
        <v>3366</v>
      </c>
      <c r="E98" s="130">
        <f>Données!X98</f>
        <v>69</v>
      </c>
      <c r="F98" s="31">
        <f>VPI!L98</f>
        <v>7220210.1600000001</v>
      </c>
      <c r="G98" s="8">
        <f t="shared" si="8"/>
        <v>209281.45391304349</v>
      </c>
      <c r="H98" s="26">
        <f t="shared" si="9"/>
        <v>297764.985200567</v>
      </c>
      <c r="I98" s="8">
        <f t="shared" si="10"/>
        <v>209281.45391304349</v>
      </c>
      <c r="J98" s="8">
        <f>VPI!R98</f>
        <v>114496.59724637681</v>
      </c>
      <c r="K98" s="238">
        <f t="shared" si="11"/>
        <v>140323.11575774936</v>
      </c>
      <c r="L98" s="345">
        <f t="shared" si="12"/>
        <v>349604.56967079284</v>
      </c>
      <c r="M98" s="131"/>
      <c r="N98" s="132"/>
      <c r="O98" s="129"/>
      <c r="P98" s="129"/>
      <c r="Q98" s="133"/>
    </row>
    <row r="99" spans="1:17" s="128" customFormat="1" x14ac:dyDescent="0.25">
      <c r="A99" s="177">
        <f>Données!A99</f>
        <v>5562</v>
      </c>
      <c r="B99" s="356" t="str">
        <f>Données!B99</f>
        <v>Mauborget</v>
      </c>
      <c r="C99" s="177">
        <f>Données!AR99</f>
        <v>0</v>
      </c>
      <c r="D99" s="357">
        <f>Données!Z99</f>
        <v>137</v>
      </c>
      <c r="E99" s="130">
        <f>Données!X99</f>
        <v>70</v>
      </c>
      <c r="F99" s="31">
        <f>VPI!L99</f>
        <v>393657.66</v>
      </c>
      <c r="G99" s="8">
        <f t="shared" si="8"/>
        <v>11247.361714285713</v>
      </c>
      <c r="H99" s="26">
        <f t="shared" si="9"/>
        <v>12119.371055400381</v>
      </c>
      <c r="I99" s="8">
        <f t="shared" si="10"/>
        <v>11247.361714285713</v>
      </c>
      <c r="J99" s="8">
        <f>VPI!R99</f>
        <v>6099.4266904761898</v>
      </c>
      <c r="K99" s="238">
        <f t="shared" si="11"/>
        <v>7475.2488556657145</v>
      </c>
      <c r="L99" s="345">
        <f t="shared" si="12"/>
        <v>18722.610569951426</v>
      </c>
      <c r="M99" s="131"/>
      <c r="N99" s="132"/>
      <c r="O99" s="129"/>
      <c r="P99" s="129"/>
      <c r="Q99" s="133"/>
    </row>
    <row r="100" spans="1:17" s="128" customFormat="1" x14ac:dyDescent="0.25">
      <c r="A100" s="177">
        <f>Données!A100</f>
        <v>5563</v>
      </c>
      <c r="B100" s="356" t="str">
        <f>Données!B100</f>
        <v>Mutrux</v>
      </c>
      <c r="C100" s="177">
        <f>Données!AR100</f>
        <v>0</v>
      </c>
      <c r="D100" s="357">
        <f>Données!Z100</f>
        <v>151</v>
      </c>
      <c r="E100" s="130">
        <f>Données!X100</f>
        <v>80</v>
      </c>
      <c r="F100" s="31">
        <f>VPI!L100</f>
        <v>320163.10000000003</v>
      </c>
      <c r="G100" s="8">
        <f t="shared" si="8"/>
        <v>8004.0775000000012</v>
      </c>
      <c r="H100" s="26">
        <f t="shared" si="9"/>
        <v>13357.846929674872</v>
      </c>
      <c r="I100" s="8">
        <f t="shared" si="10"/>
        <v>8004.0775000000012</v>
      </c>
      <c r="J100" s="8">
        <f>VPI!R100</f>
        <v>4282.2106250000006</v>
      </c>
      <c r="K100" s="238">
        <f t="shared" si="11"/>
        <v>5248.1309635597427</v>
      </c>
      <c r="L100" s="345">
        <f t="shared" si="12"/>
        <v>13252.208463559744</v>
      </c>
      <c r="M100" s="131"/>
      <c r="N100" s="132"/>
      <c r="O100" s="129"/>
      <c r="P100" s="129"/>
      <c r="Q100" s="133"/>
    </row>
    <row r="101" spans="1:17" s="128" customFormat="1" x14ac:dyDescent="0.25">
      <c r="A101" s="177">
        <f>Données!A101</f>
        <v>5564</v>
      </c>
      <c r="B101" s="356" t="str">
        <f>Données!B101</f>
        <v>Novalles</v>
      </c>
      <c r="C101" s="177">
        <f>Données!AR101</f>
        <v>0</v>
      </c>
      <c r="D101" s="357">
        <f>Données!Z101</f>
        <v>103</v>
      </c>
      <c r="E101" s="130">
        <f>Données!X101</f>
        <v>76</v>
      </c>
      <c r="F101" s="31">
        <f>VPI!L101</f>
        <v>145297.31</v>
      </c>
      <c r="G101" s="8">
        <f t="shared" si="8"/>
        <v>3823.6134210526316</v>
      </c>
      <c r="H101" s="26">
        <f t="shared" si="9"/>
        <v>9111.6439321623293</v>
      </c>
      <c r="I101" s="8">
        <f t="shared" si="10"/>
        <v>3823.6134210526316</v>
      </c>
      <c r="J101" s="8">
        <f>VPI!R101</f>
        <v>2099.5443749999999</v>
      </c>
      <c r="K101" s="238">
        <f t="shared" si="11"/>
        <v>2573.1298174538497</v>
      </c>
      <c r="L101" s="345">
        <f t="shared" si="12"/>
        <v>6396.7432385064812</v>
      </c>
      <c r="M101" s="131"/>
      <c r="N101" s="132"/>
      <c r="O101" s="129"/>
      <c r="P101" s="129"/>
      <c r="Q101" s="133"/>
    </row>
    <row r="102" spans="1:17" s="128" customFormat="1" x14ac:dyDescent="0.25">
      <c r="A102" s="177">
        <f>Données!A102</f>
        <v>5565</v>
      </c>
      <c r="B102" s="356" t="str">
        <f>Données!B102</f>
        <v>Onnens</v>
      </c>
      <c r="C102" s="177">
        <f>Données!AR102</f>
        <v>0</v>
      </c>
      <c r="D102" s="357">
        <f>Données!Z102</f>
        <v>495</v>
      </c>
      <c r="E102" s="130">
        <f>Données!X102</f>
        <v>63.5</v>
      </c>
      <c r="F102" s="31">
        <f>VPI!L102</f>
        <v>1286106.6899999997</v>
      </c>
      <c r="G102" s="8">
        <f t="shared" si="8"/>
        <v>40507.297322834638</v>
      </c>
      <c r="H102" s="26">
        <f t="shared" si="9"/>
        <v>43788.968411848095</v>
      </c>
      <c r="I102" s="8">
        <f t="shared" si="10"/>
        <v>40507.297322834638</v>
      </c>
      <c r="J102" s="8">
        <f>VPI!R102</f>
        <v>22684.162047244088</v>
      </c>
      <c r="K102" s="238">
        <f t="shared" si="11"/>
        <v>27800.933594327449</v>
      </c>
      <c r="L102" s="345">
        <f t="shared" si="12"/>
        <v>68308.230917162087</v>
      </c>
      <c r="M102" s="131"/>
      <c r="N102" s="132"/>
      <c r="O102" s="129"/>
      <c r="P102" s="129"/>
      <c r="Q102" s="133"/>
    </row>
    <row r="103" spans="1:17" s="128" customFormat="1" x14ac:dyDescent="0.25">
      <c r="A103" s="177">
        <f>Données!A103</f>
        <v>5566</v>
      </c>
      <c r="B103" s="356" t="str">
        <f>Données!B103</f>
        <v>Provence</v>
      </c>
      <c r="C103" s="177">
        <f>Données!AR103</f>
        <v>0</v>
      </c>
      <c r="D103" s="357">
        <f>Données!Z103</f>
        <v>403</v>
      </c>
      <c r="E103" s="130">
        <f>Données!X103</f>
        <v>81</v>
      </c>
      <c r="F103" s="31">
        <f>VPI!L103</f>
        <v>702723.47</v>
      </c>
      <c r="G103" s="8">
        <f t="shared" si="8"/>
        <v>17351.196790123457</v>
      </c>
      <c r="H103" s="26">
        <f t="shared" si="9"/>
        <v>35650.412666615717</v>
      </c>
      <c r="I103" s="8">
        <f t="shared" si="10"/>
        <v>17351.196790123457</v>
      </c>
      <c r="J103" s="8">
        <f>VPI!R103</f>
        <v>9377.2088888888902</v>
      </c>
      <c r="K103" s="238">
        <f t="shared" si="11"/>
        <v>11492.386673891229</v>
      </c>
      <c r="L103" s="345">
        <f t="shared" si="12"/>
        <v>28843.583464014686</v>
      </c>
      <c r="M103" s="131"/>
      <c r="N103" s="132"/>
      <c r="O103" s="129"/>
      <c r="P103" s="129"/>
      <c r="Q103" s="133"/>
    </row>
    <row r="104" spans="1:17" s="128" customFormat="1" x14ac:dyDescent="0.25">
      <c r="A104" s="177">
        <f>Données!A104</f>
        <v>5568</v>
      </c>
      <c r="B104" s="356" t="str">
        <f>Données!B104</f>
        <v>Sainte-Croix</v>
      </c>
      <c r="C104" s="177">
        <f>Données!AR104</f>
        <v>0</v>
      </c>
      <c r="D104" s="357">
        <f>Données!Z104</f>
        <v>4948</v>
      </c>
      <c r="E104" s="130">
        <f>Données!X104</f>
        <v>70</v>
      </c>
      <c r="F104" s="31">
        <f>VPI!L104</f>
        <v>6940646.2699999996</v>
      </c>
      <c r="G104" s="8">
        <f t="shared" si="8"/>
        <v>198304.17914285712</v>
      </c>
      <c r="H104" s="26">
        <f t="shared" si="9"/>
        <v>437712.75899358455</v>
      </c>
      <c r="I104" s="8">
        <f t="shared" si="10"/>
        <v>198304.17914285712</v>
      </c>
      <c r="J104" s="8">
        <f>VPI!R104</f>
        <v>109152.09599999999</v>
      </c>
      <c r="K104" s="238">
        <f t="shared" si="11"/>
        <v>133773.07772081983</v>
      </c>
      <c r="L104" s="345">
        <f t="shared" si="12"/>
        <v>332077.25686367694</v>
      </c>
      <c r="M104" s="131"/>
      <c r="N104" s="132"/>
      <c r="O104" s="129"/>
      <c r="P104" s="129"/>
      <c r="Q104" s="133"/>
    </row>
    <row r="105" spans="1:17" s="128" customFormat="1" x14ac:dyDescent="0.25">
      <c r="A105" s="177">
        <f>Données!A105</f>
        <v>5571</v>
      </c>
      <c r="B105" s="356" t="str">
        <f>Données!B105</f>
        <v>Tévenon</v>
      </c>
      <c r="C105" s="177">
        <f>Données!AR105</f>
        <v>0</v>
      </c>
      <c r="D105" s="357">
        <f>Données!Z105</f>
        <v>883</v>
      </c>
      <c r="E105" s="130">
        <f>Données!X105</f>
        <v>71.5</v>
      </c>
      <c r="F105" s="31">
        <f>VPI!L105</f>
        <v>1635469.49</v>
      </c>
      <c r="G105" s="8">
        <f t="shared" si="8"/>
        <v>45747.398321678324</v>
      </c>
      <c r="H105" s="26">
        <f t="shared" si="9"/>
        <v>78112.442641741145</v>
      </c>
      <c r="I105" s="8">
        <f t="shared" si="10"/>
        <v>45747.398321678324</v>
      </c>
      <c r="J105" s="8">
        <f>VPI!R105</f>
        <v>25324.815594405594</v>
      </c>
      <c r="K105" s="238">
        <f t="shared" si="11"/>
        <v>31037.228316493798</v>
      </c>
      <c r="L105" s="345">
        <f t="shared" si="12"/>
        <v>76784.626638172122</v>
      </c>
      <c r="M105" s="131"/>
      <c r="N105" s="132"/>
      <c r="O105" s="129"/>
      <c r="P105" s="129"/>
      <c r="Q105" s="133"/>
    </row>
    <row r="106" spans="1:17" s="128" customFormat="1" x14ac:dyDescent="0.25">
      <c r="A106" s="177">
        <f>Données!A106</f>
        <v>5581</v>
      </c>
      <c r="B106" s="356" t="str">
        <f>Données!B106</f>
        <v>Belmont-sur-Lausanne</v>
      </c>
      <c r="C106" s="177">
        <f>Données!AR106</f>
        <v>1</v>
      </c>
      <c r="D106" s="357">
        <f>Données!Z106</f>
        <v>3871</v>
      </c>
      <c r="E106" s="130">
        <f>Données!X106</f>
        <v>72</v>
      </c>
      <c r="F106" s="31">
        <f>VPI!L106</f>
        <v>14505020.040000001</v>
      </c>
      <c r="G106" s="8">
        <f t="shared" si="8"/>
        <v>402917.22333333339</v>
      </c>
      <c r="H106" s="26">
        <f t="shared" si="9"/>
        <v>342438.57923689688</v>
      </c>
      <c r="I106" s="8">
        <f t="shared" si="10"/>
        <v>0</v>
      </c>
      <c r="J106" s="8">
        <f>VPI!R106</f>
        <v>215428.66976851854</v>
      </c>
      <c r="K106" s="238">
        <f t="shared" si="11"/>
        <v>264022.01368846698</v>
      </c>
      <c r="L106" s="345">
        <f t="shared" si="12"/>
        <v>264022.01368846698</v>
      </c>
      <c r="M106" s="131"/>
      <c r="N106" s="132"/>
      <c r="O106" s="129"/>
      <c r="P106" s="129"/>
      <c r="Q106" s="133"/>
    </row>
    <row r="107" spans="1:17" s="128" customFormat="1" x14ac:dyDescent="0.25">
      <c r="A107" s="177">
        <f>Données!A107</f>
        <v>5582</v>
      </c>
      <c r="B107" s="356" t="str">
        <f>Données!B107</f>
        <v>Cheseaux-sur-Lausanne</v>
      </c>
      <c r="C107" s="177">
        <f>Données!AR107</f>
        <v>0</v>
      </c>
      <c r="D107" s="357">
        <f>Données!Z107</f>
        <v>4449</v>
      </c>
      <c r="E107" s="130">
        <f>Données!X107</f>
        <v>73</v>
      </c>
      <c r="F107" s="31">
        <f>VPI!L107</f>
        <v>11191953.869999997</v>
      </c>
      <c r="G107" s="8">
        <f t="shared" si="8"/>
        <v>306628.87315068487</v>
      </c>
      <c r="H107" s="26">
        <f t="shared" si="9"/>
        <v>393569.94033194374</v>
      </c>
      <c r="I107" s="8">
        <f t="shared" si="10"/>
        <v>306628.87315068487</v>
      </c>
      <c r="J107" s="8">
        <f>VPI!R107</f>
        <v>167486.36602739722</v>
      </c>
      <c r="K107" s="238">
        <f t="shared" si="11"/>
        <v>205265.56503102503</v>
      </c>
      <c r="L107" s="345">
        <f t="shared" si="12"/>
        <v>511894.43818170991</v>
      </c>
      <c r="M107" s="131"/>
      <c r="N107" s="132"/>
      <c r="O107" s="129"/>
      <c r="P107" s="129"/>
      <c r="Q107" s="133"/>
    </row>
    <row r="108" spans="1:17" s="128" customFormat="1" x14ac:dyDescent="0.25">
      <c r="A108" s="177">
        <f>Données!A108</f>
        <v>5583</v>
      </c>
      <c r="B108" s="356" t="str">
        <f>Données!B108</f>
        <v>Crissier</v>
      </c>
      <c r="C108" s="177">
        <f>Données!AR108</f>
        <v>1</v>
      </c>
      <c r="D108" s="357">
        <f>Données!Z108</f>
        <v>8974</v>
      </c>
      <c r="E108" s="130">
        <f>Données!X108</f>
        <v>63.5</v>
      </c>
      <c r="F108" s="31">
        <f>VPI!L108</f>
        <v>18528664.619999997</v>
      </c>
      <c r="G108" s="8">
        <f t="shared" si="8"/>
        <v>583579.98803149594</v>
      </c>
      <c r="H108" s="26">
        <f t="shared" si="9"/>
        <v>793863.03540994902</v>
      </c>
      <c r="I108" s="8">
        <f t="shared" si="10"/>
        <v>0</v>
      </c>
      <c r="J108" s="8">
        <f>VPI!R108</f>
        <v>337339.7176377952</v>
      </c>
      <c r="K108" s="238">
        <f t="shared" si="11"/>
        <v>413432.02668210963</v>
      </c>
      <c r="L108" s="345">
        <f t="shared" si="12"/>
        <v>413432.02668210963</v>
      </c>
      <c r="M108" s="131"/>
      <c r="N108" s="132"/>
      <c r="O108" s="129"/>
      <c r="P108" s="129"/>
      <c r="Q108" s="133"/>
    </row>
    <row r="109" spans="1:17" s="128" customFormat="1" x14ac:dyDescent="0.25">
      <c r="A109" s="177">
        <f>Données!A109</f>
        <v>5584</v>
      </c>
      <c r="B109" s="356" t="str">
        <f>Données!B109</f>
        <v>Epalinges</v>
      </c>
      <c r="C109" s="177">
        <f>Données!AR109</f>
        <v>0</v>
      </c>
      <c r="D109" s="357">
        <f>Données!Z109</f>
        <v>9813</v>
      </c>
      <c r="E109" s="130">
        <f>Données!X109</f>
        <v>64.5</v>
      </c>
      <c r="F109" s="31">
        <f>VPI!L109</f>
        <v>30811301.23</v>
      </c>
      <c r="G109" s="8">
        <f t="shared" si="8"/>
        <v>955389.18542635662</v>
      </c>
      <c r="H109" s="26">
        <f t="shared" si="9"/>
        <v>868083.1253039703</v>
      </c>
      <c r="I109" s="8">
        <f t="shared" si="10"/>
        <v>868083.1253039703</v>
      </c>
      <c r="J109" s="8">
        <f>VPI!R109</f>
        <v>516682.33689922479</v>
      </c>
      <c r="K109" s="238">
        <f t="shared" si="11"/>
        <v>633228.21039547247</v>
      </c>
      <c r="L109" s="345">
        <f t="shared" si="12"/>
        <v>1501311.3356994428</v>
      </c>
      <c r="M109" s="131"/>
      <c r="N109" s="132"/>
      <c r="O109" s="129"/>
      <c r="P109" s="129"/>
      <c r="Q109" s="133"/>
    </row>
    <row r="110" spans="1:17" s="128" customFormat="1" x14ac:dyDescent="0.25">
      <c r="A110" s="177">
        <f>Données!A110</f>
        <v>5585</v>
      </c>
      <c r="B110" s="356" t="str">
        <f>Données!B110</f>
        <v>Jouxtens-Mézery</v>
      </c>
      <c r="C110" s="177">
        <f>Données!AR110</f>
        <v>0</v>
      </c>
      <c r="D110" s="357">
        <f>Données!Z110</f>
        <v>1460</v>
      </c>
      <c r="E110" s="130">
        <f>Données!X110</f>
        <v>59</v>
      </c>
      <c r="F110" s="31">
        <f>VPI!L110</f>
        <v>10729223.15</v>
      </c>
      <c r="G110" s="8">
        <f t="shared" si="8"/>
        <v>363702.47966101696</v>
      </c>
      <c r="H110" s="26">
        <f t="shared" si="9"/>
        <v>129155.34117433983</v>
      </c>
      <c r="I110" s="8">
        <f t="shared" si="10"/>
        <v>129155.34117433983</v>
      </c>
      <c r="J110" s="8">
        <f>VPI!R110</f>
        <v>191742.38983050847</v>
      </c>
      <c r="K110" s="238">
        <f t="shared" si="11"/>
        <v>234992.91866252705</v>
      </c>
      <c r="L110" s="345">
        <f t="shared" si="12"/>
        <v>364148.25983686687</v>
      </c>
      <c r="M110" s="131"/>
      <c r="N110" s="132"/>
      <c r="O110" s="129"/>
      <c r="P110" s="129"/>
      <c r="Q110" s="133"/>
    </row>
    <row r="111" spans="1:17" s="128" customFormat="1" x14ac:dyDescent="0.25">
      <c r="A111" s="177">
        <f>Données!A111</f>
        <v>5586</v>
      </c>
      <c r="B111" s="356" t="str">
        <f>Données!B111</f>
        <v>Lausanne</v>
      </c>
      <c r="C111" s="177">
        <f>Données!AR111</f>
        <v>1</v>
      </c>
      <c r="D111" s="357">
        <f>Données!Z111</f>
        <v>140824</v>
      </c>
      <c r="E111" s="130">
        <f>Données!X111</f>
        <v>78.5</v>
      </c>
      <c r="F111" s="31">
        <f>VPI!L111</f>
        <v>470673937.50000012</v>
      </c>
      <c r="G111" s="8">
        <f t="shared" si="8"/>
        <v>11991692.675159238</v>
      </c>
      <c r="H111" s="26">
        <f t="shared" si="9"/>
        <v>12457651.894202214</v>
      </c>
      <c r="I111" s="8">
        <f t="shared" si="10"/>
        <v>0</v>
      </c>
      <c r="J111" s="8">
        <f>VPI!R111</f>
        <v>6457900.2123142257</v>
      </c>
      <c r="K111" s="238">
        <f t="shared" si="11"/>
        <v>7914581.7503606146</v>
      </c>
      <c r="L111" s="345">
        <f t="shared" si="12"/>
        <v>7914581.7503606146</v>
      </c>
      <c r="M111" s="131"/>
      <c r="N111" s="132"/>
      <c r="O111" s="129"/>
      <c r="P111" s="129"/>
      <c r="Q111" s="133"/>
    </row>
    <row r="112" spans="1:17" s="128" customFormat="1" x14ac:dyDescent="0.25">
      <c r="A112" s="177">
        <f>Données!A112</f>
        <v>5587</v>
      </c>
      <c r="B112" s="356" t="str">
        <f>Données!B112</f>
        <v>Le Mont-sur-Lausanne</v>
      </c>
      <c r="C112" s="177">
        <f>Données!AR112</f>
        <v>0</v>
      </c>
      <c r="D112" s="357">
        <f>Données!Z112</f>
        <v>9217</v>
      </c>
      <c r="E112" s="130">
        <f>Données!X112</f>
        <v>73.5</v>
      </c>
      <c r="F112" s="31">
        <f>VPI!L112</f>
        <v>33307144.939999998</v>
      </c>
      <c r="G112" s="8">
        <f t="shared" si="8"/>
        <v>906316.86911564623</v>
      </c>
      <c r="H112" s="26">
        <f t="shared" si="9"/>
        <v>815359.43808485626</v>
      </c>
      <c r="I112" s="8">
        <f t="shared" si="10"/>
        <v>815359.43808485626</v>
      </c>
      <c r="J112" s="8">
        <f>VPI!R112</f>
        <v>494912.33501133788</v>
      </c>
      <c r="K112" s="238">
        <f t="shared" si="11"/>
        <v>606547.64024379454</v>
      </c>
      <c r="L112" s="345">
        <f t="shared" si="12"/>
        <v>1421907.0783286509</v>
      </c>
      <c r="M112" s="131"/>
      <c r="N112" s="132"/>
      <c r="O112" s="129"/>
      <c r="P112" s="129"/>
      <c r="Q112" s="133"/>
    </row>
    <row r="113" spans="1:17" s="128" customFormat="1" x14ac:dyDescent="0.25">
      <c r="A113" s="177">
        <f>Données!A113</f>
        <v>5588</v>
      </c>
      <c r="B113" s="356" t="str">
        <f>Données!B113</f>
        <v>Paudex</v>
      </c>
      <c r="C113" s="177">
        <f>Données!AR113</f>
        <v>1</v>
      </c>
      <c r="D113" s="357">
        <f>Données!Z113</f>
        <v>1545</v>
      </c>
      <c r="E113" s="130">
        <f>Données!X113</f>
        <v>66.5</v>
      </c>
      <c r="F113" s="31">
        <f>VPI!L113</f>
        <v>8740721.200000003</v>
      </c>
      <c r="G113" s="8">
        <f t="shared" si="8"/>
        <v>262878.83308270684</v>
      </c>
      <c r="H113" s="26">
        <f t="shared" si="9"/>
        <v>136674.65898243495</v>
      </c>
      <c r="I113" s="8">
        <f t="shared" si="10"/>
        <v>0</v>
      </c>
      <c r="J113" s="8">
        <f>VPI!R113</f>
        <v>140525.78356605806</v>
      </c>
      <c r="K113" s="238">
        <f t="shared" si="11"/>
        <v>172223.59675769662</v>
      </c>
      <c r="L113" s="345">
        <f t="shared" si="12"/>
        <v>172223.59675769662</v>
      </c>
      <c r="M113" s="131"/>
      <c r="N113" s="132"/>
      <c r="O113" s="129"/>
      <c r="P113" s="129"/>
      <c r="Q113" s="133"/>
    </row>
    <row r="114" spans="1:17" s="128" customFormat="1" x14ac:dyDescent="0.25">
      <c r="A114" s="177">
        <f>Données!A114</f>
        <v>5589</v>
      </c>
      <c r="B114" s="356" t="str">
        <f>Données!B114</f>
        <v>Prilly</v>
      </c>
      <c r="C114" s="177">
        <f>Données!AR114</f>
        <v>1</v>
      </c>
      <c r="D114" s="357">
        <f>Données!Z114</f>
        <v>12341</v>
      </c>
      <c r="E114" s="130">
        <f>Données!X114</f>
        <v>72.5</v>
      </c>
      <c r="F114" s="31">
        <f>VPI!L114</f>
        <v>27614852.680000003</v>
      </c>
      <c r="G114" s="8">
        <f t="shared" si="8"/>
        <v>761789.03944827593</v>
      </c>
      <c r="H114" s="26">
        <f t="shared" si="9"/>
        <v>1091716.4831729643</v>
      </c>
      <c r="I114" s="8">
        <f t="shared" si="10"/>
        <v>0</v>
      </c>
      <c r="J114" s="8">
        <f>VPI!R114</f>
        <v>419337.60911405843</v>
      </c>
      <c r="K114" s="238">
        <f t="shared" si="11"/>
        <v>513925.83954849298</v>
      </c>
      <c r="L114" s="345">
        <f t="shared" si="12"/>
        <v>513925.83954849298</v>
      </c>
      <c r="M114" s="131"/>
      <c r="N114" s="132"/>
      <c r="O114" s="129"/>
      <c r="P114" s="129"/>
      <c r="Q114" s="133"/>
    </row>
    <row r="115" spans="1:17" s="128" customFormat="1" x14ac:dyDescent="0.25">
      <c r="A115" s="177">
        <f>Données!A115</f>
        <v>5590</v>
      </c>
      <c r="B115" s="356" t="str">
        <f>Données!B115</f>
        <v>Pully</v>
      </c>
      <c r="C115" s="177">
        <f>Données!AR115</f>
        <v>1</v>
      </c>
      <c r="D115" s="357">
        <f>Données!Z115</f>
        <v>18946</v>
      </c>
      <c r="E115" s="130">
        <f>Données!X115</f>
        <v>61</v>
      </c>
      <c r="F115" s="31">
        <f>VPI!L115</f>
        <v>91967160.799999982</v>
      </c>
      <c r="G115" s="8">
        <f t="shared" si="8"/>
        <v>3015316.7475409829</v>
      </c>
      <c r="H115" s="26">
        <f t="shared" si="9"/>
        <v>1676011.7081431798</v>
      </c>
      <c r="I115" s="8">
        <f t="shared" si="10"/>
        <v>0</v>
      </c>
      <c r="J115" s="8">
        <f>VPI!R115</f>
        <v>1602221.7514051518</v>
      </c>
      <c r="K115" s="238">
        <f t="shared" si="11"/>
        <v>1963628.2099127939</v>
      </c>
      <c r="L115" s="345">
        <f t="shared" si="12"/>
        <v>1963628.2099127939</v>
      </c>
      <c r="M115" s="131"/>
      <c r="N115" s="132"/>
      <c r="O115" s="129"/>
      <c r="P115" s="129"/>
      <c r="Q115" s="133"/>
    </row>
    <row r="116" spans="1:17" s="128" customFormat="1" x14ac:dyDescent="0.25">
      <c r="A116" s="177">
        <f>Données!A116</f>
        <v>5591</v>
      </c>
      <c r="B116" s="356" t="str">
        <f>Données!B116</f>
        <v>Renens</v>
      </c>
      <c r="C116" s="177">
        <f>Données!AR116</f>
        <v>1</v>
      </c>
      <c r="D116" s="357">
        <f>Données!Z116</f>
        <v>20917</v>
      </c>
      <c r="E116" s="130">
        <f>Données!X116</f>
        <v>77</v>
      </c>
      <c r="F116" s="31">
        <f>VPI!L116</f>
        <v>39358571.160000004</v>
      </c>
      <c r="G116" s="8">
        <f t="shared" si="8"/>
        <v>1022300.5496103897</v>
      </c>
      <c r="H116" s="26">
        <f t="shared" si="9"/>
        <v>1850371.4187285386</v>
      </c>
      <c r="I116" s="8">
        <f t="shared" si="10"/>
        <v>0</v>
      </c>
      <c r="J116" s="8">
        <f>VPI!R116</f>
        <v>569549.93361781072</v>
      </c>
      <c r="K116" s="238">
        <f t="shared" si="11"/>
        <v>698020.92976522562</v>
      </c>
      <c r="L116" s="345">
        <f t="shared" si="12"/>
        <v>698020.92976522562</v>
      </c>
      <c r="M116" s="131"/>
      <c r="N116" s="132"/>
      <c r="O116" s="129"/>
      <c r="P116" s="129"/>
      <c r="Q116" s="133"/>
    </row>
    <row r="117" spans="1:17" s="128" customFormat="1" x14ac:dyDescent="0.25">
      <c r="A117" s="177">
        <f>Données!A117</f>
        <v>5592</v>
      </c>
      <c r="B117" s="356" t="str">
        <f>Données!B117</f>
        <v>Romanel-sur-Lausanne</v>
      </c>
      <c r="C117" s="177">
        <f>Données!AR117</f>
        <v>0</v>
      </c>
      <c r="D117" s="357">
        <f>Données!Z117</f>
        <v>3482</v>
      </c>
      <c r="E117" s="130">
        <f>Données!X117</f>
        <v>70.5</v>
      </c>
      <c r="F117" s="31">
        <f>VPI!L117</f>
        <v>7743375.3099999996</v>
      </c>
      <c r="G117" s="8">
        <f t="shared" si="8"/>
        <v>219670.22156028368</v>
      </c>
      <c r="H117" s="26">
        <f t="shared" si="9"/>
        <v>308026.64244455565</v>
      </c>
      <c r="I117" s="8">
        <f t="shared" si="10"/>
        <v>219670.22156028368</v>
      </c>
      <c r="J117" s="8">
        <f>VPI!R117</f>
        <v>121058.65858156027</v>
      </c>
      <c r="K117" s="238">
        <f t="shared" si="11"/>
        <v>148365.35381976774</v>
      </c>
      <c r="L117" s="345">
        <f t="shared" si="12"/>
        <v>368035.57538005139</v>
      </c>
      <c r="M117" s="131"/>
      <c r="N117" s="132"/>
      <c r="O117" s="129"/>
      <c r="P117" s="129"/>
      <c r="Q117" s="133"/>
    </row>
    <row r="118" spans="1:17" s="128" customFormat="1" x14ac:dyDescent="0.25">
      <c r="A118" s="177">
        <f>Données!A118</f>
        <v>5601</v>
      </c>
      <c r="B118" s="356" t="str">
        <f>Données!B118</f>
        <v>Chexbres</v>
      </c>
      <c r="C118" s="177">
        <f>Données!AR118</f>
        <v>1</v>
      </c>
      <c r="D118" s="357">
        <f>Données!Z118</f>
        <v>2229</v>
      </c>
      <c r="E118" s="130">
        <f>Données!X118</f>
        <v>67.5</v>
      </c>
      <c r="F118" s="31">
        <f>VPI!L118</f>
        <v>6635711.8200000003</v>
      </c>
      <c r="G118" s="8">
        <f t="shared" si="8"/>
        <v>196613.68355555556</v>
      </c>
      <c r="H118" s="26">
        <f t="shared" si="9"/>
        <v>197183.05169698867</v>
      </c>
      <c r="I118" s="8">
        <f t="shared" si="10"/>
        <v>0</v>
      </c>
      <c r="J118" s="8">
        <f>VPI!R118</f>
        <v>105964.39288888889</v>
      </c>
      <c r="K118" s="238">
        <f t="shared" si="11"/>
        <v>129866.33775282539</v>
      </c>
      <c r="L118" s="345">
        <f t="shared" si="12"/>
        <v>129866.33775282539</v>
      </c>
      <c r="M118" s="131"/>
      <c r="N118" s="132"/>
      <c r="O118" s="129"/>
      <c r="P118" s="129"/>
      <c r="Q118" s="133"/>
    </row>
    <row r="119" spans="1:17" s="128" customFormat="1" x14ac:dyDescent="0.25">
      <c r="A119" s="177">
        <f>Données!A119</f>
        <v>5604</v>
      </c>
      <c r="B119" s="356" t="str">
        <f>Données!B119</f>
        <v>Forel (Lavaux)</v>
      </c>
      <c r="C119" s="177">
        <f>Données!AR119</f>
        <v>0</v>
      </c>
      <c r="D119" s="357">
        <f>Données!Z119</f>
        <v>2110</v>
      </c>
      <c r="E119" s="130">
        <f>Données!X119</f>
        <v>69</v>
      </c>
      <c r="F119" s="31">
        <f>VPI!L119</f>
        <v>4786018.3599999994</v>
      </c>
      <c r="G119" s="8">
        <f t="shared" si="8"/>
        <v>138725.16985507245</v>
      </c>
      <c r="H119" s="26">
        <f t="shared" si="9"/>
        <v>186656.0067656555</v>
      </c>
      <c r="I119" s="8">
        <f t="shared" si="10"/>
        <v>138725.16985507245</v>
      </c>
      <c r="J119" s="8">
        <f>VPI!R119</f>
        <v>75806.642898550723</v>
      </c>
      <c r="K119" s="238">
        <f t="shared" si="11"/>
        <v>92906.030244460548</v>
      </c>
      <c r="L119" s="345">
        <f t="shared" si="12"/>
        <v>231631.20009953302</v>
      </c>
      <c r="M119" s="131"/>
      <c r="N119" s="132"/>
      <c r="O119" s="129"/>
      <c r="P119" s="129"/>
      <c r="Q119" s="133"/>
    </row>
    <row r="120" spans="1:17" s="128" customFormat="1" x14ac:dyDescent="0.25">
      <c r="A120" s="177">
        <f>Données!A120</f>
        <v>5606</v>
      </c>
      <c r="B120" s="356" t="str">
        <f>Données!B120</f>
        <v>Lutry</v>
      </c>
      <c r="C120" s="177">
        <f>Données!AR120</f>
        <v>1</v>
      </c>
      <c r="D120" s="357">
        <f>Données!Z120</f>
        <v>10704</v>
      </c>
      <c r="E120" s="130">
        <f>Données!X120</f>
        <v>54</v>
      </c>
      <c r="F120" s="31">
        <f>VPI!L120</f>
        <v>48432815.269999996</v>
      </c>
      <c r="G120" s="8">
        <f t="shared" si="8"/>
        <v>1793807.9729629627</v>
      </c>
      <c r="H120" s="26">
        <f t="shared" si="9"/>
        <v>946903.26844529691</v>
      </c>
      <c r="I120" s="8">
        <f t="shared" si="10"/>
        <v>0</v>
      </c>
      <c r="J120" s="8">
        <f>VPI!R120</f>
        <v>959386.53714285709</v>
      </c>
      <c r="K120" s="238">
        <f t="shared" si="11"/>
        <v>1175791.3452941813</v>
      </c>
      <c r="L120" s="345">
        <f t="shared" si="12"/>
        <v>1175791.3452941813</v>
      </c>
      <c r="M120" s="131"/>
      <c r="N120" s="132"/>
      <c r="O120" s="129"/>
      <c r="P120" s="129"/>
      <c r="Q120" s="133"/>
    </row>
    <row r="121" spans="1:17" s="128" customFormat="1" x14ac:dyDescent="0.25">
      <c r="A121" s="177">
        <f>Données!A121</f>
        <v>5607</v>
      </c>
      <c r="B121" s="356" t="str">
        <f>Données!B121</f>
        <v>Puidoux</v>
      </c>
      <c r="C121" s="177">
        <f>Données!AR121</f>
        <v>1</v>
      </c>
      <c r="D121" s="357">
        <f>Données!Z121</f>
        <v>2924</v>
      </c>
      <c r="E121" s="130">
        <f>Données!X121</f>
        <v>68.5</v>
      </c>
      <c r="F121" s="31">
        <f>VPI!L121</f>
        <v>6822981.0200000005</v>
      </c>
      <c r="G121" s="8">
        <f t="shared" si="8"/>
        <v>199211.12467153286</v>
      </c>
      <c r="H121" s="26">
        <f t="shared" si="9"/>
        <v>258664.53259847237</v>
      </c>
      <c r="I121" s="8">
        <f t="shared" si="10"/>
        <v>0</v>
      </c>
      <c r="J121" s="8">
        <f>VPI!R121</f>
        <v>111538.40092668995</v>
      </c>
      <c r="K121" s="238">
        <f t="shared" si="11"/>
        <v>136697.65146811341</v>
      </c>
      <c r="L121" s="345">
        <f t="shared" si="12"/>
        <v>136697.65146811341</v>
      </c>
      <c r="M121" s="131"/>
      <c r="N121" s="132"/>
      <c r="O121" s="129"/>
      <c r="P121" s="129"/>
      <c r="Q121" s="133"/>
    </row>
    <row r="122" spans="1:17" s="128" customFormat="1" x14ac:dyDescent="0.25">
      <c r="A122" s="177">
        <f>Données!A122</f>
        <v>5609</v>
      </c>
      <c r="B122" s="356" t="str">
        <f>Données!B122</f>
        <v>Rivaz</v>
      </c>
      <c r="C122" s="177">
        <f>Données!AR122</f>
        <v>1</v>
      </c>
      <c r="D122" s="357">
        <f>Données!Z122</f>
        <v>331</v>
      </c>
      <c r="E122" s="130">
        <f>Données!X122</f>
        <v>62</v>
      </c>
      <c r="F122" s="31">
        <f>VPI!L122</f>
        <v>860601.09000000008</v>
      </c>
      <c r="G122" s="8">
        <f t="shared" si="8"/>
        <v>27761.325483870969</v>
      </c>
      <c r="H122" s="26">
        <f t="shared" si="9"/>
        <v>29281.108170346906</v>
      </c>
      <c r="I122" s="8">
        <f t="shared" si="10"/>
        <v>0</v>
      </c>
      <c r="J122" s="8">
        <f>VPI!R122</f>
        <v>14895.889354838711</v>
      </c>
      <c r="K122" s="238">
        <f t="shared" si="11"/>
        <v>18255.892808376044</v>
      </c>
      <c r="L122" s="345">
        <f t="shared" si="12"/>
        <v>18255.892808376044</v>
      </c>
      <c r="M122" s="131"/>
      <c r="N122" s="132"/>
      <c r="O122" s="129"/>
      <c r="P122" s="129"/>
      <c r="Q122" s="133"/>
    </row>
    <row r="123" spans="1:17" s="128" customFormat="1" x14ac:dyDescent="0.25">
      <c r="A123" s="177">
        <f>Données!A123</f>
        <v>5610</v>
      </c>
      <c r="B123" s="356" t="str">
        <f>Données!B123</f>
        <v>St-Saphorin (Lavaux)</v>
      </c>
      <c r="C123" s="177">
        <f>Données!AR123</f>
        <v>1</v>
      </c>
      <c r="D123" s="357">
        <f>Données!Z123</f>
        <v>396</v>
      </c>
      <c r="E123" s="130">
        <f>Données!X123</f>
        <v>72</v>
      </c>
      <c r="F123" s="31">
        <f>VPI!L123</f>
        <v>1574470.15</v>
      </c>
      <c r="G123" s="8">
        <f t="shared" si="8"/>
        <v>43735.281944444439</v>
      </c>
      <c r="H123" s="26">
        <f t="shared" si="9"/>
        <v>35031.174729478473</v>
      </c>
      <c r="I123" s="8">
        <f t="shared" si="10"/>
        <v>0</v>
      </c>
      <c r="J123" s="8">
        <f>VPI!R123</f>
        <v>23447.805208333331</v>
      </c>
      <c r="K123" s="238">
        <f t="shared" si="11"/>
        <v>28736.828549009439</v>
      </c>
      <c r="L123" s="345">
        <f t="shared" si="12"/>
        <v>28736.828549009439</v>
      </c>
      <c r="M123" s="131"/>
      <c r="N123" s="132"/>
      <c r="O123" s="129"/>
      <c r="P123" s="129"/>
      <c r="Q123" s="133"/>
    </row>
    <row r="124" spans="1:17" s="128" customFormat="1" x14ac:dyDescent="0.25">
      <c r="A124" s="177">
        <f>Données!A124</f>
        <v>5611</v>
      </c>
      <c r="B124" s="356" t="str">
        <f>Données!B124</f>
        <v>Savigny</v>
      </c>
      <c r="C124" s="177">
        <f>Données!AR124</f>
        <v>1</v>
      </c>
      <c r="D124" s="357">
        <f>Données!Z124</f>
        <v>3370</v>
      </c>
      <c r="E124" s="130">
        <f>Données!X124</f>
        <v>69</v>
      </c>
      <c r="F124" s="31">
        <f>VPI!L124</f>
        <v>9036294.1499999966</v>
      </c>
      <c r="G124" s="8">
        <f t="shared" si="8"/>
        <v>261921.5695652173</v>
      </c>
      <c r="H124" s="26">
        <f t="shared" si="9"/>
        <v>298118.83545035974</v>
      </c>
      <c r="I124" s="8">
        <f t="shared" si="10"/>
        <v>0</v>
      </c>
      <c r="J124" s="8">
        <f>VPI!R124</f>
        <v>140961.75301932363</v>
      </c>
      <c r="K124" s="238">
        <f t="shared" si="11"/>
        <v>172757.90601691231</v>
      </c>
      <c r="L124" s="345">
        <f t="shared" si="12"/>
        <v>172757.90601691231</v>
      </c>
      <c r="M124" s="131"/>
      <c r="N124" s="132"/>
      <c r="O124" s="129"/>
      <c r="P124" s="129"/>
      <c r="Q124" s="133"/>
    </row>
    <row r="125" spans="1:17" s="128" customFormat="1" x14ac:dyDescent="0.25">
      <c r="A125" s="177">
        <f>Données!A125</f>
        <v>5613</v>
      </c>
      <c r="B125" s="356" t="str">
        <f>Données!B125</f>
        <v>Bourg-en-Lavaux</v>
      </c>
      <c r="C125" s="177">
        <f>Données!AR125</f>
        <v>1</v>
      </c>
      <c r="D125" s="357">
        <f>Données!Z125</f>
        <v>5367</v>
      </c>
      <c r="E125" s="130">
        <f>Données!X125</f>
        <v>62.5</v>
      </c>
      <c r="F125" s="31">
        <f>VPI!L125</f>
        <v>20794265.320000004</v>
      </c>
      <c r="G125" s="8">
        <f t="shared" si="8"/>
        <v>665416.49024000007</v>
      </c>
      <c r="H125" s="26">
        <f t="shared" si="9"/>
        <v>474778.57265937113</v>
      </c>
      <c r="I125" s="8">
        <f t="shared" si="10"/>
        <v>0</v>
      </c>
      <c r="J125" s="8">
        <f>VPI!R125</f>
        <v>357200.5696533334</v>
      </c>
      <c r="K125" s="238">
        <f t="shared" si="11"/>
        <v>437772.80801054416</v>
      </c>
      <c r="L125" s="345">
        <f t="shared" si="12"/>
        <v>437772.80801054416</v>
      </c>
      <c r="M125" s="131"/>
      <c r="N125" s="132"/>
      <c r="O125" s="129"/>
      <c r="P125" s="129"/>
      <c r="Q125" s="133"/>
    </row>
    <row r="126" spans="1:17" s="128" customFormat="1" x14ac:dyDescent="0.25">
      <c r="A126" s="177">
        <f>Données!A126</f>
        <v>5621</v>
      </c>
      <c r="B126" s="356" t="str">
        <f>Données!B126</f>
        <v>Aclens</v>
      </c>
      <c r="C126" s="177">
        <f>Données!AR126</f>
        <v>0</v>
      </c>
      <c r="D126" s="357">
        <f>Données!Z126</f>
        <v>517</v>
      </c>
      <c r="E126" s="130">
        <f>Données!X126</f>
        <v>62</v>
      </c>
      <c r="F126" s="31">
        <f>VPI!L126</f>
        <v>1699323.54</v>
      </c>
      <c r="G126" s="8">
        <f t="shared" si="8"/>
        <v>54816.888387096777</v>
      </c>
      <c r="H126" s="26">
        <f t="shared" si="9"/>
        <v>45735.144785708006</v>
      </c>
      <c r="I126" s="8">
        <f t="shared" si="10"/>
        <v>45735.144785708006</v>
      </c>
      <c r="J126" s="8">
        <f>VPI!R126</f>
        <v>32245.149105571847</v>
      </c>
      <c r="K126" s="238">
        <f t="shared" si="11"/>
        <v>39518.552510609479</v>
      </c>
      <c r="L126" s="345">
        <f t="shared" si="12"/>
        <v>85253.697296317492</v>
      </c>
      <c r="M126" s="131"/>
      <c r="N126" s="132"/>
      <c r="O126" s="129"/>
      <c r="P126" s="129"/>
      <c r="Q126" s="133"/>
    </row>
    <row r="127" spans="1:17" s="128" customFormat="1" x14ac:dyDescent="0.25">
      <c r="A127" s="177">
        <f>Données!A127</f>
        <v>5622</v>
      </c>
      <c r="B127" s="356" t="str">
        <f>Données!B127</f>
        <v>Bremblens</v>
      </c>
      <c r="C127" s="177">
        <f>Données!AR127</f>
        <v>0</v>
      </c>
      <c r="D127" s="357">
        <f>Données!Z127</f>
        <v>607</v>
      </c>
      <c r="E127" s="130">
        <f>Données!X127</f>
        <v>68</v>
      </c>
      <c r="F127" s="31">
        <f>VPI!L127</f>
        <v>1788907.0500000003</v>
      </c>
      <c r="G127" s="8">
        <f t="shared" si="8"/>
        <v>52614.913235294123</v>
      </c>
      <c r="H127" s="26">
        <f t="shared" si="9"/>
        <v>53696.77540604402</v>
      </c>
      <c r="I127" s="8">
        <f t="shared" si="10"/>
        <v>52614.913235294123</v>
      </c>
      <c r="J127" s="8">
        <f>VPI!R127</f>
        <v>28642.58897058824</v>
      </c>
      <c r="K127" s="238">
        <f t="shared" si="11"/>
        <v>35103.377955179145</v>
      </c>
      <c r="L127" s="345">
        <f t="shared" si="12"/>
        <v>87718.291190473275</v>
      </c>
      <c r="M127" s="131"/>
      <c r="N127" s="132"/>
      <c r="O127" s="129"/>
      <c r="P127" s="129"/>
      <c r="Q127" s="133"/>
    </row>
    <row r="128" spans="1:17" s="128" customFormat="1" x14ac:dyDescent="0.25">
      <c r="A128" s="177">
        <f>Données!A128</f>
        <v>5623</v>
      </c>
      <c r="B128" s="356" t="str">
        <f>Données!B128</f>
        <v>Buchillon</v>
      </c>
      <c r="C128" s="177">
        <f>Données!AR128</f>
        <v>1</v>
      </c>
      <c r="D128" s="357">
        <f>Données!Z128</f>
        <v>669</v>
      </c>
      <c r="E128" s="130">
        <f>Données!X128</f>
        <v>52</v>
      </c>
      <c r="F128" s="31">
        <f>VPI!L128</f>
        <v>4279715.95</v>
      </c>
      <c r="G128" s="8">
        <f t="shared" si="8"/>
        <v>164604.45961538464</v>
      </c>
      <c r="H128" s="26">
        <f t="shared" si="9"/>
        <v>59181.454277831057</v>
      </c>
      <c r="I128" s="8">
        <f t="shared" si="10"/>
        <v>0</v>
      </c>
      <c r="J128" s="8">
        <f>VPI!R128</f>
        <v>89223.972115384619</v>
      </c>
      <c r="K128" s="238">
        <f t="shared" si="11"/>
        <v>109349.85028919287</v>
      </c>
      <c r="L128" s="345">
        <f t="shared" si="12"/>
        <v>109349.85028919287</v>
      </c>
      <c r="M128" s="131"/>
      <c r="N128" s="132"/>
      <c r="O128" s="129"/>
      <c r="P128" s="129"/>
      <c r="Q128" s="133"/>
    </row>
    <row r="129" spans="1:17" s="128" customFormat="1" x14ac:dyDescent="0.25">
      <c r="A129" s="177">
        <f>Données!A129</f>
        <v>5624</v>
      </c>
      <c r="B129" s="356" t="str">
        <f>Données!B129</f>
        <v>Bussigny</v>
      </c>
      <c r="C129" s="177">
        <f>Données!AR129</f>
        <v>1</v>
      </c>
      <c r="D129" s="357">
        <f>Données!Z129</f>
        <v>10253</v>
      </c>
      <c r="E129" s="130">
        <f>Données!X129</f>
        <v>62.5</v>
      </c>
      <c r="F129" s="31">
        <f>VPI!L129</f>
        <v>24949347.129999999</v>
      </c>
      <c r="G129" s="8">
        <f t="shared" si="8"/>
        <v>798379.10815999995</v>
      </c>
      <c r="H129" s="26">
        <f t="shared" si="9"/>
        <v>907006.6527811687</v>
      </c>
      <c r="I129" s="8">
        <f t="shared" si="10"/>
        <v>0</v>
      </c>
      <c r="J129" s="8">
        <f>VPI!R129</f>
        <v>441652.56160000002</v>
      </c>
      <c r="K129" s="238">
        <f t="shared" si="11"/>
        <v>541274.28252514696</v>
      </c>
      <c r="L129" s="345">
        <f t="shared" si="12"/>
        <v>541274.28252514696</v>
      </c>
      <c r="M129" s="131"/>
      <c r="N129" s="132"/>
      <c r="O129" s="129"/>
      <c r="P129" s="129"/>
      <c r="Q129" s="133"/>
    </row>
    <row r="130" spans="1:17" s="128" customFormat="1" x14ac:dyDescent="0.25">
      <c r="A130" s="177">
        <f>Données!A130</f>
        <v>5627</v>
      </c>
      <c r="B130" s="356" t="str">
        <f>Données!B130</f>
        <v>Chavannes-près-Renens</v>
      </c>
      <c r="C130" s="177">
        <f>Données!AR130</f>
        <v>1</v>
      </c>
      <c r="D130" s="357">
        <f>Données!Z130</f>
        <v>8767</v>
      </c>
      <c r="E130" s="130">
        <f>Données!X130</f>
        <v>77.5</v>
      </c>
      <c r="F130" s="31">
        <f>VPI!L130</f>
        <v>13472159.199999999</v>
      </c>
      <c r="G130" s="8">
        <f t="shared" si="8"/>
        <v>347668.62451612903</v>
      </c>
      <c r="H130" s="26">
        <f t="shared" si="9"/>
        <v>775551.28498317616</v>
      </c>
      <c r="I130" s="8">
        <f t="shared" si="10"/>
        <v>0</v>
      </c>
      <c r="J130" s="8">
        <f>VPI!R130</f>
        <v>194013.68774193546</v>
      </c>
      <c r="K130" s="238">
        <f t="shared" si="11"/>
        <v>237776.54374318934</v>
      </c>
      <c r="L130" s="345">
        <f t="shared" si="12"/>
        <v>237776.54374318934</v>
      </c>
      <c r="M130" s="131"/>
      <c r="N130" s="132"/>
      <c r="O130" s="129"/>
      <c r="P130" s="129"/>
      <c r="Q130" s="133"/>
    </row>
    <row r="131" spans="1:17" s="128" customFormat="1" x14ac:dyDescent="0.25">
      <c r="A131" s="177">
        <f>Données!A131</f>
        <v>5628</v>
      </c>
      <c r="B131" s="356" t="str">
        <f>Données!B131</f>
        <v>Chigny</v>
      </c>
      <c r="C131" s="177">
        <f>Données!AR131</f>
        <v>0</v>
      </c>
      <c r="D131" s="357">
        <f>Données!Z131</f>
        <v>405</v>
      </c>
      <c r="E131" s="130">
        <f>Données!X131</f>
        <v>62</v>
      </c>
      <c r="F131" s="31">
        <f>VPI!L131</f>
        <v>1491833.8699999999</v>
      </c>
      <c r="G131" s="8">
        <f t="shared" si="8"/>
        <v>48123.673225806451</v>
      </c>
      <c r="H131" s="26">
        <f t="shared" si="9"/>
        <v>35827.337791512073</v>
      </c>
      <c r="I131" s="8">
        <f t="shared" si="10"/>
        <v>35827.337791512073</v>
      </c>
      <c r="J131" s="8">
        <f>VPI!R131</f>
        <v>25790.655967741935</v>
      </c>
      <c r="K131" s="238">
        <f t="shared" si="11"/>
        <v>31608.146354273103</v>
      </c>
      <c r="L131" s="345">
        <f t="shared" si="12"/>
        <v>67435.484145785173</v>
      </c>
      <c r="M131" s="131"/>
      <c r="N131" s="132"/>
      <c r="O131" s="129"/>
      <c r="P131" s="129"/>
      <c r="Q131" s="133"/>
    </row>
    <row r="132" spans="1:17" s="128" customFormat="1" x14ac:dyDescent="0.25">
      <c r="A132" s="177">
        <f>Données!A132</f>
        <v>5629</v>
      </c>
      <c r="B132" s="356" t="str">
        <f>Données!B132</f>
        <v>Clarmont</v>
      </c>
      <c r="C132" s="177">
        <f>Données!AR132</f>
        <v>0</v>
      </c>
      <c r="D132" s="357">
        <f>Données!Z132</f>
        <v>211</v>
      </c>
      <c r="E132" s="130">
        <f>Données!X132</f>
        <v>73.5</v>
      </c>
      <c r="F132" s="31">
        <f>VPI!L132</f>
        <v>693909.17</v>
      </c>
      <c r="G132" s="8">
        <f t="shared" si="8"/>
        <v>18881.882176870749</v>
      </c>
      <c r="H132" s="26">
        <f t="shared" si="9"/>
        <v>18665.600676565551</v>
      </c>
      <c r="I132" s="8">
        <f t="shared" si="10"/>
        <v>18665.600676565551</v>
      </c>
      <c r="J132" s="8">
        <f>VPI!R132</f>
        <v>9947.9383673469401</v>
      </c>
      <c r="K132" s="238">
        <f t="shared" si="11"/>
        <v>12191.853213492372</v>
      </c>
      <c r="L132" s="345">
        <f t="shared" si="12"/>
        <v>30857.453890057921</v>
      </c>
      <c r="M132" s="131"/>
      <c r="N132" s="132"/>
      <c r="O132" s="129"/>
      <c r="P132" s="129"/>
      <c r="Q132" s="133"/>
    </row>
    <row r="133" spans="1:17" s="128" customFormat="1" x14ac:dyDescent="0.25">
      <c r="A133" s="177">
        <f>Données!A133</f>
        <v>5631</v>
      </c>
      <c r="B133" s="356" t="str">
        <f>Données!B133</f>
        <v>Denens</v>
      </c>
      <c r="C133" s="177">
        <f>Données!AR133</f>
        <v>0</v>
      </c>
      <c r="D133" s="357">
        <f>Données!Z133</f>
        <v>733</v>
      </c>
      <c r="E133" s="130">
        <f>Données!X133</f>
        <v>68</v>
      </c>
      <c r="F133" s="31">
        <f>VPI!L133</f>
        <v>2728318.1899999995</v>
      </c>
      <c r="G133" s="8">
        <f t="shared" si="8"/>
        <v>80244.652647058814</v>
      </c>
      <c r="H133" s="26">
        <f t="shared" si="9"/>
        <v>64843.058274514449</v>
      </c>
      <c r="I133" s="8">
        <f t="shared" si="10"/>
        <v>64843.058274514449</v>
      </c>
      <c r="J133" s="8">
        <f>VPI!R133</f>
        <v>43289.846911764696</v>
      </c>
      <c r="K133" s="238">
        <f t="shared" si="11"/>
        <v>53054.556601917116</v>
      </c>
      <c r="L133" s="345">
        <f t="shared" si="12"/>
        <v>117897.61487643156</v>
      </c>
      <c r="M133" s="131"/>
      <c r="N133" s="132"/>
      <c r="O133" s="129"/>
      <c r="P133" s="129"/>
      <c r="Q133" s="133"/>
    </row>
    <row r="134" spans="1:17" s="128" customFormat="1" x14ac:dyDescent="0.25">
      <c r="A134" s="177">
        <f>Données!A134</f>
        <v>5632</v>
      </c>
      <c r="B134" s="356" t="str">
        <f>Données!B134</f>
        <v>Denges</v>
      </c>
      <c r="C134" s="177">
        <f>Données!AR134</f>
        <v>0</v>
      </c>
      <c r="D134" s="357">
        <f>Données!Z134</f>
        <v>1744</v>
      </c>
      <c r="E134" s="130">
        <f>Données!X134</f>
        <v>62</v>
      </c>
      <c r="F134" s="31">
        <f>VPI!L134</f>
        <v>4569372.26</v>
      </c>
      <c r="G134" s="8">
        <f t="shared" si="8"/>
        <v>147399.10516129032</v>
      </c>
      <c r="H134" s="26">
        <f t="shared" si="9"/>
        <v>154278.70890962236</v>
      </c>
      <c r="I134" s="8">
        <f t="shared" si="10"/>
        <v>147399.10516129032</v>
      </c>
      <c r="J134" s="8">
        <f>VPI!R134</f>
        <v>80504.673548387087</v>
      </c>
      <c r="K134" s="238">
        <f t="shared" si="11"/>
        <v>98663.776016519318</v>
      </c>
      <c r="L134" s="345">
        <f t="shared" si="12"/>
        <v>246062.88117780964</v>
      </c>
      <c r="M134" s="131"/>
      <c r="N134" s="132"/>
      <c r="O134" s="129"/>
      <c r="P134" s="129"/>
      <c r="Q134" s="133"/>
    </row>
    <row r="135" spans="1:17" s="128" customFormat="1" x14ac:dyDescent="0.25">
      <c r="A135" s="177">
        <f>Données!A135</f>
        <v>5633</v>
      </c>
      <c r="B135" s="356" t="str">
        <f>Données!B135</f>
        <v>Echandens</v>
      </c>
      <c r="C135" s="177">
        <f>Données!AR135</f>
        <v>0</v>
      </c>
      <c r="D135" s="357">
        <f>Données!Z135</f>
        <v>2775</v>
      </c>
      <c r="E135" s="130">
        <f>Données!X135</f>
        <v>60.5</v>
      </c>
      <c r="F135" s="31">
        <f>VPI!L135</f>
        <v>9505981.2000000011</v>
      </c>
      <c r="G135" s="8">
        <f t="shared" ref="G135:G198" si="13">F135/E135*2</f>
        <v>314247.31239669427</v>
      </c>
      <c r="H135" s="26">
        <f t="shared" ref="H135:H198" si="14">+$G$306/$D$306*D135</f>
        <v>245483.61079369384</v>
      </c>
      <c r="I135" s="8">
        <f t="shared" ref="I135:I198" si="15">IF(C135=1,0,IF(H135&gt;G135,G135,H135))</f>
        <v>245483.61079369384</v>
      </c>
      <c r="J135" s="8">
        <f>VPI!R135</f>
        <v>168819.8966942149</v>
      </c>
      <c r="K135" s="238">
        <f t="shared" ref="K135:K198" si="16">+$K$5*J135</f>
        <v>206899.89463231183</v>
      </c>
      <c r="L135" s="345">
        <f t="shared" ref="L135:L198" si="17">+K135+I135</f>
        <v>452383.50542600569</v>
      </c>
      <c r="M135" s="131"/>
      <c r="N135" s="132"/>
      <c r="O135" s="129"/>
      <c r="P135" s="129"/>
      <c r="Q135" s="133"/>
    </row>
    <row r="136" spans="1:17" s="128" customFormat="1" x14ac:dyDescent="0.25">
      <c r="A136" s="177">
        <f>Données!A136</f>
        <v>5634</v>
      </c>
      <c r="B136" s="356" t="str">
        <f>Données!B136</f>
        <v>Echichens</v>
      </c>
      <c r="C136" s="177">
        <f>Données!AR136</f>
        <v>0</v>
      </c>
      <c r="D136" s="357">
        <f>Données!Z136</f>
        <v>3142</v>
      </c>
      <c r="E136" s="130">
        <f>Données!X136</f>
        <v>66</v>
      </c>
      <c r="F136" s="31">
        <f>VPI!L136</f>
        <v>9308751.3399999999</v>
      </c>
      <c r="G136" s="8">
        <f t="shared" si="13"/>
        <v>282083.37393939396</v>
      </c>
      <c r="H136" s="26">
        <f t="shared" si="14"/>
        <v>277949.37121217517</v>
      </c>
      <c r="I136" s="8">
        <f t="shared" si="15"/>
        <v>277949.37121217517</v>
      </c>
      <c r="J136" s="8">
        <f>VPI!R136</f>
        <v>152560.86727272728</v>
      </c>
      <c r="K136" s="238">
        <f t="shared" si="16"/>
        <v>186973.38395435142</v>
      </c>
      <c r="L136" s="345">
        <f t="shared" si="17"/>
        <v>464922.75516652659</v>
      </c>
      <c r="M136" s="131"/>
      <c r="N136" s="132"/>
      <c r="O136" s="129"/>
      <c r="P136" s="129"/>
      <c r="Q136" s="133"/>
    </row>
    <row r="137" spans="1:17" s="128" customFormat="1" x14ac:dyDescent="0.25">
      <c r="A137" s="177">
        <f>Données!A137</f>
        <v>5635</v>
      </c>
      <c r="B137" s="356" t="str">
        <f>Données!B137</f>
        <v>Ecublens</v>
      </c>
      <c r="C137" s="177">
        <f>Données!AR137</f>
        <v>1</v>
      </c>
      <c r="D137" s="357">
        <f>Données!Z137</f>
        <v>13214</v>
      </c>
      <c r="E137" s="130">
        <f>Données!X137</f>
        <v>62.5</v>
      </c>
      <c r="F137" s="31">
        <f>VPI!L137</f>
        <v>37948562.829999998</v>
      </c>
      <c r="G137" s="8">
        <f t="shared" si="13"/>
        <v>1214354.0105599998</v>
      </c>
      <c r="H137" s="26">
        <f t="shared" si="14"/>
        <v>1168944.3001902236</v>
      </c>
      <c r="I137" s="8">
        <f t="shared" si="15"/>
        <v>0</v>
      </c>
      <c r="J137" s="8">
        <f>VPI!R137</f>
        <v>655936.21421333333</v>
      </c>
      <c r="K137" s="238">
        <f t="shared" si="16"/>
        <v>803893.00232824264</v>
      </c>
      <c r="L137" s="345">
        <f t="shared" si="17"/>
        <v>803893.00232824264</v>
      </c>
      <c r="M137" s="131"/>
      <c r="N137" s="132"/>
      <c r="O137" s="129"/>
      <c r="P137" s="129"/>
      <c r="Q137" s="133"/>
    </row>
    <row r="138" spans="1:17" s="128" customFormat="1" x14ac:dyDescent="0.25">
      <c r="A138" s="177">
        <f>Données!A138</f>
        <v>5636</v>
      </c>
      <c r="B138" s="356" t="str">
        <f>Données!B138</f>
        <v>Etoy</v>
      </c>
      <c r="C138" s="177">
        <f>Données!AR138</f>
        <v>0</v>
      </c>
      <c r="D138" s="357">
        <f>Données!Z138</f>
        <v>2918</v>
      </c>
      <c r="E138" s="130">
        <f>Données!X138</f>
        <v>60</v>
      </c>
      <c r="F138" s="31">
        <f>VPI!L138</f>
        <v>9769572.4900000002</v>
      </c>
      <c r="G138" s="8">
        <f t="shared" si="13"/>
        <v>325652.41633333336</v>
      </c>
      <c r="H138" s="26">
        <f t="shared" si="14"/>
        <v>258133.75722378329</v>
      </c>
      <c r="I138" s="8">
        <f t="shared" si="15"/>
        <v>258133.75722378329</v>
      </c>
      <c r="J138" s="8">
        <f>VPI!R138</f>
        <v>186941.23816666668</v>
      </c>
      <c r="K138" s="238">
        <f t="shared" si="16"/>
        <v>229108.79130068002</v>
      </c>
      <c r="L138" s="345">
        <f t="shared" si="17"/>
        <v>487242.54852446332</v>
      </c>
      <c r="M138" s="131"/>
      <c r="N138" s="132"/>
      <c r="O138" s="129"/>
      <c r="P138" s="129"/>
      <c r="Q138" s="133"/>
    </row>
    <row r="139" spans="1:17" s="128" customFormat="1" x14ac:dyDescent="0.25">
      <c r="A139" s="177">
        <f>Données!A139</f>
        <v>5637</v>
      </c>
      <c r="B139" s="356" t="str">
        <f>Données!B139</f>
        <v>Lavigny</v>
      </c>
      <c r="C139" s="177">
        <f>Données!AR139</f>
        <v>0</v>
      </c>
      <c r="D139" s="357">
        <f>Données!Z139</f>
        <v>1026</v>
      </c>
      <c r="E139" s="130">
        <f>Données!X139</f>
        <v>73</v>
      </c>
      <c r="F139" s="31">
        <f>VPI!L139</f>
        <v>2561761.91</v>
      </c>
      <c r="G139" s="8">
        <f t="shared" si="13"/>
        <v>70185.257808219176</v>
      </c>
      <c r="H139" s="26">
        <f t="shared" si="14"/>
        <v>90762.589071830589</v>
      </c>
      <c r="I139" s="8">
        <f t="shared" si="15"/>
        <v>70185.257808219176</v>
      </c>
      <c r="J139" s="8">
        <f>VPI!R139</f>
        <v>37899.400821917814</v>
      </c>
      <c r="K139" s="238">
        <f t="shared" si="16"/>
        <v>46448.210135359332</v>
      </c>
      <c r="L139" s="345">
        <f t="shared" si="17"/>
        <v>116633.46794357851</v>
      </c>
      <c r="M139" s="131"/>
      <c r="N139" s="132"/>
      <c r="O139" s="129"/>
      <c r="P139" s="129"/>
      <c r="Q139" s="133"/>
    </row>
    <row r="140" spans="1:17" s="128" customFormat="1" x14ac:dyDescent="0.25">
      <c r="A140" s="177">
        <f>Données!A140</f>
        <v>5638</v>
      </c>
      <c r="B140" s="356" t="str">
        <f>Données!B140</f>
        <v>Lonay</v>
      </c>
      <c r="C140" s="177">
        <f>Données!AR140</f>
        <v>0</v>
      </c>
      <c r="D140" s="357">
        <f>Données!Z140</f>
        <v>2751</v>
      </c>
      <c r="E140" s="130">
        <f>Données!X140</f>
        <v>55</v>
      </c>
      <c r="F140" s="31">
        <f>VPI!L140</f>
        <v>8835405.75</v>
      </c>
      <c r="G140" s="8">
        <f t="shared" si="13"/>
        <v>321287.48181818181</v>
      </c>
      <c r="H140" s="26">
        <f t="shared" si="14"/>
        <v>243360.50929493757</v>
      </c>
      <c r="I140" s="8">
        <f t="shared" si="15"/>
        <v>243360.50929493757</v>
      </c>
      <c r="J140" s="8">
        <f>VPI!R140</f>
        <v>174116.12454545454</v>
      </c>
      <c r="K140" s="238">
        <f t="shared" si="16"/>
        <v>213390.77044628659</v>
      </c>
      <c r="L140" s="345">
        <f t="shared" si="17"/>
        <v>456751.27974122413</v>
      </c>
      <c r="M140" s="131"/>
      <c r="N140" s="132"/>
      <c r="O140" s="129"/>
      <c r="P140" s="129"/>
      <c r="Q140" s="133"/>
    </row>
    <row r="141" spans="1:17" s="128" customFormat="1" x14ac:dyDescent="0.25">
      <c r="A141" s="177">
        <f>Données!A141</f>
        <v>5639</v>
      </c>
      <c r="B141" s="356" t="str">
        <f>Données!B141</f>
        <v>Lully</v>
      </c>
      <c r="C141" s="177">
        <f>Données!AR141</f>
        <v>0</v>
      </c>
      <c r="D141" s="357">
        <f>Données!Z141</f>
        <v>828</v>
      </c>
      <c r="E141" s="130">
        <f>Données!X141</f>
        <v>61</v>
      </c>
      <c r="F141" s="31">
        <f>VPI!L141</f>
        <v>3069073.5300000003</v>
      </c>
      <c r="G141" s="8">
        <f t="shared" si="13"/>
        <v>100625.36163934426</v>
      </c>
      <c r="H141" s="26">
        <f t="shared" si="14"/>
        <v>73247.00170709136</v>
      </c>
      <c r="I141" s="8">
        <f t="shared" si="15"/>
        <v>73247.00170709136</v>
      </c>
      <c r="J141" s="8">
        <f>VPI!R141</f>
        <v>53706.334426229514</v>
      </c>
      <c r="K141" s="238">
        <f t="shared" si="16"/>
        <v>65820.647633741653</v>
      </c>
      <c r="L141" s="345">
        <f t="shared" si="17"/>
        <v>139067.64934083301</v>
      </c>
      <c r="M141" s="131"/>
      <c r="N141" s="132"/>
      <c r="O141" s="129"/>
      <c r="P141" s="129"/>
      <c r="Q141" s="133"/>
    </row>
    <row r="142" spans="1:17" s="128" customFormat="1" x14ac:dyDescent="0.25">
      <c r="A142" s="177">
        <f>Données!A142</f>
        <v>5640</v>
      </c>
      <c r="B142" s="356" t="str">
        <f>Données!B142</f>
        <v>Lussy-sur-Morges</v>
      </c>
      <c r="C142" s="177">
        <f>Données!AR142</f>
        <v>1</v>
      </c>
      <c r="D142" s="357">
        <f>Données!Z142</f>
        <v>740</v>
      </c>
      <c r="E142" s="130">
        <f>Données!X142</f>
        <v>64.5</v>
      </c>
      <c r="F142" s="31">
        <f>VPI!L142</f>
        <v>4322781.3500000006</v>
      </c>
      <c r="G142" s="8">
        <f t="shared" si="13"/>
        <v>134039.73178294575</v>
      </c>
      <c r="H142" s="26">
        <f t="shared" si="14"/>
        <v>65462.296211651694</v>
      </c>
      <c r="I142" s="8">
        <f t="shared" si="15"/>
        <v>0</v>
      </c>
      <c r="J142" s="8">
        <f>VPI!R142</f>
        <v>70525.081395348854</v>
      </c>
      <c r="K142" s="238">
        <f t="shared" si="16"/>
        <v>86433.129005302355</v>
      </c>
      <c r="L142" s="345">
        <f t="shared" si="17"/>
        <v>86433.129005302355</v>
      </c>
      <c r="M142" s="131"/>
      <c r="N142" s="132"/>
      <c r="O142" s="129"/>
      <c r="P142" s="129"/>
      <c r="Q142" s="133"/>
    </row>
    <row r="143" spans="1:17" s="128" customFormat="1" x14ac:dyDescent="0.25">
      <c r="A143" s="177">
        <f>Données!A143</f>
        <v>5642</v>
      </c>
      <c r="B143" s="356" t="str">
        <f>Données!B143</f>
        <v>Morges</v>
      </c>
      <c r="C143" s="177">
        <f>Données!AR143</f>
        <v>1</v>
      </c>
      <c r="D143" s="357">
        <f>Données!Z143</f>
        <v>16885</v>
      </c>
      <c r="E143" s="130">
        <f>Données!X143</f>
        <v>67</v>
      </c>
      <c r="F143" s="31">
        <f>VPI!L143</f>
        <v>52247407.5</v>
      </c>
      <c r="G143" s="8">
        <f t="shared" si="13"/>
        <v>1559624.1044776118</v>
      </c>
      <c r="H143" s="26">
        <f t="shared" si="14"/>
        <v>1493690.3669374848</v>
      </c>
      <c r="I143" s="8">
        <f t="shared" si="15"/>
        <v>0</v>
      </c>
      <c r="J143" s="8">
        <f>VPI!R143</f>
        <v>838094.10597014928</v>
      </c>
      <c r="K143" s="238">
        <f t="shared" si="16"/>
        <v>1027139.4877777316</v>
      </c>
      <c r="L143" s="345">
        <f t="shared" si="17"/>
        <v>1027139.4877777316</v>
      </c>
      <c r="M143" s="131"/>
      <c r="N143" s="132"/>
      <c r="O143" s="129"/>
      <c r="P143" s="129"/>
      <c r="Q143" s="133"/>
    </row>
    <row r="144" spans="1:17" s="128" customFormat="1" x14ac:dyDescent="0.25">
      <c r="A144" s="177">
        <f>Données!A144</f>
        <v>5643</v>
      </c>
      <c r="B144" s="356" t="str">
        <f>Données!B144</f>
        <v>Préverenges</v>
      </c>
      <c r="C144" s="177">
        <f>Données!AR144</f>
        <v>1</v>
      </c>
      <c r="D144" s="357">
        <f>Données!Z144</f>
        <v>5208</v>
      </c>
      <c r="E144" s="130">
        <f>Données!X144</f>
        <v>62.5</v>
      </c>
      <c r="F144" s="31">
        <f>VPI!L144</f>
        <v>14838261.77</v>
      </c>
      <c r="G144" s="8">
        <f t="shared" si="13"/>
        <v>474824.37663999997</v>
      </c>
      <c r="H144" s="26">
        <f t="shared" si="14"/>
        <v>460713.02523011086</v>
      </c>
      <c r="I144" s="8">
        <f t="shared" si="15"/>
        <v>0</v>
      </c>
      <c r="J144" s="8">
        <f>VPI!R144</f>
        <v>257720.44144</v>
      </c>
      <c r="K144" s="238">
        <f t="shared" si="16"/>
        <v>315853.36339301366</v>
      </c>
      <c r="L144" s="345">
        <f t="shared" si="17"/>
        <v>315853.36339301366</v>
      </c>
      <c r="M144" s="131"/>
      <c r="N144" s="132"/>
      <c r="O144" s="129"/>
      <c r="P144" s="129"/>
      <c r="Q144" s="133"/>
    </row>
    <row r="145" spans="1:17" s="128" customFormat="1" x14ac:dyDescent="0.25">
      <c r="A145" s="177">
        <f>Données!A145</f>
        <v>5645</v>
      </c>
      <c r="B145" s="356" t="str">
        <f>Données!B145</f>
        <v>Romanel-sur-Morges</v>
      </c>
      <c r="C145" s="177">
        <f>Données!AR145</f>
        <v>0</v>
      </c>
      <c r="D145" s="357">
        <f>Données!Z145</f>
        <v>466</v>
      </c>
      <c r="E145" s="130">
        <f>Données!X145</f>
        <v>56</v>
      </c>
      <c r="F145" s="31">
        <f>VPI!L145</f>
        <v>1304164.27</v>
      </c>
      <c r="G145" s="8">
        <f t="shared" si="13"/>
        <v>46577.295357142859</v>
      </c>
      <c r="H145" s="26">
        <f t="shared" si="14"/>
        <v>41223.554100850932</v>
      </c>
      <c r="I145" s="8">
        <f t="shared" si="15"/>
        <v>41223.554100850932</v>
      </c>
      <c r="J145" s="8">
        <f>VPI!R145</f>
        <v>26576.594107142857</v>
      </c>
      <c r="K145" s="238">
        <f t="shared" si="16"/>
        <v>32571.365272266543</v>
      </c>
      <c r="L145" s="345">
        <f t="shared" si="17"/>
        <v>73794.919373117475</v>
      </c>
      <c r="M145" s="131"/>
      <c r="N145" s="132"/>
      <c r="O145" s="129"/>
      <c r="P145" s="129"/>
      <c r="Q145" s="133"/>
    </row>
    <row r="146" spans="1:17" s="128" customFormat="1" x14ac:dyDescent="0.25">
      <c r="A146" s="177">
        <f>Données!A146</f>
        <v>5646</v>
      </c>
      <c r="B146" s="356" t="str">
        <f>Données!B146</f>
        <v>Saint-Prex</v>
      </c>
      <c r="C146" s="177">
        <f>Données!AR146</f>
        <v>1</v>
      </c>
      <c r="D146" s="357">
        <f>Données!Z146</f>
        <v>5866</v>
      </c>
      <c r="E146" s="130">
        <f>Données!X146</f>
        <v>59</v>
      </c>
      <c r="F146" s="31">
        <f>VPI!L146</f>
        <v>29272265.800000001</v>
      </c>
      <c r="G146" s="8">
        <f t="shared" si="13"/>
        <v>992280.19661016949</v>
      </c>
      <c r="H146" s="26">
        <f t="shared" si="14"/>
        <v>518921.39132101194</v>
      </c>
      <c r="I146" s="8">
        <f t="shared" si="15"/>
        <v>0</v>
      </c>
      <c r="J146" s="8">
        <f>VPI!R146</f>
        <v>527362.62542372884</v>
      </c>
      <c r="K146" s="238">
        <f t="shared" si="16"/>
        <v>646317.60692771373</v>
      </c>
      <c r="L146" s="345">
        <f t="shared" si="17"/>
        <v>646317.60692771373</v>
      </c>
      <c r="M146" s="131"/>
      <c r="N146" s="132"/>
      <c r="O146" s="129"/>
      <c r="P146" s="129"/>
      <c r="Q146" s="133"/>
    </row>
    <row r="147" spans="1:17" s="128" customFormat="1" x14ac:dyDescent="0.25">
      <c r="A147" s="177">
        <f>Données!A147</f>
        <v>5648</v>
      </c>
      <c r="B147" s="356" t="str">
        <f>Données!B147</f>
        <v>Saint-Sulpice</v>
      </c>
      <c r="C147" s="177">
        <f>Données!AR147</f>
        <v>1</v>
      </c>
      <c r="D147" s="357">
        <f>Données!Z147</f>
        <v>4932</v>
      </c>
      <c r="E147" s="130">
        <f>Données!X147</f>
        <v>55</v>
      </c>
      <c r="F147" s="31">
        <f>VPI!L147</f>
        <v>19747864.199999996</v>
      </c>
      <c r="G147" s="8">
        <f t="shared" si="13"/>
        <v>718104.15272727259</v>
      </c>
      <c r="H147" s="26">
        <f t="shared" si="14"/>
        <v>436297.3579944137</v>
      </c>
      <c r="I147" s="8">
        <f t="shared" si="15"/>
        <v>0</v>
      </c>
      <c r="J147" s="8">
        <f>VPI!R147</f>
        <v>394357.66704545449</v>
      </c>
      <c r="K147" s="238">
        <f t="shared" si="16"/>
        <v>483311.27643643942</v>
      </c>
      <c r="L147" s="345">
        <f t="shared" si="17"/>
        <v>483311.27643643942</v>
      </c>
      <c r="M147" s="131"/>
      <c r="N147" s="132"/>
      <c r="O147" s="129"/>
      <c r="P147" s="129"/>
      <c r="Q147" s="133"/>
    </row>
    <row r="148" spans="1:17" s="128" customFormat="1" x14ac:dyDescent="0.25">
      <c r="A148" s="177">
        <f>Données!A148</f>
        <v>5649</v>
      </c>
      <c r="B148" s="356" t="str">
        <f>Données!B148</f>
        <v>Tolochenaz</v>
      </c>
      <c r="C148" s="177">
        <f>Données!AR148</f>
        <v>1</v>
      </c>
      <c r="D148" s="357">
        <f>Données!Z148</f>
        <v>1886</v>
      </c>
      <c r="E148" s="130">
        <f>Données!X148</f>
        <v>64</v>
      </c>
      <c r="F148" s="31">
        <f>VPI!L148</f>
        <v>9330525.4699999988</v>
      </c>
      <c r="G148" s="8">
        <f t="shared" si="13"/>
        <v>291578.92093749996</v>
      </c>
      <c r="H148" s="26">
        <f t="shared" si="14"/>
        <v>166840.39277726362</v>
      </c>
      <c r="I148" s="8">
        <f t="shared" si="15"/>
        <v>0</v>
      </c>
      <c r="J148" s="8">
        <f>VPI!R148</f>
        <v>155562.29718749996</v>
      </c>
      <c r="K148" s="238">
        <f t="shared" si="16"/>
        <v>190651.83386027423</v>
      </c>
      <c r="L148" s="345">
        <f t="shared" si="17"/>
        <v>190651.83386027423</v>
      </c>
      <c r="M148" s="131"/>
      <c r="N148" s="132"/>
      <c r="O148" s="129"/>
      <c r="P148" s="129"/>
      <c r="Q148" s="133"/>
    </row>
    <row r="149" spans="1:17" s="128" customFormat="1" x14ac:dyDescent="0.25">
      <c r="A149" s="177">
        <f>Données!A149</f>
        <v>5650</v>
      </c>
      <c r="B149" s="356" t="str">
        <f>Données!B149</f>
        <v>Vaux-sur-Morges</v>
      </c>
      <c r="C149" s="177">
        <f>Données!AR149</f>
        <v>0</v>
      </c>
      <c r="D149" s="357">
        <f>Données!Z149</f>
        <v>196</v>
      </c>
      <c r="E149" s="130">
        <f>Données!X149</f>
        <v>56</v>
      </c>
      <c r="F149" s="31">
        <f>VPI!L149</f>
        <v>4609159.7699999996</v>
      </c>
      <c r="G149" s="8">
        <f t="shared" si="13"/>
        <v>164612.84892857142</v>
      </c>
      <c r="H149" s="26">
        <f t="shared" si="14"/>
        <v>17338.662239842881</v>
      </c>
      <c r="I149" s="8">
        <f t="shared" si="15"/>
        <v>17338.662239842881</v>
      </c>
      <c r="J149" s="8">
        <f>VPI!R149</f>
        <v>83125.210178571419</v>
      </c>
      <c r="K149" s="238">
        <f t="shared" si="16"/>
        <v>101875.4161328933</v>
      </c>
      <c r="L149" s="345">
        <f t="shared" si="17"/>
        <v>119214.07837273617</v>
      </c>
      <c r="M149" s="131"/>
      <c r="N149" s="132"/>
      <c r="O149" s="129"/>
      <c r="P149" s="129"/>
      <c r="Q149" s="133"/>
    </row>
    <row r="150" spans="1:17" s="128" customFormat="1" x14ac:dyDescent="0.25">
      <c r="A150" s="177">
        <f>Données!A150</f>
        <v>5651</v>
      </c>
      <c r="B150" s="356" t="str">
        <f>Données!B150</f>
        <v>Villars-Sainte-Croix</v>
      </c>
      <c r="C150" s="177">
        <f>Données!AR150</f>
        <v>1</v>
      </c>
      <c r="D150" s="357">
        <f>Données!Z150</f>
        <v>958</v>
      </c>
      <c r="E150" s="130">
        <f>Données!X150</f>
        <v>60.5</v>
      </c>
      <c r="F150" s="31">
        <f>VPI!L150</f>
        <v>3065357.73</v>
      </c>
      <c r="G150" s="8">
        <f t="shared" si="13"/>
        <v>101334.13983471075</v>
      </c>
      <c r="H150" s="26">
        <f t="shared" si="14"/>
        <v>84747.134825354486</v>
      </c>
      <c r="I150" s="8">
        <f t="shared" si="15"/>
        <v>0</v>
      </c>
      <c r="J150" s="8">
        <f>VPI!R150</f>
        <v>57448.170743801653</v>
      </c>
      <c r="K150" s="238">
        <f t="shared" si="16"/>
        <v>70406.51431768664</v>
      </c>
      <c r="L150" s="345">
        <f t="shared" si="17"/>
        <v>70406.51431768664</v>
      </c>
      <c r="M150" s="131"/>
      <c r="N150" s="132"/>
      <c r="O150" s="129"/>
      <c r="P150" s="129"/>
      <c r="Q150" s="133"/>
    </row>
    <row r="151" spans="1:17" s="128" customFormat="1" x14ac:dyDescent="0.25">
      <c r="A151" s="177">
        <f>Données!A151</f>
        <v>5652</v>
      </c>
      <c r="B151" s="356" t="str">
        <f>Données!B151</f>
        <v>Villars-sous-Yens</v>
      </c>
      <c r="C151" s="177">
        <f>Données!AR151</f>
        <v>0</v>
      </c>
      <c r="D151" s="357">
        <f>Données!Z151</f>
        <v>626</v>
      </c>
      <c r="E151" s="130">
        <f>Données!X151</f>
        <v>76</v>
      </c>
      <c r="F151" s="31">
        <f>VPI!L151</f>
        <v>1851407.4799999997</v>
      </c>
      <c r="G151" s="8">
        <f t="shared" si="13"/>
        <v>48721.249473684205</v>
      </c>
      <c r="H151" s="26">
        <f t="shared" si="14"/>
        <v>55377.564092559405</v>
      </c>
      <c r="I151" s="8">
        <f t="shared" si="15"/>
        <v>48721.249473684205</v>
      </c>
      <c r="J151" s="8">
        <f>VPI!R151</f>
        <v>25907.601491228066</v>
      </c>
      <c r="K151" s="238">
        <f t="shared" si="16"/>
        <v>31751.470790318857</v>
      </c>
      <c r="L151" s="345">
        <f t="shared" si="17"/>
        <v>80472.720264003059</v>
      </c>
      <c r="M151" s="131"/>
      <c r="N151" s="132"/>
      <c r="O151" s="129"/>
      <c r="P151" s="129"/>
      <c r="Q151" s="133"/>
    </row>
    <row r="152" spans="1:17" s="128" customFormat="1" x14ac:dyDescent="0.25">
      <c r="A152" s="177">
        <f>Données!A152</f>
        <v>5653</v>
      </c>
      <c r="B152" s="356" t="str">
        <f>Données!B152</f>
        <v>Vufflens-le-Château</v>
      </c>
      <c r="C152" s="177">
        <f>Données!AR152</f>
        <v>0</v>
      </c>
      <c r="D152" s="357">
        <f>Données!Z152</f>
        <v>894</v>
      </c>
      <c r="E152" s="130">
        <f>Données!X152</f>
        <v>58.5</v>
      </c>
      <c r="F152" s="31">
        <f>VPI!L152</f>
        <v>3690617.3699999996</v>
      </c>
      <c r="G152" s="8">
        <f t="shared" si="13"/>
        <v>126174.95282051282</v>
      </c>
      <c r="H152" s="26">
        <f t="shared" si="14"/>
        <v>79085.530828671093</v>
      </c>
      <c r="I152" s="8">
        <f t="shared" si="15"/>
        <v>79085.530828671093</v>
      </c>
      <c r="J152" s="8">
        <f>VPI!R152</f>
        <v>67686.262735042736</v>
      </c>
      <c r="K152" s="238">
        <f t="shared" si="16"/>
        <v>82953.969894327107</v>
      </c>
      <c r="L152" s="345">
        <f t="shared" si="17"/>
        <v>162039.5007229982</v>
      </c>
      <c r="M152" s="131"/>
      <c r="N152" s="132"/>
      <c r="O152" s="129"/>
      <c r="P152" s="129"/>
      <c r="Q152" s="133"/>
    </row>
    <row r="153" spans="1:17" s="128" customFormat="1" x14ac:dyDescent="0.25">
      <c r="A153" s="177">
        <f>Données!A153</f>
        <v>5654</v>
      </c>
      <c r="B153" s="356" t="str">
        <f>Données!B153</f>
        <v>Vullierens</v>
      </c>
      <c r="C153" s="177">
        <f>Données!AR153</f>
        <v>0</v>
      </c>
      <c r="D153" s="357">
        <f>Données!Z153</f>
        <v>560</v>
      </c>
      <c r="E153" s="130">
        <f>Données!X153</f>
        <v>76</v>
      </c>
      <c r="F153" s="31">
        <f>VPI!L153</f>
        <v>1456502.99</v>
      </c>
      <c r="G153" s="8">
        <f t="shared" si="13"/>
        <v>38329.026052631576</v>
      </c>
      <c r="H153" s="26">
        <f t="shared" si="14"/>
        <v>49539.034970979657</v>
      </c>
      <c r="I153" s="8">
        <f t="shared" si="15"/>
        <v>38329.026052631576</v>
      </c>
      <c r="J153" s="8">
        <f>VPI!R153</f>
        <v>20663.918947368424</v>
      </c>
      <c r="K153" s="238">
        <f t="shared" si="16"/>
        <v>25324.992708917267</v>
      </c>
      <c r="L153" s="345">
        <f t="shared" si="17"/>
        <v>63654.018761548839</v>
      </c>
      <c r="M153" s="131"/>
      <c r="N153" s="132"/>
      <c r="O153" s="129"/>
      <c r="P153" s="129"/>
      <c r="Q153" s="133"/>
    </row>
    <row r="154" spans="1:17" s="128" customFormat="1" x14ac:dyDescent="0.25">
      <c r="A154" s="177">
        <f>Données!A154</f>
        <v>5655</v>
      </c>
      <c r="B154" s="356" t="str">
        <f>Données!B154</f>
        <v>Yens</v>
      </c>
      <c r="C154" s="177">
        <f>Données!AR154</f>
        <v>0</v>
      </c>
      <c r="D154" s="357">
        <f>Données!Z154</f>
        <v>1499</v>
      </c>
      <c r="E154" s="130">
        <f>Données!X154</f>
        <v>71.5</v>
      </c>
      <c r="F154" s="31">
        <f>VPI!L154</f>
        <v>4830200.99</v>
      </c>
      <c r="G154" s="8">
        <f t="shared" si="13"/>
        <v>135110.5172027972</v>
      </c>
      <c r="H154" s="26">
        <f t="shared" si="14"/>
        <v>132605.38110981876</v>
      </c>
      <c r="I154" s="8">
        <f t="shared" si="15"/>
        <v>132605.38110981876</v>
      </c>
      <c r="J154" s="8">
        <f>VPI!R154</f>
        <v>73733.325734265731</v>
      </c>
      <c r="K154" s="238">
        <f t="shared" si="16"/>
        <v>90365.0435999365</v>
      </c>
      <c r="L154" s="345">
        <f t="shared" si="17"/>
        <v>222970.42470975526</v>
      </c>
      <c r="M154" s="131"/>
      <c r="N154" s="132"/>
      <c r="O154" s="129"/>
      <c r="P154" s="129"/>
      <c r="Q154" s="133"/>
    </row>
    <row r="155" spans="1:17" s="128" customFormat="1" x14ac:dyDescent="0.25">
      <c r="A155" s="177">
        <f>Données!A155</f>
        <v>5656</v>
      </c>
      <c r="B155" s="356" t="str">
        <f>Données!B155</f>
        <v>Hautemorges</v>
      </c>
      <c r="C155" s="177">
        <f>Données!AR155</f>
        <v>0</v>
      </c>
      <c r="D155" s="357">
        <f>Données!Z155</f>
        <v>4173</v>
      </c>
      <c r="E155" s="130">
        <f>Données!X155</f>
        <v>73.459999999999994</v>
      </c>
      <c r="F155" s="31">
        <f>VPI!L155</f>
        <v>11779459.290000001</v>
      </c>
      <c r="G155" s="8">
        <f t="shared" si="13"/>
        <v>320704.0372992105</v>
      </c>
      <c r="H155" s="26">
        <f t="shared" si="14"/>
        <v>369154.27309624664</v>
      </c>
      <c r="I155" s="8">
        <f t="shared" si="15"/>
        <v>320704.0372992105</v>
      </c>
      <c r="J155" s="8">
        <f>VPI!R155</f>
        <v>172159.8076957982</v>
      </c>
      <c r="K155" s="238">
        <f t="shared" si="16"/>
        <v>210993.17538795964</v>
      </c>
      <c r="L155" s="345">
        <f t="shared" si="17"/>
        <v>531697.21268717013</v>
      </c>
      <c r="M155" s="131"/>
      <c r="N155" s="132"/>
      <c r="O155" s="129"/>
      <c r="P155" s="129"/>
      <c r="Q155" s="133"/>
    </row>
    <row r="156" spans="1:17" s="128" customFormat="1" x14ac:dyDescent="0.25">
      <c r="A156" s="177">
        <f>Données!A156</f>
        <v>5661</v>
      </c>
      <c r="B156" s="356" t="str">
        <f>Données!B156</f>
        <v>Boulens</v>
      </c>
      <c r="C156" s="177">
        <f>Données!AR156</f>
        <v>0</v>
      </c>
      <c r="D156" s="357">
        <f>Données!Z156</f>
        <v>371</v>
      </c>
      <c r="E156" s="130">
        <f>Données!X156</f>
        <v>71.5</v>
      </c>
      <c r="F156" s="31">
        <f>VPI!L156</f>
        <v>741461.98</v>
      </c>
      <c r="G156" s="8">
        <f t="shared" si="13"/>
        <v>20740.195244755243</v>
      </c>
      <c r="H156" s="26">
        <f t="shared" si="14"/>
        <v>32819.610668274021</v>
      </c>
      <c r="I156" s="8">
        <f t="shared" si="15"/>
        <v>20740.195244755243</v>
      </c>
      <c r="J156" s="8">
        <f>VPI!R156</f>
        <v>11226.317902097902</v>
      </c>
      <c r="K156" s="238">
        <f t="shared" si="16"/>
        <v>13758.591472544638</v>
      </c>
      <c r="L156" s="345">
        <f t="shared" si="17"/>
        <v>34498.786717299881</v>
      </c>
      <c r="M156" s="131"/>
      <c r="N156" s="132"/>
      <c r="O156" s="129"/>
      <c r="P156" s="129"/>
      <c r="Q156" s="133"/>
    </row>
    <row r="157" spans="1:17" s="128" customFormat="1" x14ac:dyDescent="0.25">
      <c r="A157" s="177">
        <f>Données!A157</f>
        <v>5663</v>
      </c>
      <c r="B157" s="356" t="str">
        <f>Données!B157</f>
        <v>Bussy-sur-Moudon</v>
      </c>
      <c r="C157" s="177">
        <f>Données!AR157</f>
        <v>0</v>
      </c>
      <c r="D157" s="357">
        <f>Données!Z157</f>
        <v>236</v>
      </c>
      <c r="E157" s="130">
        <f>Données!X157</f>
        <v>78.5</v>
      </c>
      <c r="F157" s="31">
        <f>VPI!L157</f>
        <v>378917.42</v>
      </c>
      <c r="G157" s="8">
        <f t="shared" si="13"/>
        <v>9653.9470063694262</v>
      </c>
      <c r="H157" s="26">
        <f t="shared" si="14"/>
        <v>20877.164737769999</v>
      </c>
      <c r="I157" s="8">
        <f t="shared" si="15"/>
        <v>9653.9470063694262</v>
      </c>
      <c r="J157" s="8">
        <f>VPI!R157</f>
        <v>5263.613630573248</v>
      </c>
      <c r="K157" s="238">
        <f t="shared" si="16"/>
        <v>6450.9049399751493</v>
      </c>
      <c r="L157" s="345">
        <f t="shared" si="17"/>
        <v>16104.851946344575</v>
      </c>
      <c r="M157" s="131"/>
      <c r="N157" s="132"/>
      <c r="O157" s="129"/>
      <c r="P157" s="129"/>
      <c r="Q157" s="133"/>
    </row>
    <row r="158" spans="1:17" s="128" customFormat="1" x14ac:dyDescent="0.25">
      <c r="A158" s="177">
        <f>Données!A158</f>
        <v>5665</v>
      </c>
      <c r="B158" s="356" t="str">
        <f>Données!B158</f>
        <v>Chavannes-sur-Moudon</v>
      </c>
      <c r="C158" s="177">
        <f>Données!AR158</f>
        <v>0</v>
      </c>
      <c r="D158" s="357">
        <f>Données!Z158</f>
        <v>222</v>
      </c>
      <c r="E158" s="130">
        <f>Données!X158</f>
        <v>70</v>
      </c>
      <c r="F158" s="31">
        <f>VPI!L158</f>
        <v>315843.02000000008</v>
      </c>
      <c r="G158" s="8">
        <f t="shared" si="13"/>
        <v>9024.0862857142874</v>
      </c>
      <c r="H158" s="26">
        <f t="shared" si="14"/>
        <v>19638.688863495507</v>
      </c>
      <c r="I158" s="8">
        <f t="shared" si="15"/>
        <v>9024.0862857142874</v>
      </c>
      <c r="J158" s="8">
        <f>VPI!R158</f>
        <v>4920.7560000000012</v>
      </c>
      <c r="K158" s="238">
        <f t="shared" si="16"/>
        <v>6030.7103478176969</v>
      </c>
      <c r="L158" s="345">
        <f t="shared" si="17"/>
        <v>15054.796633531983</v>
      </c>
      <c r="M158" s="131"/>
      <c r="N158" s="132"/>
      <c r="O158" s="129"/>
      <c r="P158" s="129"/>
      <c r="Q158" s="133"/>
    </row>
    <row r="159" spans="1:17" s="128" customFormat="1" x14ac:dyDescent="0.25">
      <c r="A159" s="177">
        <f>Données!A159</f>
        <v>5669</v>
      </c>
      <c r="B159" s="356" t="str">
        <f>Données!B159</f>
        <v>Curtilles</v>
      </c>
      <c r="C159" s="177">
        <f>Données!AR159</f>
        <v>0</v>
      </c>
      <c r="D159" s="357">
        <f>Données!Z159</f>
        <v>296</v>
      </c>
      <c r="E159" s="130">
        <f>Données!X159</f>
        <v>73</v>
      </c>
      <c r="F159" s="31">
        <f>VPI!L159</f>
        <v>634441.35000000009</v>
      </c>
      <c r="G159" s="8">
        <f t="shared" si="13"/>
        <v>17381.954794520552</v>
      </c>
      <c r="H159" s="26">
        <f t="shared" si="14"/>
        <v>26184.918484660677</v>
      </c>
      <c r="I159" s="8">
        <f t="shared" si="15"/>
        <v>17381.954794520552</v>
      </c>
      <c r="J159" s="8">
        <f>VPI!R159</f>
        <v>9337.6116438356166</v>
      </c>
      <c r="K159" s="238">
        <f t="shared" si="16"/>
        <v>11443.857643903184</v>
      </c>
      <c r="L159" s="345">
        <f t="shared" si="17"/>
        <v>28825.812438423738</v>
      </c>
      <c r="M159" s="131"/>
      <c r="N159" s="132"/>
      <c r="O159" s="129"/>
      <c r="P159" s="129"/>
      <c r="Q159" s="133"/>
    </row>
    <row r="160" spans="1:17" s="128" customFormat="1" x14ac:dyDescent="0.25">
      <c r="A160" s="177">
        <f>Données!A160</f>
        <v>5671</v>
      </c>
      <c r="B160" s="356" t="str">
        <f>Données!B160</f>
        <v>Dompierre</v>
      </c>
      <c r="C160" s="177">
        <f>Données!AR160</f>
        <v>0</v>
      </c>
      <c r="D160" s="357">
        <f>Données!Z160</f>
        <v>246</v>
      </c>
      <c r="E160" s="130">
        <f>Données!X160</f>
        <v>78</v>
      </c>
      <c r="F160" s="31">
        <f>VPI!L160</f>
        <v>467211.62999999995</v>
      </c>
      <c r="G160" s="8">
        <f t="shared" si="13"/>
        <v>11979.785384615383</v>
      </c>
      <c r="H160" s="26">
        <f t="shared" si="14"/>
        <v>21761.790362251777</v>
      </c>
      <c r="I160" s="8">
        <f t="shared" si="15"/>
        <v>11979.785384615383</v>
      </c>
      <c r="J160" s="8">
        <f>VPI!R160</f>
        <v>6463.499743589743</v>
      </c>
      <c r="K160" s="238">
        <f t="shared" si="16"/>
        <v>7921.4443444835888</v>
      </c>
      <c r="L160" s="345">
        <f t="shared" si="17"/>
        <v>19901.229729098974</v>
      </c>
      <c r="M160" s="131"/>
      <c r="N160" s="132"/>
      <c r="O160" s="129"/>
      <c r="P160" s="129"/>
      <c r="Q160" s="133"/>
    </row>
    <row r="161" spans="1:17" s="128" customFormat="1" x14ac:dyDescent="0.25">
      <c r="A161" s="177">
        <f>Données!A161</f>
        <v>5673</v>
      </c>
      <c r="B161" s="356" t="str">
        <f>Données!B161</f>
        <v>Hermenches</v>
      </c>
      <c r="C161" s="177">
        <f>Données!AR161</f>
        <v>0</v>
      </c>
      <c r="D161" s="357">
        <f>Données!Z161</f>
        <v>371</v>
      </c>
      <c r="E161" s="130">
        <f>Données!X161</f>
        <v>73.5</v>
      </c>
      <c r="F161" s="31">
        <f>VPI!L161</f>
        <v>701344.25</v>
      </c>
      <c r="G161" s="8">
        <f t="shared" si="13"/>
        <v>19084.197278911564</v>
      </c>
      <c r="H161" s="26">
        <f t="shared" si="14"/>
        <v>32819.610668274021</v>
      </c>
      <c r="I161" s="8">
        <f t="shared" si="15"/>
        <v>19084.197278911564</v>
      </c>
      <c r="J161" s="8">
        <f>VPI!R161</f>
        <v>10227.21768707483</v>
      </c>
      <c r="K161" s="238">
        <f t="shared" si="16"/>
        <v>12534.128401169726</v>
      </c>
      <c r="L161" s="345">
        <f t="shared" si="17"/>
        <v>31618.325680081289</v>
      </c>
      <c r="M161" s="131"/>
      <c r="N161" s="132"/>
      <c r="O161" s="129"/>
      <c r="P161" s="129"/>
      <c r="Q161" s="133"/>
    </row>
    <row r="162" spans="1:17" s="128" customFormat="1" x14ac:dyDescent="0.25">
      <c r="A162" s="177">
        <f>Données!A162</f>
        <v>5674</v>
      </c>
      <c r="B162" s="356" t="str">
        <f>Données!B162</f>
        <v>Lovatens</v>
      </c>
      <c r="C162" s="177">
        <f>Données!AR162</f>
        <v>0</v>
      </c>
      <c r="D162" s="357">
        <f>Données!Z162</f>
        <v>146</v>
      </c>
      <c r="E162" s="130">
        <f>Données!X162</f>
        <v>75</v>
      </c>
      <c r="F162" s="31">
        <f>VPI!L162</f>
        <v>291030.40000000002</v>
      </c>
      <c r="G162" s="8">
        <f t="shared" si="13"/>
        <v>7760.8106666666672</v>
      </c>
      <c r="H162" s="26">
        <f t="shared" si="14"/>
        <v>12915.534117433983</v>
      </c>
      <c r="I162" s="8">
        <f t="shared" si="15"/>
        <v>7760.8106666666672</v>
      </c>
      <c r="J162" s="8">
        <f>VPI!R162</f>
        <v>4222.7066666666669</v>
      </c>
      <c r="K162" s="238">
        <f t="shared" si="16"/>
        <v>5175.2049462451378</v>
      </c>
      <c r="L162" s="345">
        <f t="shared" si="17"/>
        <v>12936.015612911804</v>
      </c>
      <c r="M162" s="131"/>
      <c r="N162" s="132"/>
      <c r="O162" s="129"/>
      <c r="P162" s="129"/>
      <c r="Q162" s="133"/>
    </row>
    <row r="163" spans="1:17" s="128" customFormat="1" x14ac:dyDescent="0.25">
      <c r="A163" s="177">
        <f>Données!A163</f>
        <v>5675</v>
      </c>
      <c r="B163" s="356" t="str">
        <f>Données!B163</f>
        <v>Lucens</v>
      </c>
      <c r="C163" s="177">
        <f>Données!AR163</f>
        <v>0</v>
      </c>
      <c r="D163" s="357">
        <f>Données!Z163</f>
        <v>4373</v>
      </c>
      <c r="E163" s="130">
        <f>Données!X163</f>
        <v>67.5</v>
      </c>
      <c r="F163" s="31">
        <f>VPI!L163</f>
        <v>6362894.1400000006</v>
      </c>
      <c r="G163" s="8">
        <f t="shared" si="13"/>
        <v>188530.19674074076</v>
      </c>
      <c r="H163" s="215">
        <f t="shared" si="14"/>
        <v>386846.78558588226</v>
      </c>
      <c r="I163" s="8">
        <f t="shared" si="15"/>
        <v>188530.19674074076</v>
      </c>
      <c r="J163" s="8">
        <f>VPI!R163</f>
        <v>105149.82705723906</v>
      </c>
      <c r="K163" s="238">
        <f t="shared" si="16"/>
        <v>128868.03371378966</v>
      </c>
      <c r="L163" s="345">
        <f t="shared" si="17"/>
        <v>317398.23045453045</v>
      </c>
      <c r="M163" s="131"/>
      <c r="N163" s="132"/>
      <c r="O163" s="129"/>
      <c r="P163" s="129"/>
      <c r="Q163" s="133"/>
    </row>
    <row r="164" spans="1:17" s="128" customFormat="1" x14ac:dyDescent="0.25">
      <c r="A164" s="177">
        <f>Données!A164</f>
        <v>5678</v>
      </c>
      <c r="B164" s="356" t="str">
        <f>Données!B164</f>
        <v>Moudon</v>
      </c>
      <c r="C164" s="177">
        <f>Données!AR164</f>
        <v>0</v>
      </c>
      <c r="D164" s="357">
        <f>Données!Z164</f>
        <v>6120</v>
      </c>
      <c r="E164" s="130">
        <f>Données!X164</f>
        <v>72.5</v>
      </c>
      <c r="F164" s="31">
        <f>VPI!L164</f>
        <v>8097829.4000000004</v>
      </c>
      <c r="G164" s="8">
        <f t="shared" si="13"/>
        <v>223388.39724137931</v>
      </c>
      <c r="H164" s="26">
        <f t="shared" si="14"/>
        <v>541390.88218284911</v>
      </c>
      <c r="I164" s="8">
        <f t="shared" si="15"/>
        <v>223388.39724137931</v>
      </c>
      <c r="J164" s="8">
        <f>VPI!R164</f>
        <v>124814.5703448276</v>
      </c>
      <c r="K164" s="238">
        <f t="shared" si="16"/>
        <v>152968.47088881698</v>
      </c>
      <c r="L164" s="345">
        <f t="shared" si="17"/>
        <v>376356.86813019629</v>
      </c>
      <c r="M164" s="131"/>
      <c r="N164" s="132"/>
      <c r="O164" s="129"/>
      <c r="P164" s="129"/>
      <c r="Q164" s="133"/>
    </row>
    <row r="165" spans="1:17" s="128" customFormat="1" x14ac:dyDescent="0.25">
      <c r="A165" s="177">
        <f>Données!A165</f>
        <v>5680</v>
      </c>
      <c r="B165" s="356" t="str">
        <f>Données!B165</f>
        <v>Ogens</v>
      </c>
      <c r="C165" s="177">
        <f>Données!AR165</f>
        <v>0</v>
      </c>
      <c r="D165" s="357">
        <f>Données!Z165</f>
        <v>321</v>
      </c>
      <c r="E165" s="130">
        <f>Données!X165</f>
        <v>78</v>
      </c>
      <c r="F165" s="31">
        <f>VPI!L165</f>
        <v>611490.23</v>
      </c>
      <c r="G165" s="8">
        <f t="shared" si="13"/>
        <v>15679.236666666666</v>
      </c>
      <c r="H165" s="26">
        <f t="shared" si="14"/>
        <v>28396.482545865125</v>
      </c>
      <c r="I165" s="8">
        <f t="shared" si="15"/>
        <v>15679.236666666666</v>
      </c>
      <c r="J165" s="8">
        <f>VPI!R165</f>
        <v>8501.7127777777787</v>
      </c>
      <c r="K165" s="238">
        <f t="shared" si="16"/>
        <v>10419.408567122282</v>
      </c>
      <c r="L165" s="345">
        <f t="shared" si="17"/>
        <v>26098.64523378895</v>
      </c>
      <c r="M165" s="131"/>
      <c r="N165" s="132"/>
      <c r="O165" s="129"/>
      <c r="P165" s="129"/>
      <c r="Q165" s="133"/>
    </row>
    <row r="166" spans="1:17" s="128" customFormat="1" x14ac:dyDescent="0.25">
      <c r="A166" s="177">
        <f>Données!A166</f>
        <v>5683</v>
      </c>
      <c r="B166" s="356" t="str">
        <f>Données!B166</f>
        <v>Prévonloup</v>
      </c>
      <c r="C166" s="177">
        <f>Données!AR166</f>
        <v>0</v>
      </c>
      <c r="D166" s="357">
        <f>Données!Z166</f>
        <v>215</v>
      </c>
      <c r="E166" s="130">
        <f>Données!X166</f>
        <v>72.5</v>
      </c>
      <c r="F166" s="31">
        <f>VPI!L166</f>
        <v>359185.83999999997</v>
      </c>
      <c r="G166" s="8">
        <f t="shared" si="13"/>
        <v>9908.5748965517232</v>
      </c>
      <c r="H166" s="26">
        <f t="shared" si="14"/>
        <v>19019.450926358262</v>
      </c>
      <c r="I166" s="8">
        <f t="shared" si="15"/>
        <v>9908.5748965517232</v>
      </c>
      <c r="J166" s="8">
        <f>VPI!R166</f>
        <v>5386.3598620689654</v>
      </c>
      <c r="K166" s="238">
        <f t="shared" si="16"/>
        <v>6601.3385254723471</v>
      </c>
      <c r="L166" s="345">
        <f t="shared" si="17"/>
        <v>16509.91342202407</v>
      </c>
      <c r="M166" s="131"/>
      <c r="N166" s="132"/>
      <c r="O166" s="129"/>
      <c r="P166" s="129"/>
      <c r="Q166" s="133"/>
    </row>
    <row r="167" spans="1:17" s="128" customFormat="1" x14ac:dyDescent="0.25">
      <c r="A167" s="177">
        <f>Données!A167</f>
        <v>5684</v>
      </c>
      <c r="B167" s="356" t="str">
        <f>Données!B167</f>
        <v>Rossenges</v>
      </c>
      <c r="C167" s="177">
        <f>Données!AR167</f>
        <v>0</v>
      </c>
      <c r="D167" s="357">
        <f>Données!Z167</f>
        <v>93</v>
      </c>
      <c r="E167" s="130">
        <f>Données!X167</f>
        <v>75</v>
      </c>
      <c r="F167" s="31">
        <f>VPI!L167</f>
        <v>235929.97</v>
      </c>
      <c r="G167" s="8">
        <f t="shared" si="13"/>
        <v>6291.4658666666664</v>
      </c>
      <c r="H167" s="26">
        <f t="shared" si="14"/>
        <v>8227.0183076805497</v>
      </c>
      <c r="I167" s="8">
        <f t="shared" si="15"/>
        <v>6291.4658666666664</v>
      </c>
      <c r="J167" s="8">
        <f>VPI!R167</f>
        <v>3253.4312666666665</v>
      </c>
      <c r="K167" s="238">
        <f t="shared" si="16"/>
        <v>3987.2941486633963</v>
      </c>
      <c r="L167" s="345">
        <f t="shared" si="17"/>
        <v>10278.760015330063</v>
      </c>
      <c r="M167" s="131"/>
      <c r="N167" s="132"/>
      <c r="O167" s="129"/>
      <c r="P167" s="129"/>
      <c r="Q167" s="133"/>
    </row>
    <row r="168" spans="1:17" s="128" customFormat="1" x14ac:dyDescent="0.25">
      <c r="A168" s="177">
        <f>Données!A168</f>
        <v>5688</v>
      </c>
      <c r="B168" s="356" t="str">
        <f>Données!B168</f>
        <v>Syens</v>
      </c>
      <c r="C168" s="177">
        <f>Données!AR168</f>
        <v>0</v>
      </c>
      <c r="D168" s="357">
        <f>Données!Z168</f>
        <v>161</v>
      </c>
      <c r="E168" s="130">
        <f>Données!X168</f>
        <v>65</v>
      </c>
      <c r="F168" s="31">
        <f>VPI!L168</f>
        <v>377696.1</v>
      </c>
      <c r="G168" s="8">
        <f t="shared" si="13"/>
        <v>11621.41846153846</v>
      </c>
      <c r="H168" s="26">
        <f t="shared" si="14"/>
        <v>14242.472554156651</v>
      </c>
      <c r="I168" s="8">
        <f t="shared" si="15"/>
        <v>11621.41846153846</v>
      </c>
      <c r="J168" s="8">
        <f>VPI!R168</f>
        <v>6192.4015384615377</v>
      </c>
      <c r="K168" s="238">
        <f t="shared" si="16"/>
        <v>7589.1956512052648</v>
      </c>
      <c r="L168" s="345">
        <f t="shared" si="17"/>
        <v>19210.614112743726</v>
      </c>
      <c r="M168" s="131"/>
      <c r="N168" s="132"/>
      <c r="O168" s="129"/>
      <c r="P168" s="129"/>
      <c r="Q168" s="133"/>
    </row>
    <row r="169" spans="1:17" s="128" customFormat="1" x14ac:dyDescent="0.25">
      <c r="A169" s="177">
        <f>Données!A169</f>
        <v>5690</v>
      </c>
      <c r="B169" s="356" t="str">
        <f>Données!B169</f>
        <v>Villars-le-Comte</v>
      </c>
      <c r="C169" s="177">
        <f>Données!AR169</f>
        <v>0</v>
      </c>
      <c r="D169" s="357">
        <f>Données!Z169</f>
        <v>133</v>
      </c>
      <c r="E169" s="130">
        <f>Données!X169</f>
        <v>70</v>
      </c>
      <c r="F169" s="31">
        <f>VPI!L169</f>
        <v>223809.69999999998</v>
      </c>
      <c r="G169" s="8">
        <f t="shared" si="13"/>
        <v>6394.562857142857</v>
      </c>
      <c r="H169" s="26">
        <f t="shared" si="14"/>
        <v>11765.52080560767</v>
      </c>
      <c r="I169" s="8">
        <f t="shared" si="15"/>
        <v>6394.562857142857</v>
      </c>
      <c r="J169" s="8">
        <f>VPI!R169</f>
        <v>3509.9673809523806</v>
      </c>
      <c r="K169" s="238">
        <f t="shared" si="16"/>
        <v>4301.6960411798709</v>
      </c>
      <c r="L169" s="345">
        <f t="shared" si="17"/>
        <v>10696.258898322729</v>
      </c>
      <c r="M169" s="131"/>
      <c r="N169" s="132"/>
      <c r="O169" s="129"/>
      <c r="P169" s="129"/>
      <c r="Q169" s="133"/>
    </row>
    <row r="170" spans="1:17" s="128" customFormat="1" x14ac:dyDescent="0.25">
      <c r="A170" s="177">
        <f>Données!A170</f>
        <v>5692</v>
      </c>
      <c r="B170" s="356" t="str">
        <f>Données!B170</f>
        <v>Vucherens</v>
      </c>
      <c r="C170" s="177">
        <f>Données!AR170</f>
        <v>0</v>
      </c>
      <c r="D170" s="357">
        <f>Données!Z170</f>
        <v>623</v>
      </c>
      <c r="E170" s="130">
        <f>Données!X170</f>
        <v>77</v>
      </c>
      <c r="F170" s="31">
        <f>VPI!L170</f>
        <v>1345419.32</v>
      </c>
      <c r="G170" s="8">
        <f t="shared" si="13"/>
        <v>34945.956363636367</v>
      </c>
      <c r="H170" s="26">
        <f t="shared" si="14"/>
        <v>55112.176405214872</v>
      </c>
      <c r="I170" s="8">
        <f t="shared" si="15"/>
        <v>34945.956363636367</v>
      </c>
      <c r="J170" s="8">
        <f>VPI!R170</f>
        <v>18792.58012987013</v>
      </c>
      <c r="K170" s="238">
        <f t="shared" si="16"/>
        <v>23031.543822006417</v>
      </c>
      <c r="L170" s="345">
        <f t="shared" si="17"/>
        <v>57977.500185642784</v>
      </c>
      <c r="M170" s="131"/>
      <c r="N170" s="132"/>
      <c r="O170" s="129"/>
      <c r="P170" s="129"/>
      <c r="Q170" s="133"/>
    </row>
    <row r="171" spans="1:17" s="128" customFormat="1" x14ac:dyDescent="0.25">
      <c r="A171" s="177">
        <f>Données!A171</f>
        <v>5693</v>
      </c>
      <c r="B171" s="356" t="str">
        <f>Données!B171</f>
        <v>Montanaire</v>
      </c>
      <c r="C171" s="177">
        <f>Données!AR171</f>
        <v>0</v>
      </c>
      <c r="D171" s="357">
        <f>Données!Z171</f>
        <v>2768</v>
      </c>
      <c r="E171" s="130">
        <f>Données!X171</f>
        <v>70</v>
      </c>
      <c r="F171" s="31">
        <f>VPI!L171</f>
        <v>4859418.53</v>
      </c>
      <c r="G171" s="8">
        <f t="shared" si="13"/>
        <v>138840.52942857143</v>
      </c>
      <c r="H171" s="26">
        <f t="shared" si="14"/>
        <v>244864.37285655661</v>
      </c>
      <c r="I171" s="8">
        <f t="shared" si="15"/>
        <v>138840.52942857143</v>
      </c>
      <c r="J171" s="8">
        <f>VPI!R171</f>
        <v>75687.075428571436</v>
      </c>
      <c r="K171" s="238">
        <f t="shared" si="16"/>
        <v>92759.492440418544</v>
      </c>
      <c r="L171" s="345">
        <f t="shared" si="17"/>
        <v>231600.02186898998</v>
      </c>
      <c r="M171" s="131"/>
      <c r="N171" s="132"/>
      <c r="O171" s="129"/>
      <c r="P171" s="129"/>
      <c r="Q171" s="133"/>
    </row>
    <row r="172" spans="1:17" s="128" customFormat="1" x14ac:dyDescent="0.25">
      <c r="A172" s="177">
        <f>Données!A172</f>
        <v>5701</v>
      </c>
      <c r="B172" s="356" t="str">
        <f>Données!B172</f>
        <v>Arnex-sur-Nyon</v>
      </c>
      <c r="C172" s="177">
        <f>Données!AR172</f>
        <v>0</v>
      </c>
      <c r="D172" s="357">
        <f>Données!Z172</f>
        <v>226</v>
      </c>
      <c r="E172" s="130">
        <f>Données!X172</f>
        <v>70</v>
      </c>
      <c r="F172" s="31">
        <f>VPI!L172</f>
        <v>940229.41</v>
      </c>
      <c r="G172" s="8">
        <f t="shared" si="13"/>
        <v>26863.697428571428</v>
      </c>
      <c r="H172" s="26">
        <f t="shared" si="14"/>
        <v>19992.539113288218</v>
      </c>
      <c r="I172" s="8">
        <f t="shared" si="15"/>
        <v>19992.539113288218</v>
      </c>
      <c r="J172" s="8">
        <f>VPI!R172</f>
        <v>14488.632285714286</v>
      </c>
      <c r="K172" s="238">
        <f t="shared" si="16"/>
        <v>17756.772465690778</v>
      </c>
      <c r="L172" s="345">
        <f t="shared" si="17"/>
        <v>37749.311578978995</v>
      </c>
      <c r="M172" s="131"/>
      <c r="N172" s="132"/>
      <c r="O172" s="129"/>
      <c r="P172" s="129"/>
      <c r="Q172" s="133"/>
    </row>
    <row r="173" spans="1:17" s="128" customFormat="1" x14ac:dyDescent="0.25">
      <c r="A173" s="177">
        <f>Données!A173</f>
        <v>5702</v>
      </c>
      <c r="B173" s="356" t="str">
        <f>Données!B173</f>
        <v>Arzier-Le Muids</v>
      </c>
      <c r="C173" s="177">
        <f>Données!AR173</f>
        <v>0</v>
      </c>
      <c r="D173" s="357">
        <f>Données!Z173</f>
        <v>2947</v>
      </c>
      <c r="E173" s="130">
        <f>Données!X173</f>
        <v>64</v>
      </c>
      <c r="F173" s="31">
        <f>VPI!L173</f>
        <v>10346835.640000002</v>
      </c>
      <c r="G173" s="8">
        <f t="shared" si="13"/>
        <v>323338.61375000008</v>
      </c>
      <c r="H173" s="26">
        <f t="shared" si="14"/>
        <v>260699.17153478044</v>
      </c>
      <c r="I173" s="8">
        <f t="shared" si="15"/>
        <v>260699.17153478044</v>
      </c>
      <c r="J173" s="8">
        <f>VPI!R173</f>
        <v>174855.39411458338</v>
      </c>
      <c r="K173" s="238">
        <f t="shared" si="16"/>
        <v>214296.7939598223</v>
      </c>
      <c r="L173" s="345">
        <f t="shared" si="17"/>
        <v>474995.96549460274</v>
      </c>
      <c r="M173" s="131"/>
      <c r="N173" s="132"/>
      <c r="O173" s="129"/>
      <c r="P173" s="129"/>
      <c r="Q173" s="133"/>
    </row>
    <row r="174" spans="1:17" s="128" customFormat="1" x14ac:dyDescent="0.25">
      <c r="A174" s="177">
        <f>Données!A174</f>
        <v>5703</v>
      </c>
      <c r="B174" s="356" t="str">
        <f>Données!B174</f>
        <v>Bassins</v>
      </c>
      <c r="C174" s="177">
        <f>Données!AR174</f>
        <v>0</v>
      </c>
      <c r="D174" s="357">
        <f>Données!Z174</f>
        <v>1487</v>
      </c>
      <c r="E174" s="130">
        <f>Données!X174</f>
        <v>72.5</v>
      </c>
      <c r="F174" s="31">
        <f>VPI!L174</f>
        <v>4503172.0599999996</v>
      </c>
      <c r="G174" s="8">
        <f t="shared" si="13"/>
        <v>124225.43613793103</v>
      </c>
      <c r="H174" s="26">
        <f t="shared" si="14"/>
        <v>131543.83036044062</v>
      </c>
      <c r="I174" s="8">
        <f t="shared" si="15"/>
        <v>124225.43613793103</v>
      </c>
      <c r="J174" s="8">
        <f>VPI!R174</f>
        <v>66798.778167487675</v>
      </c>
      <c r="K174" s="238">
        <f t="shared" si="16"/>
        <v>81866.299145140845</v>
      </c>
      <c r="L174" s="345">
        <f t="shared" si="17"/>
        <v>206091.73528307187</v>
      </c>
      <c r="M174" s="131"/>
      <c r="N174" s="132"/>
      <c r="O174" s="129"/>
      <c r="P174" s="129"/>
      <c r="Q174" s="133"/>
    </row>
    <row r="175" spans="1:17" s="128" customFormat="1" x14ac:dyDescent="0.25">
      <c r="A175" s="177">
        <f>Données!A175</f>
        <v>5704</v>
      </c>
      <c r="B175" s="356" t="str">
        <f>Données!B175</f>
        <v>Begnins</v>
      </c>
      <c r="C175" s="177">
        <f>Données!AR175</f>
        <v>0</v>
      </c>
      <c r="D175" s="357">
        <f>Données!Z175</f>
        <v>1941</v>
      </c>
      <c r="E175" s="130">
        <f>Données!X175</f>
        <v>62.5</v>
      </c>
      <c r="F175" s="31">
        <f>VPI!L175</f>
        <v>8601299.9100000001</v>
      </c>
      <c r="G175" s="8">
        <f t="shared" si="13"/>
        <v>275241.59711999999</v>
      </c>
      <c r="H175" s="26">
        <f t="shared" si="14"/>
        <v>171705.83371191344</v>
      </c>
      <c r="I175" s="8">
        <f t="shared" si="15"/>
        <v>171705.83371191344</v>
      </c>
      <c r="J175" s="8">
        <f>VPI!R175</f>
        <v>146339.67776000002</v>
      </c>
      <c r="K175" s="238">
        <f t="shared" si="16"/>
        <v>179348.90674594295</v>
      </c>
      <c r="L175" s="345">
        <f t="shared" si="17"/>
        <v>351054.74045785639</v>
      </c>
      <c r="M175" s="131"/>
      <c r="N175" s="132"/>
      <c r="O175" s="129"/>
      <c r="P175" s="129"/>
      <c r="Q175" s="133"/>
    </row>
    <row r="176" spans="1:17" s="128" customFormat="1" x14ac:dyDescent="0.25">
      <c r="A176" s="177">
        <f>Données!A176</f>
        <v>5705</v>
      </c>
      <c r="B176" s="356" t="str">
        <f>Données!B176</f>
        <v>Bogis-Bossey</v>
      </c>
      <c r="C176" s="177">
        <f>Données!AR176</f>
        <v>0</v>
      </c>
      <c r="D176" s="357">
        <f>Données!Z176</f>
        <v>888</v>
      </c>
      <c r="E176" s="130">
        <f>Données!X176</f>
        <v>74.5</v>
      </c>
      <c r="F176" s="31">
        <f>VPI!L176</f>
        <v>3627788.3200000003</v>
      </c>
      <c r="G176" s="8">
        <f t="shared" si="13"/>
        <v>97390.290469798667</v>
      </c>
      <c r="H176" s="26">
        <f t="shared" si="14"/>
        <v>78554.755453982027</v>
      </c>
      <c r="I176" s="8">
        <f t="shared" si="15"/>
        <v>78554.755453982027</v>
      </c>
      <c r="J176" s="8">
        <f>VPI!R176</f>
        <v>51950.537852349</v>
      </c>
      <c r="K176" s="238">
        <f t="shared" si="16"/>
        <v>63668.803371038106</v>
      </c>
      <c r="L176" s="345">
        <f t="shared" si="17"/>
        <v>142223.55882502013</v>
      </c>
      <c r="M176" s="131"/>
      <c r="N176" s="132"/>
      <c r="O176" s="129"/>
      <c r="P176" s="129"/>
      <c r="Q176" s="133"/>
    </row>
    <row r="177" spans="1:17" s="128" customFormat="1" x14ac:dyDescent="0.25">
      <c r="A177" s="177">
        <f>Données!A177</f>
        <v>5706</v>
      </c>
      <c r="B177" s="356" t="str">
        <f>Données!B177</f>
        <v>Borex</v>
      </c>
      <c r="C177" s="177">
        <f>Données!AR177</f>
        <v>0</v>
      </c>
      <c r="D177" s="357">
        <f>Données!Z177</f>
        <v>1165</v>
      </c>
      <c r="E177" s="130">
        <f>Données!X177</f>
        <v>57</v>
      </c>
      <c r="F177" s="31">
        <f>VPI!L177</f>
        <v>3758128.5900000003</v>
      </c>
      <c r="G177" s="8">
        <f t="shared" si="13"/>
        <v>131864.16105263159</v>
      </c>
      <c r="H177" s="26">
        <f t="shared" si="14"/>
        <v>103058.88525212732</v>
      </c>
      <c r="I177" s="8">
        <f t="shared" si="15"/>
        <v>103058.88525212732</v>
      </c>
      <c r="J177" s="8">
        <f>VPI!R177</f>
        <v>71207.729649122819</v>
      </c>
      <c r="K177" s="238">
        <f t="shared" si="16"/>
        <v>87269.759370220738</v>
      </c>
      <c r="L177" s="345">
        <f t="shared" si="17"/>
        <v>190328.64462234807</v>
      </c>
      <c r="M177" s="131"/>
      <c r="N177" s="132"/>
      <c r="O177" s="129"/>
      <c r="P177" s="129"/>
      <c r="Q177" s="133"/>
    </row>
    <row r="178" spans="1:17" s="128" customFormat="1" x14ac:dyDescent="0.25">
      <c r="A178" s="177">
        <f>Données!A178</f>
        <v>5707</v>
      </c>
      <c r="B178" s="356" t="str">
        <f>Données!B178</f>
        <v>Chavannes-de-Bogis</v>
      </c>
      <c r="C178" s="177">
        <f>Données!AR178</f>
        <v>0</v>
      </c>
      <c r="D178" s="357">
        <f>Données!Z178</f>
        <v>1330</v>
      </c>
      <c r="E178" s="130">
        <f>Données!X178</f>
        <v>58</v>
      </c>
      <c r="F178" s="31">
        <f>VPI!L178</f>
        <v>4564501.1700000009</v>
      </c>
      <c r="G178" s="8">
        <f t="shared" si="13"/>
        <v>157396.59206896555</v>
      </c>
      <c r="H178" s="26">
        <f t="shared" si="14"/>
        <v>117655.20805607669</v>
      </c>
      <c r="I178" s="8">
        <f t="shared" si="15"/>
        <v>117655.20805607669</v>
      </c>
      <c r="J178" s="8">
        <f>VPI!R178</f>
        <v>88004.58971264369</v>
      </c>
      <c r="K178" s="238">
        <f t="shared" si="16"/>
        <v>107855.41689843817</v>
      </c>
      <c r="L178" s="345">
        <f t="shared" si="17"/>
        <v>225510.62495451485</v>
      </c>
      <c r="M178" s="131"/>
      <c r="N178" s="132"/>
      <c r="O178" s="129"/>
      <c r="P178" s="129"/>
      <c r="Q178" s="133"/>
    </row>
    <row r="179" spans="1:17" s="128" customFormat="1" x14ac:dyDescent="0.25">
      <c r="A179" s="177">
        <f>Données!A179</f>
        <v>5708</v>
      </c>
      <c r="B179" s="356" t="str">
        <f>Données!B179</f>
        <v>Chavannes-des-Bois</v>
      </c>
      <c r="C179" s="177">
        <f>Données!AR179</f>
        <v>0</v>
      </c>
      <c r="D179" s="357">
        <f>Données!Z179</f>
        <v>1005</v>
      </c>
      <c r="E179" s="130">
        <f>Données!X179</f>
        <v>68</v>
      </c>
      <c r="F179" s="31">
        <f>VPI!L179</f>
        <v>4260936.18</v>
      </c>
      <c r="G179" s="8">
        <f t="shared" si="13"/>
        <v>125321.65235294116</v>
      </c>
      <c r="H179" s="26">
        <f t="shared" si="14"/>
        <v>88904.875260418848</v>
      </c>
      <c r="I179" s="8">
        <f t="shared" si="15"/>
        <v>88904.875260418848</v>
      </c>
      <c r="J179" s="8">
        <f>VPI!R179</f>
        <v>66993.89235294117</v>
      </c>
      <c r="K179" s="238">
        <f t="shared" si="16"/>
        <v>82105.424421261108</v>
      </c>
      <c r="L179" s="345">
        <f t="shared" si="17"/>
        <v>171010.29968167996</v>
      </c>
      <c r="M179" s="131"/>
      <c r="N179" s="132"/>
      <c r="O179" s="129"/>
      <c r="P179" s="129"/>
      <c r="Q179" s="133"/>
    </row>
    <row r="180" spans="1:17" s="128" customFormat="1" x14ac:dyDescent="0.25">
      <c r="A180" s="177">
        <f>Données!A180</f>
        <v>5709</v>
      </c>
      <c r="B180" s="356" t="str">
        <f>Données!B180</f>
        <v>Chéserex</v>
      </c>
      <c r="C180" s="177">
        <f>Données!AR180</f>
        <v>0</v>
      </c>
      <c r="D180" s="357">
        <f>Données!Z180</f>
        <v>1263</v>
      </c>
      <c r="E180" s="130">
        <f>Données!X180</f>
        <v>57</v>
      </c>
      <c r="F180" s="31">
        <f>VPI!L180</f>
        <v>4635476.3899999997</v>
      </c>
      <c r="G180" s="8">
        <f t="shared" si="13"/>
        <v>162648.29438596489</v>
      </c>
      <c r="H180" s="26">
        <f t="shared" si="14"/>
        <v>111728.21637204877</v>
      </c>
      <c r="I180" s="8">
        <f t="shared" si="15"/>
        <v>111728.21637204877</v>
      </c>
      <c r="J180" s="8">
        <f>VPI!R180</f>
        <v>88341.005087719284</v>
      </c>
      <c r="K180" s="238">
        <f t="shared" si="16"/>
        <v>108267.71608247278</v>
      </c>
      <c r="L180" s="345">
        <f t="shared" si="17"/>
        <v>219995.93245452153</v>
      </c>
      <c r="M180" s="131"/>
      <c r="N180" s="132"/>
      <c r="O180" s="129"/>
      <c r="P180" s="129"/>
      <c r="Q180" s="133"/>
    </row>
    <row r="181" spans="1:17" s="128" customFormat="1" x14ac:dyDescent="0.25">
      <c r="A181" s="177">
        <f>Données!A181</f>
        <v>5710</v>
      </c>
      <c r="B181" s="356" t="str">
        <f>Données!B181</f>
        <v>Coinsins</v>
      </c>
      <c r="C181" s="177">
        <f>Données!AR181</f>
        <v>0</v>
      </c>
      <c r="D181" s="357">
        <f>Données!Z181</f>
        <v>508</v>
      </c>
      <c r="E181" s="130">
        <f>Données!X181</f>
        <v>51</v>
      </c>
      <c r="F181" s="31">
        <f>VPI!L181</f>
        <v>2104960.1400000006</v>
      </c>
      <c r="G181" s="8">
        <f t="shared" si="13"/>
        <v>82547.456470588266</v>
      </c>
      <c r="H181" s="26">
        <f t="shared" si="14"/>
        <v>44938.981723674406</v>
      </c>
      <c r="I181" s="8">
        <f t="shared" si="15"/>
        <v>44938.981723674406</v>
      </c>
      <c r="J181" s="8">
        <f>VPI!R181</f>
        <v>43388.780196078442</v>
      </c>
      <c r="K181" s="238">
        <f t="shared" si="16"/>
        <v>53175.805853344034</v>
      </c>
      <c r="L181" s="345">
        <f t="shared" si="17"/>
        <v>98114.787577018433</v>
      </c>
      <c r="M181" s="131"/>
      <c r="N181" s="132"/>
      <c r="O181" s="129"/>
      <c r="P181" s="129"/>
      <c r="Q181" s="133"/>
    </row>
    <row r="182" spans="1:17" s="128" customFormat="1" x14ac:dyDescent="0.25">
      <c r="A182" s="177">
        <f>Données!A182</f>
        <v>5711</v>
      </c>
      <c r="B182" s="356" t="str">
        <f>Données!B182</f>
        <v>Commugny</v>
      </c>
      <c r="C182" s="177">
        <f>Données!AR182</f>
        <v>0</v>
      </c>
      <c r="D182" s="357">
        <f>Données!Z182</f>
        <v>3001</v>
      </c>
      <c r="E182" s="130">
        <f>Données!X182</f>
        <v>55.5</v>
      </c>
      <c r="F182" s="31">
        <f>VPI!L182</f>
        <v>14915283.829999998</v>
      </c>
      <c r="G182" s="8">
        <f t="shared" si="13"/>
        <v>537487.70558558556</v>
      </c>
      <c r="H182" s="26">
        <f t="shared" si="14"/>
        <v>265476.14990698209</v>
      </c>
      <c r="I182" s="8">
        <f t="shared" si="15"/>
        <v>265476.14990698209</v>
      </c>
      <c r="J182" s="8">
        <f>VPI!R182</f>
        <v>286267.46263340261</v>
      </c>
      <c r="K182" s="238">
        <f t="shared" si="16"/>
        <v>350839.61674725928</v>
      </c>
      <c r="L182" s="345">
        <f t="shared" si="17"/>
        <v>616315.76665424136</v>
      </c>
      <c r="M182" s="131"/>
      <c r="N182" s="132"/>
      <c r="O182" s="129"/>
      <c r="P182" s="129"/>
      <c r="Q182" s="133"/>
    </row>
    <row r="183" spans="1:17" s="128" customFormat="1" x14ac:dyDescent="0.25">
      <c r="A183" s="177">
        <f>Données!A183</f>
        <v>5712</v>
      </c>
      <c r="B183" s="356" t="str">
        <f>Données!B183</f>
        <v>Coppet</v>
      </c>
      <c r="C183" s="177">
        <f>Données!AR183</f>
        <v>0</v>
      </c>
      <c r="D183" s="357">
        <f>Données!Z183</f>
        <v>3211</v>
      </c>
      <c r="E183" s="130">
        <f>Données!X183</f>
        <v>53</v>
      </c>
      <c r="F183" s="31">
        <f>VPI!L183</f>
        <v>16456197.869999999</v>
      </c>
      <c r="G183" s="8">
        <f t="shared" si="13"/>
        <v>620988.59886792453</v>
      </c>
      <c r="H183" s="26">
        <f t="shared" si="14"/>
        <v>284053.28802109946</v>
      </c>
      <c r="I183" s="8">
        <f t="shared" si="15"/>
        <v>284053.28802109946</v>
      </c>
      <c r="J183" s="8">
        <f>VPI!R183</f>
        <v>333743.32396226411</v>
      </c>
      <c r="K183" s="238">
        <f t="shared" si="16"/>
        <v>409024.40952859673</v>
      </c>
      <c r="L183" s="345">
        <f t="shared" si="17"/>
        <v>693077.6975496962</v>
      </c>
      <c r="M183" s="131"/>
      <c r="N183" s="132"/>
      <c r="O183" s="129"/>
      <c r="P183" s="129"/>
      <c r="Q183" s="133"/>
    </row>
    <row r="184" spans="1:17" s="128" customFormat="1" x14ac:dyDescent="0.25">
      <c r="A184" s="177">
        <f>Données!A184</f>
        <v>5713</v>
      </c>
      <c r="B184" s="356" t="str">
        <f>Données!B184</f>
        <v>Crans</v>
      </c>
      <c r="C184" s="177">
        <f>Données!AR184</f>
        <v>1</v>
      </c>
      <c r="D184" s="357">
        <f>Données!Z184</f>
        <v>2373</v>
      </c>
      <c r="E184" s="130">
        <f>Données!X184</f>
        <v>56</v>
      </c>
      <c r="F184" s="31">
        <f>VPI!L184</f>
        <v>16022177.079999998</v>
      </c>
      <c r="G184" s="8">
        <f t="shared" si="13"/>
        <v>572220.61</v>
      </c>
      <c r="H184" s="26">
        <f t="shared" si="14"/>
        <v>209921.6606895263</v>
      </c>
      <c r="I184" s="8">
        <f t="shared" si="15"/>
        <v>0</v>
      </c>
      <c r="J184" s="8">
        <f>VPI!R184</f>
        <v>302501.76750000002</v>
      </c>
      <c r="K184" s="238">
        <f t="shared" si="16"/>
        <v>370735.82585590362</v>
      </c>
      <c r="L184" s="345">
        <f t="shared" si="17"/>
        <v>370735.82585590362</v>
      </c>
      <c r="M184" s="131"/>
      <c r="N184" s="132"/>
      <c r="O184" s="129"/>
      <c r="P184" s="129"/>
      <c r="Q184" s="133"/>
    </row>
    <row r="185" spans="1:17" s="128" customFormat="1" x14ac:dyDescent="0.25">
      <c r="A185" s="177">
        <f>Données!A185</f>
        <v>5714</v>
      </c>
      <c r="B185" s="356" t="str">
        <f>Données!B185</f>
        <v>Crassier</v>
      </c>
      <c r="C185" s="177">
        <f>Données!AR185</f>
        <v>0</v>
      </c>
      <c r="D185" s="357">
        <f>Données!Z185</f>
        <v>1228</v>
      </c>
      <c r="E185" s="130">
        <f>Données!X185</f>
        <v>68</v>
      </c>
      <c r="F185" s="31">
        <f>VPI!L185</f>
        <v>3921793.4699999997</v>
      </c>
      <c r="G185" s="8">
        <f t="shared" si="13"/>
        <v>115346.86676470588</v>
      </c>
      <c r="H185" s="26">
        <f t="shared" si="14"/>
        <v>108632.02668636254</v>
      </c>
      <c r="I185" s="8">
        <f t="shared" si="15"/>
        <v>108632.02668636254</v>
      </c>
      <c r="J185" s="8">
        <f>VPI!R185</f>
        <v>62133.653235294114</v>
      </c>
      <c r="K185" s="238">
        <f t="shared" si="16"/>
        <v>76148.881495811758</v>
      </c>
      <c r="L185" s="345">
        <f t="shared" si="17"/>
        <v>184780.90818217432</v>
      </c>
      <c r="M185" s="131"/>
      <c r="N185" s="132"/>
      <c r="O185" s="129"/>
      <c r="P185" s="129"/>
      <c r="Q185" s="133"/>
    </row>
    <row r="186" spans="1:17" s="128" customFormat="1" x14ac:dyDescent="0.25">
      <c r="A186" s="177">
        <f>Données!A186</f>
        <v>5715</v>
      </c>
      <c r="B186" s="356" t="str">
        <f>Données!B186</f>
        <v>Duillier</v>
      </c>
      <c r="C186" s="177">
        <f>Données!AR186</f>
        <v>0</v>
      </c>
      <c r="D186" s="357">
        <f>Données!Z186</f>
        <v>1146</v>
      </c>
      <c r="E186" s="130">
        <f>Données!X186</f>
        <v>66</v>
      </c>
      <c r="F186" s="31">
        <f>VPI!L186</f>
        <v>4359464.96</v>
      </c>
      <c r="G186" s="8">
        <f t="shared" si="13"/>
        <v>132104.99878787878</v>
      </c>
      <c r="H186" s="26">
        <f t="shared" si="14"/>
        <v>101378.09656561195</v>
      </c>
      <c r="I186" s="8">
        <f t="shared" si="15"/>
        <v>101378.09656561195</v>
      </c>
      <c r="J186" s="8">
        <f>VPI!R186</f>
        <v>70392.808484848487</v>
      </c>
      <c r="K186" s="238">
        <f t="shared" si="16"/>
        <v>86271.019847666714</v>
      </c>
      <c r="L186" s="345">
        <f t="shared" si="17"/>
        <v>187649.11641327868</v>
      </c>
      <c r="M186" s="131"/>
      <c r="N186" s="132"/>
      <c r="O186" s="129"/>
      <c r="P186" s="129"/>
      <c r="Q186" s="133"/>
    </row>
    <row r="187" spans="1:17" s="128" customFormat="1" x14ac:dyDescent="0.25">
      <c r="A187" s="177">
        <f>Données!A187</f>
        <v>5716</v>
      </c>
      <c r="B187" s="356" t="str">
        <f>Données!B187</f>
        <v>Eysins</v>
      </c>
      <c r="C187" s="177">
        <f>Données!AR187</f>
        <v>0</v>
      </c>
      <c r="D187" s="357">
        <f>Données!Z187</f>
        <v>1736</v>
      </c>
      <c r="E187" s="130">
        <f>Données!X187</f>
        <v>59.5</v>
      </c>
      <c r="F187" s="31">
        <f>VPI!L187</f>
        <v>11277315.890000001</v>
      </c>
      <c r="G187" s="8">
        <f t="shared" si="13"/>
        <v>379069.44168067229</v>
      </c>
      <c r="H187" s="26">
        <f t="shared" si="14"/>
        <v>153571.00841003694</v>
      </c>
      <c r="I187" s="8">
        <f t="shared" si="15"/>
        <v>153571.00841003694</v>
      </c>
      <c r="J187" s="8">
        <f>VPI!R187</f>
        <v>203469.72924369748</v>
      </c>
      <c r="K187" s="238">
        <f t="shared" si="16"/>
        <v>249365.54497268939</v>
      </c>
      <c r="L187" s="345">
        <f t="shared" si="17"/>
        <v>402936.55338272633</v>
      </c>
      <c r="M187" s="131"/>
      <c r="N187" s="132"/>
      <c r="O187" s="129"/>
      <c r="P187" s="129"/>
      <c r="Q187" s="133"/>
    </row>
    <row r="188" spans="1:17" s="128" customFormat="1" x14ac:dyDescent="0.25">
      <c r="A188" s="177">
        <f>Données!A188</f>
        <v>5717</v>
      </c>
      <c r="B188" s="356" t="str">
        <f>Données!B188</f>
        <v>Founex</v>
      </c>
      <c r="C188" s="177">
        <f>Données!AR188</f>
        <v>0</v>
      </c>
      <c r="D188" s="357">
        <f>Données!Z188</f>
        <v>3822</v>
      </c>
      <c r="E188" s="130">
        <f>Données!X188</f>
        <v>57</v>
      </c>
      <c r="F188" s="31">
        <f>VPI!L188</f>
        <v>20854010.530000001</v>
      </c>
      <c r="G188" s="8">
        <f t="shared" si="13"/>
        <v>731719.66771929828</v>
      </c>
      <c r="H188" s="26">
        <f t="shared" si="14"/>
        <v>338103.91367693618</v>
      </c>
      <c r="I188" s="8">
        <f t="shared" si="15"/>
        <v>338103.91367693618</v>
      </c>
      <c r="J188" s="8">
        <f>VPI!R188</f>
        <v>390717.85842105263</v>
      </c>
      <c r="K188" s="238">
        <f t="shared" si="16"/>
        <v>478850.45140563999</v>
      </c>
      <c r="L188" s="345">
        <f t="shared" si="17"/>
        <v>816954.36508257617</v>
      </c>
      <c r="M188" s="131"/>
      <c r="N188" s="132"/>
      <c r="O188" s="129"/>
      <c r="P188" s="129"/>
      <c r="Q188" s="133"/>
    </row>
    <row r="189" spans="1:17" s="128" customFormat="1" x14ac:dyDescent="0.25">
      <c r="A189" s="177">
        <f>Données!A189</f>
        <v>5718</v>
      </c>
      <c r="B189" s="356" t="str">
        <f>Données!B189</f>
        <v>Genolier</v>
      </c>
      <c r="C189" s="177">
        <f>Données!AR189</f>
        <v>0</v>
      </c>
      <c r="D189" s="357">
        <f>Données!Z189</f>
        <v>2022</v>
      </c>
      <c r="E189" s="130">
        <f>Données!X189</f>
        <v>55</v>
      </c>
      <c r="F189" s="31">
        <f>VPI!L189</f>
        <v>9822155.0999999996</v>
      </c>
      <c r="G189" s="8">
        <f t="shared" si="13"/>
        <v>357169.27636363637</v>
      </c>
      <c r="H189" s="26">
        <f t="shared" si="14"/>
        <v>178871.30127021583</v>
      </c>
      <c r="I189" s="8">
        <f t="shared" si="15"/>
        <v>178871.30127021583</v>
      </c>
      <c r="J189" s="8">
        <f>VPI!R189</f>
        <v>192258.25363636363</v>
      </c>
      <c r="K189" s="238">
        <f t="shared" si="16"/>
        <v>235625.14370925468</v>
      </c>
      <c r="L189" s="345">
        <f t="shared" si="17"/>
        <v>414496.44497947051</v>
      </c>
      <c r="M189" s="131"/>
      <c r="N189" s="132"/>
      <c r="O189" s="129"/>
      <c r="P189" s="129"/>
      <c r="Q189" s="133"/>
    </row>
    <row r="190" spans="1:17" s="128" customFormat="1" x14ac:dyDescent="0.25">
      <c r="A190" s="177">
        <f>Données!A190</f>
        <v>5719</v>
      </c>
      <c r="B190" s="356" t="str">
        <f>Données!B190</f>
        <v>Gingins</v>
      </c>
      <c r="C190" s="177">
        <f>Données!AR190</f>
        <v>0</v>
      </c>
      <c r="D190" s="357">
        <f>Données!Z190</f>
        <v>1265</v>
      </c>
      <c r="E190" s="130">
        <f>Données!X190</f>
        <v>60</v>
      </c>
      <c r="F190" s="31">
        <f>VPI!L190</f>
        <v>8640393.2200000007</v>
      </c>
      <c r="G190" s="8">
        <f t="shared" si="13"/>
        <v>288013.10733333335</v>
      </c>
      <c r="H190" s="26">
        <f t="shared" si="14"/>
        <v>111905.14149694513</v>
      </c>
      <c r="I190" s="8">
        <f t="shared" si="15"/>
        <v>111905.14149694513</v>
      </c>
      <c r="J190" s="8">
        <f>VPI!R190</f>
        <v>151290.43366666668</v>
      </c>
      <c r="K190" s="238">
        <f t="shared" si="16"/>
        <v>185416.38395388704</v>
      </c>
      <c r="L190" s="345">
        <f t="shared" si="17"/>
        <v>297321.52545083215</v>
      </c>
      <c r="M190" s="131"/>
      <c r="N190" s="132"/>
      <c r="O190" s="129"/>
      <c r="P190" s="129"/>
      <c r="Q190" s="133"/>
    </row>
    <row r="191" spans="1:17" s="128" customFormat="1" x14ac:dyDescent="0.25">
      <c r="A191" s="177">
        <f>Données!A191</f>
        <v>5720</v>
      </c>
      <c r="B191" s="356" t="str">
        <f>Données!B191</f>
        <v>Givrins</v>
      </c>
      <c r="C191" s="177">
        <f>Données!AR191</f>
        <v>0</v>
      </c>
      <c r="D191" s="357">
        <f>Données!Z191</f>
        <v>1010</v>
      </c>
      <c r="E191" s="130">
        <f>Données!X191</f>
        <v>67</v>
      </c>
      <c r="F191" s="31">
        <f>VPI!L191</f>
        <v>4689355.4600000009</v>
      </c>
      <c r="G191" s="8">
        <f t="shared" si="13"/>
        <v>139980.76000000004</v>
      </c>
      <c r="H191" s="26">
        <f t="shared" si="14"/>
        <v>89347.188072659745</v>
      </c>
      <c r="I191" s="8">
        <f t="shared" si="15"/>
        <v>89347.188072659745</v>
      </c>
      <c r="J191" s="8">
        <f>VPI!R191</f>
        <v>74789.584809286913</v>
      </c>
      <c r="K191" s="238">
        <f t="shared" si="16"/>
        <v>91659.558616268667</v>
      </c>
      <c r="L191" s="345">
        <f t="shared" si="17"/>
        <v>181006.7466889284</v>
      </c>
      <c r="M191" s="131"/>
      <c r="N191" s="132"/>
      <c r="O191" s="129"/>
      <c r="P191" s="129"/>
      <c r="Q191" s="133"/>
    </row>
    <row r="192" spans="1:17" s="128" customFormat="1" x14ac:dyDescent="0.25">
      <c r="A192" s="177">
        <f>Données!A192</f>
        <v>5721</v>
      </c>
      <c r="B192" s="356" t="str">
        <f>Données!B192</f>
        <v>Gland</v>
      </c>
      <c r="C192" s="177">
        <f>Données!AR192</f>
        <v>0</v>
      </c>
      <c r="D192" s="357">
        <f>Données!Z192</f>
        <v>13306</v>
      </c>
      <c r="E192" s="130">
        <f>Données!X192</f>
        <v>61</v>
      </c>
      <c r="F192" s="31">
        <f>VPI!L192</f>
        <v>40549531.350000001</v>
      </c>
      <c r="G192" s="8">
        <f t="shared" si="13"/>
        <v>1329492.8311475411</v>
      </c>
      <c r="H192" s="26">
        <f t="shared" si="14"/>
        <v>1177082.855935456</v>
      </c>
      <c r="I192" s="8">
        <f t="shared" si="15"/>
        <v>1177082.855935456</v>
      </c>
      <c r="J192" s="8">
        <f>VPI!R192</f>
        <v>722641.89508196723</v>
      </c>
      <c r="K192" s="238">
        <f t="shared" si="16"/>
        <v>885645.20460624527</v>
      </c>
      <c r="L192" s="345">
        <f t="shared" si="17"/>
        <v>2062728.0605417013</v>
      </c>
      <c r="M192" s="131"/>
      <c r="N192" s="132"/>
      <c r="O192" s="129"/>
      <c r="P192" s="129"/>
      <c r="Q192" s="133"/>
    </row>
    <row r="193" spans="1:17" s="128" customFormat="1" x14ac:dyDescent="0.25">
      <c r="A193" s="177">
        <f>Données!A193</f>
        <v>5722</v>
      </c>
      <c r="B193" s="356" t="str">
        <f>Données!B193</f>
        <v>Grens</v>
      </c>
      <c r="C193" s="177">
        <f>Données!AR193</f>
        <v>0</v>
      </c>
      <c r="D193" s="357">
        <f>Données!Z193</f>
        <v>401</v>
      </c>
      <c r="E193" s="130">
        <f>Données!X193</f>
        <v>62</v>
      </c>
      <c r="F193" s="31">
        <f>VPI!L193</f>
        <v>1288663.9700000002</v>
      </c>
      <c r="G193" s="8">
        <f t="shared" si="13"/>
        <v>41569.805483870972</v>
      </c>
      <c r="H193" s="26">
        <f t="shared" si="14"/>
        <v>35473.487541719362</v>
      </c>
      <c r="I193" s="8">
        <f t="shared" si="15"/>
        <v>35473.487541719362</v>
      </c>
      <c r="J193" s="8">
        <f>VPI!R193</f>
        <v>22316.235806451619</v>
      </c>
      <c r="K193" s="238">
        <f t="shared" si="16"/>
        <v>27350.015770403483</v>
      </c>
      <c r="L193" s="345">
        <f t="shared" si="17"/>
        <v>62823.503312122848</v>
      </c>
      <c r="M193" s="131"/>
      <c r="N193" s="132"/>
      <c r="O193" s="129"/>
      <c r="P193" s="129"/>
      <c r="Q193" s="133"/>
    </row>
    <row r="194" spans="1:17" s="128" customFormat="1" x14ac:dyDescent="0.25">
      <c r="A194" s="177">
        <f>Données!A194</f>
        <v>5723</v>
      </c>
      <c r="B194" s="356" t="str">
        <f>Données!B194</f>
        <v>Mies</v>
      </c>
      <c r="C194" s="177">
        <f>Données!AR194</f>
        <v>0</v>
      </c>
      <c r="D194" s="357">
        <f>Données!Z194</f>
        <v>2195</v>
      </c>
      <c r="E194" s="130">
        <f>Données!X194</f>
        <v>52</v>
      </c>
      <c r="F194" s="31">
        <f>VPI!L194</f>
        <v>11860708.149999999</v>
      </c>
      <c r="G194" s="8">
        <f t="shared" si="13"/>
        <v>456181.08269230765</v>
      </c>
      <c r="H194" s="26">
        <f t="shared" si="14"/>
        <v>194175.32457375064</v>
      </c>
      <c r="I194" s="8">
        <f t="shared" si="15"/>
        <v>194175.32457375064</v>
      </c>
      <c r="J194" s="8">
        <f>VPI!R194</f>
        <v>245963.39999999997</v>
      </c>
      <c r="K194" s="238">
        <f t="shared" si="16"/>
        <v>301444.33529409359</v>
      </c>
      <c r="L194" s="345">
        <f t="shared" si="17"/>
        <v>495619.6598678442</v>
      </c>
      <c r="M194" s="131"/>
      <c r="N194" s="132"/>
      <c r="O194" s="129"/>
      <c r="P194" s="129"/>
      <c r="Q194" s="133"/>
    </row>
    <row r="195" spans="1:17" s="128" customFormat="1" x14ac:dyDescent="0.25">
      <c r="A195" s="177">
        <f>Données!A195</f>
        <v>5724</v>
      </c>
      <c r="B195" s="356" t="str">
        <f>Données!B195</f>
        <v>Nyon</v>
      </c>
      <c r="C195" s="177">
        <f>Données!AR195</f>
        <v>1</v>
      </c>
      <c r="D195" s="357">
        <f>Données!Z195</f>
        <v>22124</v>
      </c>
      <c r="E195" s="130">
        <f>Données!X195</f>
        <v>61</v>
      </c>
      <c r="F195" s="31">
        <f>VPI!L195</f>
        <v>82650567.769999981</v>
      </c>
      <c r="G195" s="8">
        <f t="shared" si="13"/>
        <v>2709854.6809836058</v>
      </c>
      <c r="H195" s="26">
        <f t="shared" si="14"/>
        <v>1957145.7316034893</v>
      </c>
      <c r="I195" s="8">
        <f t="shared" si="15"/>
        <v>0</v>
      </c>
      <c r="J195" s="8">
        <f>VPI!R195</f>
        <v>1461398.290765027</v>
      </c>
      <c r="K195" s="238">
        <f t="shared" si="16"/>
        <v>1791039.7903085912</v>
      </c>
      <c r="L195" s="345">
        <f t="shared" si="17"/>
        <v>1791039.7903085912</v>
      </c>
      <c r="M195" s="131"/>
      <c r="N195" s="132"/>
      <c r="O195" s="129"/>
      <c r="P195" s="129"/>
      <c r="Q195" s="133"/>
    </row>
    <row r="196" spans="1:17" s="128" customFormat="1" x14ac:dyDescent="0.25">
      <c r="A196" s="177">
        <f>Données!A196</f>
        <v>5725</v>
      </c>
      <c r="B196" s="356" t="str">
        <f>Données!B196</f>
        <v>Prangins</v>
      </c>
      <c r="C196" s="177">
        <f>Données!AR196</f>
        <v>1</v>
      </c>
      <c r="D196" s="357">
        <f>Données!Z196</f>
        <v>4060</v>
      </c>
      <c r="E196" s="130">
        <f>Données!X196</f>
        <v>55</v>
      </c>
      <c r="F196" s="31">
        <f>VPI!L196</f>
        <v>18254655.180000003</v>
      </c>
      <c r="G196" s="8">
        <f t="shared" si="13"/>
        <v>663805.64290909108</v>
      </c>
      <c r="H196" s="26">
        <f t="shared" si="14"/>
        <v>359158.00353960251</v>
      </c>
      <c r="I196" s="8">
        <f t="shared" si="15"/>
        <v>0</v>
      </c>
      <c r="J196" s="8">
        <f>VPI!R196</f>
        <v>354965.57820779225</v>
      </c>
      <c r="K196" s="238">
        <f t="shared" si="16"/>
        <v>435033.67889341072</v>
      </c>
      <c r="L196" s="345">
        <f t="shared" si="17"/>
        <v>435033.67889341072</v>
      </c>
      <c r="M196" s="131"/>
      <c r="N196" s="132"/>
      <c r="O196" s="129"/>
      <c r="P196" s="129"/>
      <c r="Q196" s="133"/>
    </row>
    <row r="197" spans="1:17" s="128" customFormat="1" x14ac:dyDescent="0.25">
      <c r="A197" s="177">
        <f>Données!A197</f>
        <v>5726</v>
      </c>
      <c r="B197" s="356" t="str">
        <f>Données!B197</f>
        <v>La Rippe</v>
      </c>
      <c r="C197" s="177">
        <f>Données!AR197</f>
        <v>0</v>
      </c>
      <c r="D197" s="357">
        <f>Données!Z197</f>
        <v>1165</v>
      </c>
      <c r="E197" s="130">
        <f>Données!X197</f>
        <v>64</v>
      </c>
      <c r="F197" s="31">
        <f>VPI!L197</f>
        <v>4223005.79</v>
      </c>
      <c r="G197" s="8">
        <f t="shared" si="13"/>
        <v>131968.9309375</v>
      </c>
      <c r="H197" s="26">
        <f t="shared" si="14"/>
        <v>103058.88525212732</v>
      </c>
      <c r="I197" s="8">
        <f t="shared" si="15"/>
        <v>103058.88525212732</v>
      </c>
      <c r="J197" s="8">
        <f>VPI!R197</f>
        <v>70364.194375000006</v>
      </c>
      <c r="K197" s="238">
        <f t="shared" si="16"/>
        <v>86235.951372750089</v>
      </c>
      <c r="L197" s="345">
        <f t="shared" si="17"/>
        <v>189294.83662487741</v>
      </c>
      <c r="M197" s="131"/>
      <c r="N197" s="132"/>
      <c r="O197" s="129"/>
      <c r="P197" s="129"/>
      <c r="Q197" s="133"/>
    </row>
    <row r="198" spans="1:17" s="128" customFormat="1" x14ac:dyDescent="0.25">
      <c r="A198" s="177">
        <f>Données!A198</f>
        <v>5727</v>
      </c>
      <c r="B198" s="356" t="str">
        <f>Données!B198</f>
        <v>Saint-Cergue</v>
      </c>
      <c r="C198" s="177">
        <f>Données!AR198</f>
        <v>0</v>
      </c>
      <c r="D198" s="357">
        <f>Données!Z198</f>
        <v>2755</v>
      </c>
      <c r="E198" s="130">
        <f>Données!X198</f>
        <v>66</v>
      </c>
      <c r="F198" s="31">
        <f>VPI!L198</f>
        <v>6459852.3200000003</v>
      </c>
      <c r="G198" s="8">
        <f t="shared" si="13"/>
        <v>195753.10060606062</v>
      </c>
      <c r="H198" s="26">
        <f t="shared" si="14"/>
        <v>243714.35954473028</v>
      </c>
      <c r="I198" s="8">
        <f t="shared" si="15"/>
        <v>195753.10060606062</v>
      </c>
      <c r="J198" s="8">
        <f>VPI!R198</f>
        <v>106171.3535858586</v>
      </c>
      <c r="K198" s="238">
        <f t="shared" si="16"/>
        <v>130119.98170851162</v>
      </c>
      <c r="L198" s="345">
        <f t="shared" si="17"/>
        <v>325873.08231457224</v>
      </c>
      <c r="M198" s="131"/>
      <c r="N198" s="132"/>
      <c r="O198" s="129"/>
      <c r="P198" s="129"/>
      <c r="Q198" s="133"/>
    </row>
    <row r="199" spans="1:17" s="128" customFormat="1" x14ac:dyDescent="0.25">
      <c r="A199" s="177">
        <f>Données!A199</f>
        <v>5728</v>
      </c>
      <c r="B199" s="356" t="str">
        <f>Données!B199</f>
        <v>Signy-Avenex</v>
      </c>
      <c r="C199" s="177">
        <f>Données!AR199</f>
        <v>0</v>
      </c>
      <c r="D199" s="357">
        <f>Données!Z199</f>
        <v>584</v>
      </c>
      <c r="E199" s="130">
        <f>Données!X199</f>
        <v>58</v>
      </c>
      <c r="F199" s="31">
        <f>VPI!L199</f>
        <v>2976319.4400000004</v>
      </c>
      <c r="G199" s="8">
        <f t="shared" ref="G199:G262" si="18">F199/E199*2</f>
        <v>102631.70482758622</v>
      </c>
      <c r="H199" s="26">
        <f t="shared" ref="H199:H262" si="19">+$G$306/$D$306*D199</f>
        <v>51662.136469735931</v>
      </c>
      <c r="I199" s="8">
        <f t="shared" ref="I199:I262" si="20">IF(C199=1,0,IF(H199&gt;G199,G199,H199))</f>
        <v>51662.136469735931</v>
      </c>
      <c r="J199" s="8">
        <f>VPI!R199</f>
        <v>56428.273965517248</v>
      </c>
      <c r="K199" s="238">
        <f t="shared" ref="K199:K262" si="21">+$K$5*J199</f>
        <v>69156.563689265779</v>
      </c>
      <c r="L199" s="345">
        <f t="shared" ref="L199:L262" si="22">+K199+I199</f>
        <v>120818.70015900172</v>
      </c>
      <c r="M199" s="131"/>
      <c r="N199" s="132"/>
      <c r="O199" s="129"/>
      <c r="P199" s="129"/>
      <c r="Q199" s="133"/>
    </row>
    <row r="200" spans="1:17" s="128" customFormat="1" x14ac:dyDescent="0.25">
      <c r="A200" s="177">
        <f>Données!A200</f>
        <v>5729</v>
      </c>
      <c r="B200" s="356" t="str">
        <f>Données!B200</f>
        <v>Tannay</v>
      </c>
      <c r="C200" s="177">
        <f>Données!AR200</f>
        <v>0</v>
      </c>
      <c r="D200" s="357">
        <f>Données!Z200</f>
        <v>1644</v>
      </c>
      <c r="E200" s="130">
        <f>Données!X200</f>
        <v>60.5</v>
      </c>
      <c r="F200" s="31">
        <f>VPI!L200</f>
        <v>9175722.7599999979</v>
      </c>
      <c r="G200" s="8">
        <f t="shared" si="18"/>
        <v>303329.67801652884</v>
      </c>
      <c r="H200" s="26">
        <f t="shared" si="19"/>
        <v>145432.45266480456</v>
      </c>
      <c r="I200" s="8">
        <f t="shared" si="20"/>
        <v>145432.45266480456</v>
      </c>
      <c r="J200" s="8">
        <f>VPI!R200</f>
        <v>161668.92523415975</v>
      </c>
      <c r="K200" s="238">
        <f t="shared" si="21"/>
        <v>198135.90845191522</v>
      </c>
      <c r="L200" s="345">
        <f t="shared" si="22"/>
        <v>343568.36111671978</v>
      </c>
      <c r="M200" s="131"/>
      <c r="N200" s="132"/>
      <c r="O200" s="129"/>
      <c r="P200" s="129"/>
      <c r="Q200" s="133"/>
    </row>
    <row r="201" spans="1:17" s="128" customFormat="1" x14ac:dyDescent="0.25">
      <c r="A201" s="177">
        <f>Données!A201</f>
        <v>5730</v>
      </c>
      <c r="B201" s="356" t="str">
        <f>Données!B201</f>
        <v>Trélex</v>
      </c>
      <c r="C201" s="177">
        <f>Données!AR201</f>
        <v>0</v>
      </c>
      <c r="D201" s="357">
        <f>Données!Z201</f>
        <v>1439</v>
      </c>
      <c r="E201" s="130">
        <f>Données!X201</f>
        <v>55.5</v>
      </c>
      <c r="F201" s="31">
        <f>VPI!L201</f>
        <v>6473241.620000001</v>
      </c>
      <c r="G201" s="8">
        <f t="shared" si="18"/>
        <v>233269.96828828834</v>
      </c>
      <c r="H201" s="26">
        <f t="shared" si="19"/>
        <v>127297.62736292809</v>
      </c>
      <c r="I201" s="8">
        <f t="shared" si="20"/>
        <v>127297.62736292809</v>
      </c>
      <c r="J201" s="8">
        <f>VPI!R201</f>
        <v>125084.29905905908</v>
      </c>
      <c r="K201" s="238">
        <f t="shared" si="21"/>
        <v>153299.04118086546</v>
      </c>
      <c r="L201" s="345">
        <f t="shared" si="22"/>
        <v>280596.66854379355</v>
      </c>
      <c r="M201" s="131"/>
      <c r="N201" s="132"/>
      <c r="O201" s="129"/>
      <c r="P201" s="129"/>
      <c r="Q201" s="133"/>
    </row>
    <row r="202" spans="1:17" s="128" customFormat="1" x14ac:dyDescent="0.25">
      <c r="A202" s="177">
        <f>Données!A202</f>
        <v>5731</v>
      </c>
      <c r="B202" s="356" t="str">
        <f>Données!B202</f>
        <v>Le Vaud</v>
      </c>
      <c r="C202" s="177">
        <f>Données!AR202</f>
        <v>0</v>
      </c>
      <c r="D202" s="357">
        <f>Données!Z202</f>
        <v>1387</v>
      </c>
      <c r="E202" s="130">
        <f>Données!X202</f>
        <v>74</v>
      </c>
      <c r="F202" s="31">
        <f>VPI!L202</f>
        <v>4861815.8</v>
      </c>
      <c r="G202" s="8">
        <f t="shared" si="18"/>
        <v>131400.42702702704</v>
      </c>
      <c r="H202" s="26">
        <f t="shared" si="19"/>
        <v>122697.57411562283</v>
      </c>
      <c r="I202" s="8">
        <f t="shared" si="20"/>
        <v>122697.57411562283</v>
      </c>
      <c r="J202" s="8">
        <f>VPI!R202</f>
        <v>69594.777477477473</v>
      </c>
      <c r="K202" s="238">
        <f t="shared" si="21"/>
        <v>85292.980324058604</v>
      </c>
      <c r="L202" s="345">
        <f t="shared" si="22"/>
        <v>207990.55443968144</v>
      </c>
      <c r="M202" s="131"/>
      <c r="N202" s="132"/>
      <c r="O202" s="129"/>
      <c r="P202" s="129"/>
      <c r="Q202" s="133"/>
    </row>
    <row r="203" spans="1:17" s="128" customFormat="1" x14ac:dyDescent="0.25">
      <c r="A203" s="177">
        <f>Données!A203</f>
        <v>5732</v>
      </c>
      <c r="B203" s="356" t="str">
        <f>Données!B203</f>
        <v>Vich</v>
      </c>
      <c r="C203" s="177">
        <f>Données!AR203</f>
        <v>0</v>
      </c>
      <c r="D203" s="357">
        <f>Données!Z203</f>
        <v>1157</v>
      </c>
      <c r="E203" s="130">
        <f>Données!X203</f>
        <v>63</v>
      </c>
      <c r="F203" s="31">
        <f>VPI!L203</f>
        <v>5064012.5899999989</v>
      </c>
      <c r="G203" s="8">
        <f t="shared" si="18"/>
        <v>160762.30444444442</v>
      </c>
      <c r="H203" s="26">
        <f t="shared" si="19"/>
        <v>102351.1847525419</v>
      </c>
      <c r="I203" s="8">
        <f t="shared" si="20"/>
        <v>102351.1847525419</v>
      </c>
      <c r="J203" s="8">
        <f>VPI!R203</f>
        <v>86531.798253968242</v>
      </c>
      <c r="K203" s="238">
        <f t="shared" si="21"/>
        <v>106050.41403099026</v>
      </c>
      <c r="L203" s="345">
        <f t="shared" si="22"/>
        <v>208401.59878353216</v>
      </c>
      <c r="M203" s="131"/>
      <c r="N203" s="132"/>
      <c r="O203" s="129"/>
      <c r="P203" s="129"/>
      <c r="Q203" s="133"/>
    </row>
    <row r="204" spans="1:17" s="128" customFormat="1" x14ac:dyDescent="0.25">
      <c r="A204" s="177">
        <f>Données!A204</f>
        <v>5741</v>
      </c>
      <c r="B204" s="356" t="str">
        <f>Données!B204</f>
        <v>L'Abergement</v>
      </c>
      <c r="C204" s="177">
        <f>Données!AR204</f>
        <v>0</v>
      </c>
      <c r="D204" s="357">
        <f>Données!Z204</f>
        <v>254</v>
      </c>
      <c r="E204" s="130">
        <f>Données!X204</f>
        <v>81</v>
      </c>
      <c r="F204" s="31">
        <f>VPI!L204</f>
        <v>685063.43</v>
      </c>
      <c r="G204" s="8">
        <f t="shared" si="18"/>
        <v>16915.146419753088</v>
      </c>
      <c r="H204" s="26">
        <f t="shared" si="19"/>
        <v>22469.490861837203</v>
      </c>
      <c r="I204" s="8">
        <f t="shared" si="20"/>
        <v>16915.146419753088</v>
      </c>
      <c r="J204" s="8">
        <f>VPI!R204</f>
        <v>8987.1447119341574</v>
      </c>
      <c r="K204" s="238">
        <f t="shared" si="21"/>
        <v>11014.337352145973</v>
      </c>
      <c r="L204" s="345">
        <f t="shared" si="22"/>
        <v>27929.48377189906</v>
      </c>
      <c r="M204" s="131"/>
      <c r="N204" s="132"/>
      <c r="O204" s="129"/>
      <c r="P204" s="129"/>
      <c r="Q204" s="133"/>
    </row>
    <row r="205" spans="1:17" s="128" customFormat="1" x14ac:dyDescent="0.25">
      <c r="A205" s="177">
        <f>Données!A205</f>
        <v>5742</v>
      </c>
      <c r="B205" s="356" t="str">
        <f>Données!B205</f>
        <v>Agiez</v>
      </c>
      <c r="C205" s="177">
        <f>Données!AR205</f>
        <v>0</v>
      </c>
      <c r="D205" s="357">
        <f>Données!Z205</f>
        <v>375</v>
      </c>
      <c r="E205" s="130">
        <f>Données!X205</f>
        <v>76</v>
      </c>
      <c r="F205" s="31">
        <f>VPI!L205</f>
        <v>711822.07</v>
      </c>
      <c r="G205" s="8">
        <f t="shared" si="18"/>
        <v>18732.159736842103</v>
      </c>
      <c r="H205" s="26">
        <f t="shared" si="19"/>
        <v>33173.460918066739</v>
      </c>
      <c r="I205" s="8">
        <f t="shared" si="20"/>
        <v>18732.159736842103</v>
      </c>
      <c r="J205" s="8">
        <f>VPI!R205</f>
        <v>10159.753552631579</v>
      </c>
      <c r="K205" s="238">
        <f t="shared" si="21"/>
        <v>12451.446664116826</v>
      </c>
      <c r="L205" s="345">
        <f t="shared" si="22"/>
        <v>31183.606400958928</v>
      </c>
      <c r="M205" s="131"/>
      <c r="N205" s="132"/>
      <c r="O205" s="129"/>
      <c r="P205" s="129"/>
      <c r="Q205" s="133"/>
    </row>
    <row r="206" spans="1:17" s="128" customFormat="1" x14ac:dyDescent="0.25">
      <c r="A206" s="177">
        <f>Données!A206</f>
        <v>5743</v>
      </c>
      <c r="B206" s="356" t="str">
        <f>Données!B206</f>
        <v>Arnex-sur-Orbe</v>
      </c>
      <c r="C206" s="177">
        <f>Données!AR206</f>
        <v>0</v>
      </c>
      <c r="D206" s="357">
        <f>Données!Z206</f>
        <v>665</v>
      </c>
      <c r="E206" s="130">
        <f>Données!X206</f>
        <v>71</v>
      </c>
      <c r="F206" s="31">
        <f>VPI!L206</f>
        <v>1228135.9500000002</v>
      </c>
      <c r="G206" s="8">
        <f t="shared" si="18"/>
        <v>34595.378873239439</v>
      </c>
      <c r="H206" s="26">
        <f t="shared" si="19"/>
        <v>58827.604028038346</v>
      </c>
      <c r="I206" s="8">
        <f t="shared" si="20"/>
        <v>34595.378873239439</v>
      </c>
      <c r="J206" s="8">
        <f>VPI!R206</f>
        <v>18533.004577464792</v>
      </c>
      <c r="K206" s="238">
        <f t="shared" si="21"/>
        <v>22713.416898027383</v>
      </c>
      <c r="L206" s="345">
        <f t="shared" si="22"/>
        <v>57308.795771266821</v>
      </c>
      <c r="M206" s="131"/>
      <c r="N206" s="132"/>
      <c r="O206" s="129"/>
      <c r="P206" s="129"/>
      <c r="Q206" s="133"/>
    </row>
    <row r="207" spans="1:17" s="128" customFormat="1" x14ac:dyDescent="0.25">
      <c r="A207" s="177">
        <f>Données!A207</f>
        <v>5744</v>
      </c>
      <c r="B207" s="356" t="str">
        <f>Données!B207</f>
        <v>Ballaigues</v>
      </c>
      <c r="C207" s="177">
        <f>Données!AR207</f>
        <v>0</v>
      </c>
      <c r="D207" s="357">
        <f>Données!Z207</f>
        <v>1173</v>
      </c>
      <c r="E207" s="130">
        <f>Données!X207</f>
        <v>65</v>
      </c>
      <c r="F207" s="31">
        <f>VPI!L207</f>
        <v>3005796.96</v>
      </c>
      <c r="G207" s="8">
        <f t="shared" si="18"/>
        <v>92486.0603076923</v>
      </c>
      <c r="H207" s="26">
        <f t="shared" si="19"/>
        <v>103766.58575171274</v>
      </c>
      <c r="I207" s="8">
        <f t="shared" si="20"/>
        <v>92486.0603076923</v>
      </c>
      <c r="J207" s="8">
        <f>VPI!R207</f>
        <v>49180.794769230772</v>
      </c>
      <c r="K207" s="238">
        <f t="shared" si="21"/>
        <v>60274.300926259792</v>
      </c>
      <c r="L207" s="345">
        <f t="shared" si="22"/>
        <v>152760.36123395211</v>
      </c>
      <c r="M207" s="131"/>
      <c r="N207" s="132"/>
      <c r="O207" s="129"/>
      <c r="P207" s="129"/>
      <c r="Q207" s="133"/>
    </row>
    <row r="208" spans="1:17" s="128" customFormat="1" x14ac:dyDescent="0.25">
      <c r="A208" s="177">
        <f>Données!A208</f>
        <v>5745</v>
      </c>
      <c r="B208" s="356" t="str">
        <f>Données!B208</f>
        <v>Baulmes</v>
      </c>
      <c r="C208" s="177">
        <f>Données!AR208</f>
        <v>0</v>
      </c>
      <c r="D208" s="357">
        <f>Données!Z208</f>
        <v>1126</v>
      </c>
      <c r="E208" s="130">
        <f>Données!X208</f>
        <v>76.5</v>
      </c>
      <c r="F208" s="31">
        <f>VPI!L208</f>
        <v>2032156.69</v>
      </c>
      <c r="G208" s="8">
        <f t="shared" si="18"/>
        <v>53128.279477124182</v>
      </c>
      <c r="H208" s="26">
        <f t="shared" si="19"/>
        <v>99608.845316648381</v>
      </c>
      <c r="I208" s="8">
        <f t="shared" si="20"/>
        <v>53128.279477124182</v>
      </c>
      <c r="J208" s="8">
        <f>VPI!R208</f>
        <v>28469.206405228757</v>
      </c>
      <c r="K208" s="238">
        <f t="shared" si="21"/>
        <v>34890.886209795994</v>
      </c>
      <c r="L208" s="345">
        <f t="shared" si="22"/>
        <v>88019.165686920169</v>
      </c>
      <c r="M208" s="131"/>
      <c r="N208" s="132"/>
      <c r="O208" s="129"/>
      <c r="P208" s="129"/>
      <c r="Q208" s="133"/>
    </row>
    <row r="209" spans="1:17" s="128" customFormat="1" x14ac:dyDescent="0.25">
      <c r="A209" s="177">
        <f>Données!A209</f>
        <v>5746</v>
      </c>
      <c r="B209" s="356" t="str">
        <f>Données!B209</f>
        <v>Bavois</v>
      </c>
      <c r="C209" s="177">
        <f>Données!AR209</f>
        <v>0</v>
      </c>
      <c r="D209" s="357">
        <f>Données!Z209</f>
        <v>978</v>
      </c>
      <c r="E209" s="130">
        <f>Données!X209</f>
        <v>73</v>
      </c>
      <c r="F209" s="31">
        <f>VPI!L209</f>
        <v>1801475.81</v>
      </c>
      <c r="G209" s="8">
        <f t="shared" si="18"/>
        <v>49355.501643835618</v>
      </c>
      <c r="H209" s="26">
        <f t="shared" si="19"/>
        <v>86516.386074318041</v>
      </c>
      <c r="I209" s="8">
        <f t="shared" si="20"/>
        <v>49355.501643835618</v>
      </c>
      <c r="J209" s="8">
        <f>VPI!R209</f>
        <v>27466.739977168949</v>
      </c>
      <c r="K209" s="238">
        <f t="shared" si="21"/>
        <v>33662.297622790233</v>
      </c>
      <c r="L209" s="345">
        <f t="shared" si="22"/>
        <v>83017.799266625851</v>
      </c>
      <c r="M209" s="131"/>
      <c r="N209" s="132"/>
      <c r="O209" s="129"/>
      <c r="P209" s="129"/>
      <c r="Q209" s="133"/>
    </row>
    <row r="210" spans="1:17" s="128" customFormat="1" x14ac:dyDescent="0.25">
      <c r="A210" s="177">
        <f>Données!A210</f>
        <v>5747</v>
      </c>
      <c r="B210" s="356" t="str">
        <f>Données!B210</f>
        <v>Bofflens</v>
      </c>
      <c r="C210" s="177">
        <f>Données!AR210</f>
        <v>0</v>
      </c>
      <c r="D210" s="357">
        <f>Données!Z210</f>
        <v>206</v>
      </c>
      <c r="E210" s="130">
        <f>Données!X210</f>
        <v>69</v>
      </c>
      <c r="F210" s="31">
        <f>VPI!L210</f>
        <v>368223.45999999996</v>
      </c>
      <c r="G210" s="8">
        <f t="shared" si="18"/>
        <v>10673.14376811594</v>
      </c>
      <c r="H210" s="26">
        <f t="shared" si="19"/>
        <v>18223.287864324659</v>
      </c>
      <c r="I210" s="8">
        <f t="shared" si="20"/>
        <v>10673.14376811594</v>
      </c>
      <c r="J210" s="8">
        <f>VPI!R210</f>
        <v>5807.8631884057959</v>
      </c>
      <c r="K210" s="238">
        <f t="shared" si="21"/>
        <v>7117.9185940185425</v>
      </c>
      <c r="L210" s="345">
        <f t="shared" si="22"/>
        <v>17791.062362134482</v>
      </c>
      <c r="M210" s="131"/>
      <c r="N210" s="132"/>
      <c r="O210" s="129"/>
      <c r="P210" s="129"/>
      <c r="Q210" s="133"/>
    </row>
    <row r="211" spans="1:17" s="128" customFormat="1" x14ac:dyDescent="0.25">
      <c r="A211" s="177">
        <f>Données!A211</f>
        <v>5748</v>
      </c>
      <c r="B211" s="356" t="str">
        <f>Données!B211</f>
        <v>Bretonnières</v>
      </c>
      <c r="C211" s="177">
        <f>Données!AR211</f>
        <v>0</v>
      </c>
      <c r="D211" s="357">
        <f>Données!Z211</f>
        <v>266</v>
      </c>
      <c r="E211" s="130">
        <f>Données!X211</f>
        <v>70.5</v>
      </c>
      <c r="F211" s="31">
        <f>VPI!L211</f>
        <v>429249.71</v>
      </c>
      <c r="G211" s="8">
        <f t="shared" si="18"/>
        <v>12177.296737588653</v>
      </c>
      <c r="H211" s="26">
        <f t="shared" si="19"/>
        <v>23531.04161121534</v>
      </c>
      <c r="I211" s="8">
        <f t="shared" si="20"/>
        <v>12177.296737588653</v>
      </c>
      <c r="J211" s="8">
        <f>VPI!R211</f>
        <v>6643.1211820330973</v>
      </c>
      <c r="K211" s="238">
        <f t="shared" si="21"/>
        <v>8141.5822394554662</v>
      </c>
      <c r="L211" s="345">
        <f t="shared" si="22"/>
        <v>20318.878977044118</v>
      </c>
      <c r="M211" s="131"/>
      <c r="N211" s="132"/>
      <c r="O211" s="129"/>
      <c r="P211" s="129"/>
      <c r="Q211" s="133"/>
    </row>
    <row r="212" spans="1:17" s="128" customFormat="1" x14ac:dyDescent="0.25">
      <c r="A212" s="177">
        <f>Données!A212</f>
        <v>5749</v>
      </c>
      <c r="B212" s="356" t="str">
        <f>Données!B212</f>
        <v>Chavornay</v>
      </c>
      <c r="C212" s="177">
        <f>Données!AR212</f>
        <v>0</v>
      </c>
      <c r="D212" s="357">
        <f>Données!Z212</f>
        <v>5366</v>
      </c>
      <c r="E212" s="130">
        <f>Données!X212</f>
        <v>70.5</v>
      </c>
      <c r="F212" s="31">
        <f>VPI!L212</f>
        <v>9858441.8899999987</v>
      </c>
      <c r="G212" s="8">
        <f t="shared" si="18"/>
        <v>279672.1103546099</v>
      </c>
      <c r="H212" s="26">
        <f t="shared" si="19"/>
        <v>474690.11009692296</v>
      </c>
      <c r="I212" s="8">
        <f t="shared" si="20"/>
        <v>279672.1103546099</v>
      </c>
      <c r="J212" s="8">
        <f>VPI!R212</f>
        <v>153319.43815602834</v>
      </c>
      <c r="K212" s="238">
        <f t="shared" si="21"/>
        <v>187903.06249876143</v>
      </c>
      <c r="L212" s="345">
        <f t="shared" si="22"/>
        <v>467575.17285337136</v>
      </c>
      <c r="M212" s="131"/>
      <c r="N212" s="132"/>
      <c r="O212" s="129"/>
      <c r="P212" s="129"/>
      <c r="Q212" s="133"/>
    </row>
    <row r="213" spans="1:17" s="128" customFormat="1" x14ac:dyDescent="0.25">
      <c r="A213" s="177">
        <f>Données!A213</f>
        <v>5750</v>
      </c>
      <c r="B213" s="356" t="str">
        <f>Données!B213</f>
        <v>Les Clées</v>
      </c>
      <c r="C213" s="177">
        <f>Données!AR213</f>
        <v>0</v>
      </c>
      <c r="D213" s="357">
        <f>Données!Z213</f>
        <v>182</v>
      </c>
      <c r="E213" s="130">
        <f>Données!X213</f>
        <v>80</v>
      </c>
      <c r="F213" s="31">
        <f>VPI!L213</f>
        <v>362150.35</v>
      </c>
      <c r="G213" s="8">
        <f t="shared" si="18"/>
        <v>9053.7587499999991</v>
      </c>
      <c r="H213" s="26">
        <f t="shared" si="19"/>
        <v>16100.186365568388</v>
      </c>
      <c r="I213" s="8">
        <f t="shared" si="20"/>
        <v>9053.7587499999991</v>
      </c>
      <c r="J213" s="8">
        <f>VPI!R213</f>
        <v>4819.7572916666668</v>
      </c>
      <c r="K213" s="238">
        <f t="shared" si="21"/>
        <v>5906.9297833145883</v>
      </c>
      <c r="L213" s="345">
        <f t="shared" si="22"/>
        <v>14960.688533314587</v>
      </c>
      <c r="M213" s="131"/>
      <c r="N213" s="132"/>
      <c r="O213" s="129"/>
      <c r="P213" s="129"/>
      <c r="Q213" s="133"/>
    </row>
    <row r="214" spans="1:17" s="128" customFormat="1" x14ac:dyDescent="0.25">
      <c r="A214" s="177">
        <f>Données!A214</f>
        <v>5752</v>
      </c>
      <c r="B214" s="356" t="str">
        <f>Données!B214</f>
        <v>Croy</v>
      </c>
      <c r="C214" s="177">
        <f>Données!AR214</f>
        <v>0</v>
      </c>
      <c r="D214" s="357">
        <f>Données!Z214</f>
        <v>390</v>
      </c>
      <c r="E214" s="130">
        <f>Données!X214</f>
        <v>74</v>
      </c>
      <c r="F214" s="31">
        <f>VPI!L214</f>
        <v>653356.14</v>
      </c>
      <c r="G214" s="8">
        <f t="shared" si="18"/>
        <v>17658.274054054054</v>
      </c>
      <c r="H214" s="26">
        <f t="shared" si="19"/>
        <v>34500.399354789406</v>
      </c>
      <c r="I214" s="8">
        <f t="shared" si="20"/>
        <v>17658.274054054054</v>
      </c>
      <c r="J214" s="8">
        <f>VPI!R214</f>
        <v>9670.8161776061788</v>
      </c>
      <c r="K214" s="238">
        <f t="shared" si="21"/>
        <v>11852.22173059025</v>
      </c>
      <c r="L214" s="345">
        <f t="shared" si="22"/>
        <v>29510.495784644307</v>
      </c>
      <c r="M214" s="131"/>
      <c r="N214" s="132"/>
      <c r="O214" s="129"/>
      <c r="P214" s="129"/>
      <c r="Q214" s="133"/>
    </row>
    <row r="215" spans="1:17" s="128" customFormat="1" x14ac:dyDescent="0.25">
      <c r="A215" s="177">
        <f>Données!A215</f>
        <v>5754</v>
      </c>
      <c r="B215" s="356" t="str">
        <f>Données!B215</f>
        <v>Juriens</v>
      </c>
      <c r="C215" s="177">
        <f>Données!AR215</f>
        <v>0</v>
      </c>
      <c r="D215" s="357">
        <f>Données!Z215</f>
        <v>348</v>
      </c>
      <c r="E215" s="130">
        <f>Données!X215</f>
        <v>79</v>
      </c>
      <c r="F215" s="31">
        <f>VPI!L215</f>
        <v>671181.13</v>
      </c>
      <c r="G215" s="8">
        <f t="shared" si="18"/>
        <v>16991.927341772152</v>
      </c>
      <c r="H215" s="26">
        <f t="shared" si="19"/>
        <v>30784.971731965932</v>
      </c>
      <c r="I215" s="8">
        <f t="shared" si="20"/>
        <v>16991.927341772152</v>
      </c>
      <c r="J215" s="8">
        <f>VPI!R215</f>
        <v>9073.5155696202528</v>
      </c>
      <c r="K215" s="238">
        <f t="shared" si="21"/>
        <v>11120.190522918396</v>
      </c>
      <c r="L215" s="345">
        <f t="shared" si="22"/>
        <v>28112.117864690546</v>
      </c>
      <c r="M215" s="131"/>
      <c r="N215" s="132"/>
      <c r="O215" s="129"/>
      <c r="P215" s="129"/>
      <c r="Q215" s="133"/>
    </row>
    <row r="216" spans="1:17" s="128" customFormat="1" x14ac:dyDescent="0.25">
      <c r="A216" s="177">
        <f>Données!A216</f>
        <v>5755</v>
      </c>
      <c r="B216" s="356" t="str">
        <f>Données!B216</f>
        <v>Lignerolle</v>
      </c>
      <c r="C216" s="177">
        <f>Données!AR216</f>
        <v>0</v>
      </c>
      <c r="D216" s="357">
        <f>Données!Z216</f>
        <v>409</v>
      </c>
      <c r="E216" s="130">
        <f>Données!X216</f>
        <v>78.5</v>
      </c>
      <c r="F216" s="31">
        <f>VPI!L216</f>
        <v>774981.84000000008</v>
      </c>
      <c r="G216" s="8">
        <f t="shared" si="18"/>
        <v>19744.760254777073</v>
      </c>
      <c r="H216" s="26">
        <f t="shared" si="19"/>
        <v>36181.188041304784</v>
      </c>
      <c r="I216" s="8">
        <f t="shared" si="20"/>
        <v>19744.760254777073</v>
      </c>
      <c r="J216" s="8">
        <f>VPI!R216</f>
        <v>10745.60797088262</v>
      </c>
      <c r="K216" s="238">
        <f t="shared" si="21"/>
        <v>13169.449812913734</v>
      </c>
      <c r="L216" s="345">
        <f t="shared" si="22"/>
        <v>32914.210067690809</v>
      </c>
      <c r="M216" s="131"/>
      <c r="N216" s="132"/>
      <c r="O216" s="129"/>
      <c r="P216" s="129"/>
      <c r="Q216" s="133"/>
    </row>
    <row r="217" spans="1:17" s="128" customFormat="1" x14ac:dyDescent="0.25">
      <c r="A217" s="177">
        <f>Données!A217</f>
        <v>5756</v>
      </c>
      <c r="B217" s="356" t="str">
        <f>Données!B217</f>
        <v>Montcherand</v>
      </c>
      <c r="C217" s="177">
        <f>Données!AR217</f>
        <v>0</v>
      </c>
      <c r="D217" s="357">
        <f>Données!Z217</f>
        <v>502</v>
      </c>
      <c r="E217" s="130">
        <f>Données!X217</f>
        <v>72</v>
      </c>
      <c r="F217" s="31">
        <f>VPI!L217</f>
        <v>1190659.2799999998</v>
      </c>
      <c r="G217" s="8">
        <f t="shared" si="18"/>
        <v>33073.868888888886</v>
      </c>
      <c r="H217" s="26">
        <f t="shared" si="19"/>
        <v>44408.206348985339</v>
      </c>
      <c r="I217" s="8">
        <f t="shared" si="20"/>
        <v>33073.868888888886</v>
      </c>
      <c r="J217" s="8">
        <f>VPI!R217</f>
        <v>17738.051111111108</v>
      </c>
      <c r="K217" s="238">
        <f t="shared" si="21"/>
        <v>21739.149103490792</v>
      </c>
      <c r="L217" s="345">
        <f t="shared" si="22"/>
        <v>54813.017992379682</v>
      </c>
      <c r="M217" s="131"/>
      <c r="N217" s="132"/>
      <c r="O217" s="129"/>
      <c r="P217" s="129"/>
      <c r="Q217" s="133"/>
    </row>
    <row r="218" spans="1:17" s="128" customFormat="1" x14ac:dyDescent="0.25">
      <c r="A218" s="177">
        <f>Données!A218</f>
        <v>5757</v>
      </c>
      <c r="B218" s="356" t="str">
        <f>Données!B218</f>
        <v>Orbe</v>
      </c>
      <c r="C218" s="177">
        <f>Données!AR218</f>
        <v>0</v>
      </c>
      <c r="D218" s="357">
        <f>Données!Z218</f>
        <v>7570</v>
      </c>
      <c r="E218" s="130">
        <f>Données!X218</f>
        <v>75.5</v>
      </c>
      <c r="F218" s="31">
        <f>VPI!L218</f>
        <v>14799174.529999999</v>
      </c>
      <c r="G218" s="8">
        <f t="shared" si="18"/>
        <v>392031.11337748345</v>
      </c>
      <c r="H218" s="26">
        <f t="shared" si="19"/>
        <v>669661.59773270716</v>
      </c>
      <c r="I218" s="8">
        <f t="shared" si="20"/>
        <v>392031.11337748345</v>
      </c>
      <c r="J218" s="8">
        <f>VPI!R218</f>
        <v>216123.53284768213</v>
      </c>
      <c r="K218" s="238">
        <f t="shared" si="21"/>
        <v>264873.61412584456</v>
      </c>
      <c r="L218" s="345">
        <f t="shared" si="22"/>
        <v>656904.727503328</v>
      </c>
      <c r="M218" s="131"/>
      <c r="N218" s="132"/>
      <c r="O218" s="129"/>
      <c r="P218" s="129"/>
      <c r="Q218" s="133"/>
    </row>
    <row r="219" spans="1:17" s="128" customFormat="1" x14ac:dyDescent="0.25">
      <c r="A219" s="177">
        <f>Données!A219</f>
        <v>5758</v>
      </c>
      <c r="B219" s="356" t="str">
        <f>Données!B219</f>
        <v>La Praz</v>
      </c>
      <c r="C219" s="177">
        <f>Données!AR219</f>
        <v>0</v>
      </c>
      <c r="D219" s="357">
        <f>Données!Z219</f>
        <v>182</v>
      </c>
      <c r="E219" s="130">
        <f>Données!X219</f>
        <v>83</v>
      </c>
      <c r="F219" s="31">
        <f>VPI!L219</f>
        <v>366644.75000000006</v>
      </c>
      <c r="G219" s="8">
        <f t="shared" si="18"/>
        <v>8834.8132530120492</v>
      </c>
      <c r="H219" s="26">
        <f t="shared" si="19"/>
        <v>16100.186365568388</v>
      </c>
      <c r="I219" s="8">
        <f t="shared" si="20"/>
        <v>8834.8132530120492</v>
      </c>
      <c r="J219" s="8">
        <f>VPI!R219</f>
        <v>4771.6656626506028</v>
      </c>
      <c r="K219" s="238">
        <f t="shared" si="21"/>
        <v>5847.9903267045493</v>
      </c>
      <c r="L219" s="345">
        <f t="shared" si="22"/>
        <v>14682.803579716598</v>
      </c>
      <c r="M219" s="131"/>
      <c r="N219" s="132"/>
      <c r="O219" s="129"/>
      <c r="P219" s="129"/>
      <c r="Q219" s="133"/>
    </row>
    <row r="220" spans="1:17" s="128" customFormat="1" x14ac:dyDescent="0.25">
      <c r="A220" s="177">
        <f>Données!A220</f>
        <v>5759</v>
      </c>
      <c r="B220" s="356" t="str">
        <f>Données!B220</f>
        <v>Premier</v>
      </c>
      <c r="C220" s="177">
        <f>Données!AR220</f>
        <v>0</v>
      </c>
      <c r="D220" s="357">
        <f>Données!Z220</f>
        <v>232</v>
      </c>
      <c r="E220" s="130">
        <f>Données!X220</f>
        <v>79.5</v>
      </c>
      <c r="F220" s="31">
        <f>VPI!L220</f>
        <v>436761.56999999995</v>
      </c>
      <c r="G220" s="8">
        <f t="shared" si="18"/>
        <v>10987.712452830187</v>
      </c>
      <c r="H220" s="26">
        <f t="shared" si="19"/>
        <v>20523.314487977288</v>
      </c>
      <c r="I220" s="8">
        <f t="shared" si="20"/>
        <v>10987.712452830187</v>
      </c>
      <c r="J220" s="8">
        <f>VPI!R220</f>
        <v>5899.9776100628924</v>
      </c>
      <c r="K220" s="238">
        <f t="shared" si="21"/>
        <v>7230.8108804620679</v>
      </c>
      <c r="L220" s="345">
        <f t="shared" si="22"/>
        <v>18218.523333292254</v>
      </c>
      <c r="M220" s="131"/>
      <c r="N220" s="132"/>
      <c r="O220" s="129"/>
      <c r="P220" s="129"/>
      <c r="Q220" s="133"/>
    </row>
    <row r="221" spans="1:17" s="128" customFormat="1" x14ac:dyDescent="0.25">
      <c r="A221" s="177">
        <f>Données!A221</f>
        <v>5760</v>
      </c>
      <c r="B221" s="356" t="str">
        <f>Données!B221</f>
        <v>Rances</v>
      </c>
      <c r="C221" s="177">
        <f>Données!AR221</f>
        <v>0</v>
      </c>
      <c r="D221" s="357">
        <f>Données!Z221</f>
        <v>512</v>
      </c>
      <c r="E221" s="130">
        <f>Données!X221</f>
        <v>76.5</v>
      </c>
      <c r="F221" s="31">
        <f>VPI!L221</f>
        <v>1025693.44</v>
      </c>
      <c r="G221" s="8">
        <f t="shared" si="18"/>
        <v>26815.514771241829</v>
      </c>
      <c r="H221" s="26">
        <f t="shared" si="19"/>
        <v>45292.831973467117</v>
      </c>
      <c r="I221" s="8">
        <f t="shared" si="20"/>
        <v>26815.514771241829</v>
      </c>
      <c r="J221" s="8">
        <f>VPI!R221</f>
        <v>14480.898997821349</v>
      </c>
      <c r="K221" s="238">
        <f t="shared" si="21"/>
        <v>17747.294812395514</v>
      </c>
      <c r="L221" s="345">
        <f t="shared" si="22"/>
        <v>44562.80958363734</v>
      </c>
      <c r="M221" s="131"/>
      <c r="N221" s="132"/>
      <c r="O221" s="129"/>
      <c r="P221" s="129"/>
      <c r="Q221" s="133"/>
    </row>
    <row r="222" spans="1:17" s="128" customFormat="1" x14ac:dyDescent="0.25">
      <c r="A222" s="177">
        <f>Données!A222</f>
        <v>5761</v>
      </c>
      <c r="B222" s="356" t="str">
        <f>Données!B222</f>
        <v>Romainmôtier-Envy</v>
      </c>
      <c r="C222" s="177">
        <f>Données!AR222</f>
        <v>0</v>
      </c>
      <c r="D222" s="357">
        <f>Données!Z222</f>
        <v>551</v>
      </c>
      <c r="E222" s="130">
        <f>Données!X222</f>
        <v>81</v>
      </c>
      <c r="F222" s="31">
        <f>VPI!L222</f>
        <v>954620.24</v>
      </c>
      <c r="G222" s="8">
        <f t="shared" si="18"/>
        <v>23570.870123456789</v>
      </c>
      <c r="H222" s="26">
        <f t="shared" si="19"/>
        <v>48742.871908946057</v>
      </c>
      <c r="I222" s="8">
        <f t="shared" si="20"/>
        <v>23570.870123456789</v>
      </c>
      <c r="J222" s="8">
        <f>VPI!R222</f>
        <v>12913.442693602694</v>
      </c>
      <c r="K222" s="238">
        <f t="shared" si="21"/>
        <v>15826.273946170179</v>
      </c>
      <c r="L222" s="345">
        <f t="shared" si="22"/>
        <v>39397.144069626971</v>
      </c>
      <c r="M222" s="131"/>
      <c r="N222" s="132"/>
      <c r="O222" s="129"/>
      <c r="P222" s="129"/>
      <c r="Q222" s="133"/>
    </row>
    <row r="223" spans="1:17" s="128" customFormat="1" x14ac:dyDescent="0.25">
      <c r="A223" s="177">
        <f>Données!A223</f>
        <v>5762</v>
      </c>
      <c r="B223" s="356" t="str">
        <f>Données!B223</f>
        <v>Sergey</v>
      </c>
      <c r="C223" s="177">
        <f>Données!AR223</f>
        <v>0</v>
      </c>
      <c r="D223" s="357">
        <f>Données!Z223</f>
        <v>141</v>
      </c>
      <c r="E223" s="130">
        <f>Données!X223</f>
        <v>78</v>
      </c>
      <c r="F223" s="31">
        <f>VPI!L223</f>
        <v>278749.60000000003</v>
      </c>
      <c r="G223" s="8">
        <f t="shared" si="18"/>
        <v>7147.4256410256421</v>
      </c>
      <c r="H223" s="26">
        <f t="shared" si="19"/>
        <v>12473.221305193092</v>
      </c>
      <c r="I223" s="8">
        <f t="shared" si="20"/>
        <v>7147.4256410256421</v>
      </c>
      <c r="J223" s="8">
        <f>VPI!R223</f>
        <v>3849.5166666666673</v>
      </c>
      <c r="K223" s="238">
        <f t="shared" si="21"/>
        <v>4717.8360389670515</v>
      </c>
      <c r="L223" s="345">
        <f t="shared" si="22"/>
        <v>11865.261679992695</v>
      </c>
      <c r="M223" s="131"/>
      <c r="N223" s="132"/>
      <c r="O223" s="129"/>
      <c r="P223" s="129"/>
      <c r="Q223" s="133"/>
    </row>
    <row r="224" spans="1:17" s="128" customFormat="1" x14ac:dyDescent="0.25">
      <c r="A224" s="177">
        <f>Données!A224</f>
        <v>5763</v>
      </c>
      <c r="B224" s="356" t="str">
        <f>Données!B224</f>
        <v>Valeyres-sous-Rances</v>
      </c>
      <c r="C224" s="177">
        <f>Données!AR224</f>
        <v>0</v>
      </c>
      <c r="D224" s="357">
        <f>Données!Z224</f>
        <v>614</v>
      </c>
      <c r="E224" s="130">
        <f>Données!X224</f>
        <v>68</v>
      </c>
      <c r="F224" s="31">
        <f>VPI!L224</f>
        <v>1442890.13</v>
      </c>
      <c r="G224" s="8">
        <f t="shared" si="18"/>
        <v>42437.945</v>
      </c>
      <c r="H224" s="26">
        <f t="shared" si="19"/>
        <v>54316.013343181272</v>
      </c>
      <c r="I224" s="8">
        <f t="shared" si="20"/>
        <v>42437.945</v>
      </c>
      <c r="J224" s="8">
        <f>VPI!R224</f>
        <v>22662.54088235294</v>
      </c>
      <c r="K224" s="238">
        <f t="shared" si="21"/>
        <v>27774.435433711293</v>
      </c>
      <c r="L224" s="345">
        <f t="shared" si="22"/>
        <v>70212.380433711296</v>
      </c>
      <c r="M224" s="131"/>
      <c r="N224" s="132"/>
      <c r="O224" s="129"/>
      <c r="P224" s="129"/>
      <c r="Q224" s="133"/>
    </row>
    <row r="225" spans="1:17" s="128" customFormat="1" x14ac:dyDescent="0.25">
      <c r="A225" s="177">
        <f>Données!A225</f>
        <v>5764</v>
      </c>
      <c r="B225" s="356" t="str">
        <f>Données!B225</f>
        <v>Vallorbe</v>
      </c>
      <c r="C225" s="177">
        <f>Données!AR225</f>
        <v>0</v>
      </c>
      <c r="D225" s="357">
        <f>Données!Z225</f>
        <v>3924</v>
      </c>
      <c r="E225" s="130">
        <f>Données!X225</f>
        <v>71.5</v>
      </c>
      <c r="F225" s="31">
        <f>VPI!L225</f>
        <v>5472483.8599999994</v>
      </c>
      <c r="G225" s="8">
        <f t="shared" si="18"/>
        <v>153076.47160839158</v>
      </c>
      <c r="H225" s="26">
        <f t="shared" si="19"/>
        <v>347127.09504665033</v>
      </c>
      <c r="I225" s="8">
        <f t="shared" si="20"/>
        <v>153076.47160839158</v>
      </c>
      <c r="J225" s="8">
        <f>VPI!R225</f>
        <v>83671.674265734255</v>
      </c>
      <c r="K225" s="238">
        <f t="shared" si="21"/>
        <v>102545.14383838483</v>
      </c>
      <c r="L225" s="345">
        <f t="shared" si="22"/>
        <v>255621.61544677641</v>
      </c>
      <c r="M225" s="131"/>
      <c r="N225" s="132"/>
      <c r="O225" s="129"/>
      <c r="P225" s="129"/>
      <c r="Q225" s="133"/>
    </row>
    <row r="226" spans="1:17" s="128" customFormat="1" x14ac:dyDescent="0.25">
      <c r="A226" s="177">
        <f>Données!A226</f>
        <v>5765</v>
      </c>
      <c r="B226" s="356" t="str">
        <f>Données!B226</f>
        <v>Vaulion</v>
      </c>
      <c r="C226" s="177">
        <f>Données!AR226</f>
        <v>0</v>
      </c>
      <c r="D226" s="357">
        <f>Données!Z226</f>
        <v>492</v>
      </c>
      <c r="E226" s="130">
        <f>Données!X226</f>
        <v>81</v>
      </c>
      <c r="F226" s="31">
        <f>VPI!L226</f>
        <v>767340.59</v>
      </c>
      <c r="G226" s="8">
        <f t="shared" si="18"/>
        <v>18946.681234567899</v>
      </c>
      <c r="H226" s="26">
        <f t="shared" si="19"/>
        <v>43523.580724503554</v>
      </c>
      <c r="I226" s="8">
        <f t="shared" si="20"/>
        <v>18946.681234567899</v>
      </c>
      <c r="J226" s="8">
        <f>VPI!R226</f>
        <v>10278.622098765432</v>
      </c>
      <c r="K226" s="238">
        <f t="shared" si="21"/>
        <v>12597.127890985112</v>
      </c>
      <c r="L226" s="345">
        <f t="shared" si="22"/>
        <v>31543.809125553009</v>
      </c>
      <c r="M226" s="131"/>
      <c r="N226" s="132"/>
      <c r="O226" s="129"/>
      <c r="P226" s="129"/>
      <c r="Q226" s="133"/>
    </row>
    <row r="227" spans="1:17" s="128" customFormat="1" x14ac:dyDescent="0.25">
      <c r="A227" s="177">
        <f>Données!A227</f>
        <v>5766</v>
      </c>
      <c r="B227" s="356" t="str">
        <f>Données!B227</f>
        <v>Vuiteboeuf</v>
      </c>
      <c r="C227" s="177">
        <f>Données!AR227</f>
        <v>0</v>
      </c>
      <c r="D227" s="357">
        <f>Données!Z227</f>
        <v>591</v>
      </c>
      <c r="E227" s="130">
        <f>Données!X227</f>
        <v>75</v>
      </c>
      <c r="F227" s="31">
        <f>VPI!L227</f>
        <v>1081665.5</v>
      </c>
      <c r="G227" s="8">
        <f t="shared" si="18"/>
        <v>28844.413333333334</v>
      </c>
      <c r="H227" s="26">
        <f t="shared" si="19"/>
        <v>52281.374406873176</v>
      </c>
      <c r="I227" s="8">
        <f t="shared" si="20"/>
        <v>28844.413333333334</v>
      </c>
      <c r="J227" s="8">
        <f>VPI!R227</f>
        <v>15553.757238095239</v>
      </c>
      <c r="K227" s="238">
        <f t="shared" si="21"/>
        <v>19062.153198253549</v>
      </c>
      <c r="L227" s="345">
        <f t="shared" si="22"/>
        <v>47906.566531586883</v>
      </c>
      <c r="M227" s="131"/>
      <c r="N227" s="132"/>
      <c r="O227" s="129"/>
      <c r="P227" s="129"/>
      <c r="Q227" s="133"/>
    </row>
    <row r="228" spans="1:17" s="128" customFormat="1" x14ac:dyDescent="0.25">
      <c r="A228" s="177">
        <f>Données!A228</f>
        <v>5785</v>
      </c>
      <c r="B228" s="356" t="str">
        <f>Données!B228</f>
        <v>Corcelles-le-Jorat</v>
      </c>
      <c r="C228" s="177">
        <f>Données!AR228</f>
        <v>0</v>
      </c>
      <c r="D228" s="357">
        <f>Données!Z228</f>
        <v>489</v>
      </c>
      <c r="E228" s="130">
        <f>Données!X228</f>
        <v>77</v>
      </c>
      <c r="F228" s="31">
        <f>VPI!L228</f>
        <v>1045189.5299999999</v>
      </c>
      <c r="G228" s="8">
        <f t="shared" si="18"/>
        <v>27147.78</v>
      </c>
      <c r="H228" s="26">
        <f t="shared" si="19"/>
        <v>43258.193037159021</v>
      </c>
      <c r="I228" s="8">
        <f t="shared" si="20"/>
        <v>27147.78</v>
      </c>
      <c r="J228" s="8">
        <f>VPI!R228</f>
        <v>14579.038701298701</v>
      </c>
      <c r="K228" s="238">
        <f t="shared" si="21"/>
        <v>17867.571478276252</v>
      </c>
      <c r="L228" s="345">
        <f t="shared" si="22"/>
        <v>45015.35147827625</v>
      </c>
      <c r="M228" s="131"/>
      <c r="N228" s="132"/>
      <c r="O228" s="129"/>
      <c r="P228" s="129"/>
      <c r="Q228" s="133"/>
    </row>
    <row r="229" spans="1:17" s="128" customFormat="1" x14ac:dyDescent="0.25">
      <c r="A229" s="177">
        <f>Données!A229</f>
        <v>5790</v>
      </c>
      <c r="B229" s="356" t="str">
        <f>Données!B229</f>
        <v>Maracon</v>
      </c>
      <c r="C229" s="177">
        <f>Données!AR229</f>
        <v>0</v>
      </c>
      <c r="D229" s="357">
        <f>Données!Z229</f>
        <v>547</v>
      </c>
      <c r="E229" s="130">
        <f>Données!X229</f>
        <v>74.5</v>
      </c>
      <c r="F229" s="31">
        <f>VPI!L229</f>
        <v>1029407.8200000001</v>
      </c>
      <c r="G229" s="8">
        <f t="shared" si="18"/>
        <v>27635.109261744969</v>
      </c>
      <c r="H229" s="26">
        <f t="shared" si="19"/>
        <v>48389.021659153346</v>
      </c>
      <c r="I229" s="8">
        <f t="shared" si="20"/>
        <v>27635.109261744969</v>
      </c>
      <c r="J229" s="8">
        <f>VPI!R229</f>
        <v>15171.684832214765</v>
      </c>
      <c r="K229" s="238">
        <f t="shared" si="21"/>
        <v>18593.898317954878</v>
      </c>
      <c r="L229" s="345">
        <f t="shared" si="22"/>
        <v>46229.007579699843</v>
      </c>
      <c r="M229" s="131"/>
      <c r="N229" s="132"/>
      <c r="O229" s="129"/>
      <c r="P229" s="129"/>
      <c r="Q229" s="133"/>
    </row>
    <row r="230" spans="1:17" s="128" customFormat="1" x14ac:dyDescent="0.25">
      <c r="A230" s="177">
        <f>Données!A230</f>
        <v>5792</v>
      </c>
      <c r="B230" s="356" t="str">
        <f>Données!B230</f>
        <v>Montpreveyres</v>
      </c>
      <c r="C230" s="177">
        <f>Données!AR230</f>
        <v>0</v>
      </c>
      <c r="D230" s="357">
        <f>Données!Z230</f>
        <v>662</v>
      </c>
      <c r="E230" s="130">
        <f>Données!X230</f>
        <v>75.5</v>
      </c>
      <c r="F230" s="31">
        <f>VPI!L230</f>
        <v>1398894.0600000003</v>
      </c>
      <c r="G230" s="8">
        <f t="shared" si="18"/>
        <v>37056.796291390739</v>
      </c>
      <c r="H230" s="26">
        <f t="shared" si="19"/>
        <v>58562.216340693813</v>
      </c>
      <c r="I230" s="8">
        <f t="shared" si="20"/>
        <v>37056.796291390739</v>
      </c>
      <c r="J230" s="8">
        <f>VPI!R230</f>
        <v>20162.237880794706</v>
      </c>
      <c r="K230" s="238">
        <f t="shared" si="21"/>
        <v>24710.149542645595</v>
      </c>
      <c r="L230" s="345">
        <f t="shared" si="22"/>
        <v>61766.945834036334</v>
      </c>
      <c r="M230" s="131"/>
      <c r="N230" s="132"/>
      <c r="O230" s="129"/>
      <c r="P230" s="129"/>
      <c r="Q230" s="133"/>
    </row>
    <row r="231" spans="1:17" s="128" customFormat="1" x14ac:dyDescent="0.25">
      <c r="A231" s="177">
        <f>Données!A231</f>
        <v>5798</v>
      </c>
      <c r="B231" s="356" t="str">
        <f>Données!B231</f>
        <v>Ropraz</v>
      </c>
      <c r="C231" s="177">
        <f>Données!AR231</f>
        <v>0</v>
      </c>
      <c r="D231" s="357">
        <f>Données!Z231</f>
        <v>534</v>
      </c>
      <c r="E231" s="130">
        <f>Données!X231</f>
        <v>77.5</v>
      </c>
      <c r="F231" s="31">
        <f>VPI!L231</f>
        <v>1251992.17</v>
      </c>
      <c r="G231" s="8">
        <f t="shared" si="18"/>
        <v>32309.475354838709</v>
      </c>
      <c r="H231" s="26">
        <f t="shared" si="19"/>
        <v>47239.008347327035</v>
      </c>
      <c r="I231" s="8">
        <f t="shared" si="20"/>
        <v>32309.475354838709</v>
      </c>
      <c r="J231" s="8">
        <f>VPI!R231</f>
        <v>17442.468645161291</v>
      </c>
      <c r="K231" s="238">
        <f t="shared" si="21"/>
        <v>21376.893337092897</v>
      </c>
      <c r="L231" s="345">
        <f t="shared" si="22"/>
        <v>53686.36869193161</v>
      </c>
      <c r="M231" s="131"/>
      <c r="N231" s="132"/>
      <c r="O231" s="129"/>
      <c r="P231" s="129"/>
      <c r="Q231" s="133"/>
    </row>
    <row r="232" spans="1:17" s="128" customFormat="1" x14ac:dyDescent="0.25">
      <c r="A232" s="177">
        <f>Données!A232</f>
        <v>5799</v>
      </c>
      <c r="B232" s="356" t="str">
        <f>Données!B232</f>
        <v>Servion</v>
      </c>
      <c r="C232" s="177">
        <f>Données!AR232</f>
        <v>0</v>
      </c>
      <c r="D232" s="357">
        <f>Données!Z232</f>
        <v>2107</v>
      </c>
      <c r="E232" s="130">
        <f>Données!X232</f>
        <v>69</v>
      </c>
      <c r="F232" s="31">
        <f>VPI!L232</f>
        <v>4512987.07</v>
      </c>
      <c r="G232" s="8">
        <f t="shared" si="18"/>
        <v>130811.21942028987</v>
      </c>
      <c r="H232" s="26">
        <f t="shared" si="19"/>
        <v>186390.61907831096</v>
      </c>
      <c r="I232" s="8">
        <f t="shared" si="20"/>
        <v>130811.21942028987</v>
      </c>
      <c r="J232" s="8">
        <f>VPI!R232</f>
        <v>71741.835797101463</v>
      </c>
      <c r="K232" s="238">
        <f t="shared" si="21"/>
        <v>87924.341607878494</v>
      </c>
      <c r="L232" s="345">
        <f t="shared" si="22"/>
        <v>218735.56102816836</v>
      </c>
      <c r="M232" s="131"/>
      <c r="N232" s="132"/>
      <c r="O232" s="129"/>
      <c r="P232" s="129"/>
      <c r="Q232" s="133"/>
    </row>
    <row r="233" spans="1:17" s="128" customFormat="1" x14ac:dyDescent="0.25">
      <c r="A233" s="177">
        <f>Données!A233</f>
        <v>5803</v>
      </c>
      <c r="B233" s="356" t="str">
        <f>Données!B233</f>
        <v>Vulliens</v>
      </c>
      <c r="C233" s="177">
        <f>Données!AR233</f>
        <v>0</v>
      </c>
      <c r="D233" s="357">
        <f>Données!Z233</f>
        <v>631</v>
      </c>
      <c r="E233" s="130">
        <f>Données!X233</f>
        <v>76</v>
      </c>
      <c r="F233" s="31">
        <f>VPI!L233</f>
        <v>1264290.31</v>
      </c>
      <c r="G233" s="8">
        <f t="shared" si="18"/>
        <v>33270.797631578949</v>
      </c>
      <c r="H233" s="26">
        <f t="shared" si="19"/>
        <v>55819.876904800294</v>
      </c>
      <c r="I233" s="8">
        <f t="shared" si="20"/>
        <v>33270.797631578949</v>
      </c>
      <c r="J233" s="8">
        <f>VPI!R233</f>
        <v>17996.04157894737</v>
      </c>
      <c r="K233" s="238">
        <f t="shared" si="21"/>
        <v>22055.333402004773</v>
      </c>
      <c r="L233" s="345">
        <f t="shared" si="22"/>
        <v>55326.131033583719</v>
      </c>
      <c r="M233" s="131"/>
      <c r="N233" s="132"/>
      <c r="O233" s="129"/>
      <c r="P233" s="129"/>
      <c r="Q233" s="133"/>
    </row>
    <row r="234" spans="1:17" s="128" customFormat="1" x14ac:dyDescent="0.25">
      <c r="A234" s="177">
        <f>Données!A234</f>
        <v>5804</v>
      </c>
      <c r="B234" s="356" t="str">
        <f>Données!B234</f>
        <v>Jorat-Menthue</v>
      </c>
      <c r="C234" s="177">
        <f>Données!AR234</f>
        <v>0</v>
      </c>
      <c r="D234" s="357">
        <f>Données!Z234</f>
        <v>1603</v>
      </c>
      <c r="E234" s="130">
        <f>Données!X234</f>
        <v>70.5</v>
      </c>
      <c r="F234" s="31">
        <f>VPI!L234</f>
        <v>3025086.11</v>
      </c>
      <c r="G234" s="8">
        <f t="shared" si="18"/>
        <v>85818.045673758868</v>
      </c>
      <c r="H234" s="26">
        <f t="shared" si="19"/>
        <v>141805.48760442928</v>
      </c>
      <c r="I234" s="8">
        <f t="shared" si="20"/>
        <v>85818.045673758868</v>
      </c>
      <c r="J234" s="8">
        <f>VPI!R234</f>
        <v>46853.078156028365</v>
      </c>
      <c r="K234" s="238">
        <f t="shared" si="21"/>
        <v>57421.531013257212</v>
      </c>
      <c r="L234" s="345">
        <f t="shared" si="22"/>
        <v>143239.57668701609</v>
      </c>
      <c r="M234" s="131"/>
      <c r="N234" s="132"/>
      <c r="O234" s="129"/>
      <c r="P234" s="129"/>
      <c r="Q234" s="133"/>
    </row>
    <row r="235" spans="1:17" s="128" customFormat="1" x14ac:dyDescent="0.25">
      <c r="A235" s="177">
        <f>Données!A235</f>
        <v>5805</v>
      </c>
      <c r="B235" s="356" t="str">
        <f>Données!B235</f>
        <v>Oron</v>
      </c>
      <c r="C235" s="177">
        <f>Données!AR235</f>
        <v>0</v>
      </c>
      <c r="D235" s="357">
        <f>Données!Z235</f>
        <v>6100</v>
      </c>
      <c r="E235" s="130">
        <f>Données!X235</f>
        <v>69.19</v>
      </c>
      <c r="F235" s="31">
        <f>VPI!L235</f>
        <v>10997192.369999999</v>
      </c>
      <c r="G235" s="8">
        <f t="shared" si="18"/>
        <v>317883.86674374907</v>
      </c>
      <c r="H235" s="26">
        <f t="shared" si="19"/>
        <v>539621.63093388558</v>
      </c>
      <c r="I235" s="8">
        <f t="shared" si="20"/>
        <v>317883.86674374907</v>
      </c>
      <c r="J235" s="8">
        <f>VPI!R235</f>
        <v>175444.22906111775</v>
      </c>
      <c r="K235" s="238">
        <f t="shared" si="21"/>
        <v>215018.44994220012</v>
      </c>
      <c r="L235" s="345">
        <f t="shared" si="22"/>
        <v>532902.31668594922</v>
      </c>
      <c r="M235" s="131"/>
      <c r="N235" s="132"/>
      <c r="O235" s="129"/>
      <c r="P235" s="129"/>
      <c r="Q235" s="133"/>
    </row>
    <row r="236" spans="1:17" s="128" customFormat="1" x14ac:dyDescent="0.25">
      <c r="A236" s="177">
        <f>Données!A236</f>
        <v>5806</v>
      </c>
      <c r="B236" s="356" t="str">
        <f>Données!B236</f>
        <v>Jorat-Mézières</v>
      </c>
      <c r="C236" s="177">
        <f>Données!AR236</f>
        <v>0</v>
      </c>
      <c r="D236" s="357">
        <f>Données!Z236</f>
        <v>3095</v>
      </c>
      <c r="E236" s="130">
        <f>Données!X236</f>
        <v>73</v>
      </c>
      <c r="F236" s="31">
        <f>VPI!L236</f>
        <v>6895112.25</v>
      </c>
      <c r="G236" s="8">
        <f t="shared" si="18"/>
        <v>188907.18493150684</v>
      </c>
      <c r="H236" s="26">
        <f t="shared" si="19"/>
        <v>273791.63077711081</v>
      </c>
      <c r="I236" s="8">
        <f t="shared" si="20"/>
        <v>188907.18493150684</v>
      </c>
      <c r="J236" s="8">
        <f>VPI!R236</f>
        <v>102069.34178082191</v>
      </c>
      <c r="K236" s="238">
        <f t="shared" si="21"/>
        <v>125092.69625897805</v>
      </c>
      <c r="L236" s="345">
        <f t="shared" si="22"/>
        <v>313999.88119048486</v>
      </c>
      <c r="M236" s="131"/>
      <c r="N236" s="132"/>
      <c r="O236" s="129"/>
      <c r="P236" s="129"/>
      <c r="Q236" s="133"/>
    </row>
    <row r="237" spans="1:17" s="128" customFormat="1" x14ac:dyDescent="0.25">
      <c r="A237" s="177">
        <f>Données!A237</f>
        <v>5812</v>
      </c>
      <c r="B237" s="356" t="str">
        <f>Données!B237</f>
        <v>Champtauroz</v>
      </c>
      <c r="C237" s="177">
        <f>Données!AR237</f>
        <v>0</v>
      </c>
      <c r="D237" s="357">
        <f>Données!Z237</f>
        <v>169</v>
      </c>
      <c r="E237" s="130">
        <f>Données!X237</f>
        <v>77</v>
      </c>
      <c r="F237" s="31">
        <f>VPI!L237</f>
        <v>238415.16999999995</v>
      </c>
      <c r="G237" s="8">
        <f t="shared" si="18"/>
        <v>6192.6018181818172</v>
      </c>
      <c r="H237" s="26">
        <f t="shared" si="19"/>
        <v>14950.173053742075</v>
      </c>
      <c r="I237" s="8">
        <f t="shared" si="20"/>
        <v>6192.6018181818172</v>
      </c>
      <c r="J237" s="8">
        <f>VPI!R237</f>
        <v>3351.3333766233759</v>
      </c>
      <c r="K237" s="238">
        <f t="shared" si="21"/>
        <v>4107.2796280468719</v>
      </c>
      <c r="L237" s="345">
        <f t="shared" si="22"/>
        <v>10299.88144622869</v>
      </c>
      <c r="M237" s="131"/>
      <c r="N237" s="132"/>
      <c r="O237" s="129"/>
      <c r="P237" s="129"/>
      <c r="Q237" s="133"/>
    </row>
    <row r="238" spans="1:17" s="128" customFormat="1" x14ac:dyDescent="0.25">
      <c r="A238" s="177">
        <f>Données!A238</f>
        <v>5813</v>
      </c>
      <c r="B238" s="356" t="str">
        <f>Données!B238</f>
        <v>Chevroux</v>
      </c>
      <c r="C238" s="177">
        <f>Données!AR238</f>
        <v>0</v>
      </c>
      <c r="D238" s="357">
        <f>Données!Z238</f>
        <v>506</v>
      </c>
      <c r="E238" s="130">
        <f>Données!X238</f>
        <v>68.5</v>
      </c>
      <c r="F238" s="31">
        <f>VPI!L238</f>
        <v>948059.08000000007</v>
      </c>
      <c r="G238" s="8">
        <f t="shared" si="18"/>
        <v>27680.557080291972</v>
      </c>
      <c r="H238" s="26">
        <f t="shared" si="19"/>
        <v>44762.05659877805</v>
      </c>
      <c r="I238" s="8">
        <f t="shared" si="20"/>
        <v>27680.557080291972</v>
      </c>
      <c r="J238" s="8">
        <f>VPI!R238</f>
        <v>15275.291313868614</v>
      </c>
      <c r="K238" s="238">
        <f t="shared" si="21"/>
        <v>18720.874880298314</v>
      </c>
      <c r="L238" s="345">
        <f t="shared" si="22"/>
        <v>46401.431960590286</v>
      </c>
      <c r="M238" s="131"/>
      <c r="N238" s="132"/>
      <c r="O238" s="129"/>
      <c r="P238" s="129"/>
      <c r="Q238" s="133"/>
    </row>
    <row r="239" spans="1:17" s="128" customFormat="1" x14ac:dyDescent="0.25">
      <c r="A239" s="177">
        <f>Données!A239</f>
        <v>5816</v>
      </c>
      <c r="B239" s="356" t="str">
        <f>Données!B239</f>
        <v>Corcelles-près-Payerne</v>
      </c>
      <c r="C239" s="177">
        <f>Données!AR239</f>
        <v>0</v>
      </c>
      <c r="D239" s="357">
        <f>Données!Z239</f>
        <v>2722</v>
      </c>
      <c r="E239" s="130">
        <f>Données!X239</f>
        <v>68.5</v>
      </c>
      <c r="F239" s="31">
        <f>VPI!L239</f>
        <v>4081947.1199999996</v>
      </c>
      <c r="G239" s="8">
        <f t="shared" si="18"/>
        <v>119180.93781021897</v>
      </c>
      <c r="H239" s="26">
        <f t="shared" si="19"/>
        <v>240795.09498394042</v>
      </c>
      <c r="I239" s="8">
        <f t="shared" si="20"/>
        <v>119180.93781021897</v>
      </c>
      <c r="J239" s="8">
        <f>VPI!R239</f>
        <v>65640.914577685078</v>
      </c>
      <c r="K239" s="238">
        <f t="shared" si="21"/>
        <v>80447.261108631035</v>
      </c>
      <c r="L239" s="345">
        <f t="shared" si="22"/>
        <v>199628.19891884999</v>
      </c>
      <c r="M239" s="131"/>
      <c r="N239" s="132"/>
      <c r="O239" s="129"/>
      <c r="P239" s="129"/>
      <c r="Q239" s="133"/>
    </row>
    <row r="240" spans="1:17" s="128" customFormat="1" x14ac:dyDescent="0.25">
      <c r="A240" s="177">
        <f>Données!A240</f>
        <v>5817</v>
      </c>
      <c r="B240" s="356" t="str">
        <f>Données!B240</f>
        <v>Grandcour</v>
      </c>
      <c r="C240" s="177">
        <f>Données!AR240</f>
        <v>0</v>
      </c>
      <c r="D240" s="357">
        <f>Données!Z240</f>
        <v>987</v>
      </c>
      <c r="E240" s="130">
        <f>Données!X240</f>
        <v>73.5</v>
      </c>
      <c r="F240" s="31">
        <f>VPI!L240</f>
        <v>1669509.83</v>
      </c>
      <c r="G240" s="8">
        <f t="shared" si="18"/>
        <v>45428.838911564628</v>
      </c>
      <c r="H240" s="26">
        <f t="shared" si="19"/>
        <v>87312.549136351648</v>
      </c>
      <c r="I240" s="8">
        <f t="shared" si="20"/>
        <v>45428.838911564628</v>
      </c>
      <c r="J240" s="8">
        <f>VPI!R240</f>
        <v>24621.518775510202</v>
      </c>
      <c r="K240" s="238">
        <f t="shared" si="21"/>
        <v>30175.291775990732</v>
      </c>
      <c r="L240" s="345">
        <f t="shared" si="22"/>
        <v>75604.130687555356</v>
      </c>
      <c r="M240" s="131"/>
      <c r="N240" s="132"/>
      <c r="O240" s="129"/>
      <c r="P240" s="129"/>
      <c r="Q240" s="133"/>
    </row>
    <row r="241" spans="1:17" s="128" customFormat="1" x14ac:dyDescent="0.25">
      <c r="A241" s="177">
        <f>Données!A241</f>
        <v>5819</v>
      </c>
      <c r="B241" s="356" t="str">
        <f>Données!B241</f>
        <v>Henniez</v>
      </c>
      <c r="C241" s="177">
        <f>Données!AR241</f>
        <v>0</v>
      </c>
      <c r="D241" s="357">
        <f>Données!Z241</f>
        <v>407</v>
      </c>
      <c r="E241" s="130">
        <f>Données!X241</f>
        <v>69</v>
      </c>
      <c r="F241" s="31">
        <f>VPI!L241</f>
        <v>602882.05999999994</v>
      </c>
      <c r="G241" s="8">
        <f t="shared" si="18"/>
        <v>17474.84231884058</v>
      </c>
      <c r="H241" s="26">
        <f t="shared" si="19"/>
        <v>36004.262916408428</v>
      </c>
      <c r="I241" s="8">
        <f t="shared" si="20"/>
        <v>17474.84231884058</v>
      </c>
      <c r="J241" s="8">
        <f>VPI!R241</f>
        <v>10100.670434782607</v>
      </c>
      <c r="K241" s="238">
        <f t="shared" si="21"/>
        <v>12379.036414514301</v>
      </c>
      <c r="L241" s="345">
        <f t="shared" si="22"/>
        <v>29853.878733354883</v>
      </c>
      <c r="M241" s="131"/>
      <c r="N241" s="132"/>
      <c r="O241" s="129"/>
      <c r="P241" s="129"/>
      <c r="Q241" s="133"/>
    </row>
    <row r="242" spans="1:17" s="128" customFormat="1" x14ac:dyDescent="0.25">
      <c r="A242" s="177">
        <f>Données!A242</f>
        <v>5821</v>
      </c>
      <c r="B242" s="356" t="str">
        <f>Données!B242</f>
        <v>Missy</v>
      </c>
      <c r="C242" s="177">
        <f>Données!AR242</f>
        <v>0</v>
      </c>
      <c r="D242" s="357">
        <f>Données!Z242</f>
        <v>366</v>
      </c>
      <c r="E242" s="130">
        <f>Données!X242</f>
        <v>72</v>
      </c>
      <c r="F242" s="31">
        <f>VPI!L242</f>
        <v>522918.02</v>
      </c>
      <c r="G242" s="8">
        <f t="shared" si="18"/>
        <v>14525.500555555556</v>
      </c>
      <c r="H242" s="26">
        <f t="shared" si="19"/>
        <v>32377.297856033136</v>
      </c>
      <c r="I242" s="8">
        <f t="shared" si="20"/>
        <v>14525.500555555556</v>
      </c>
      <c r="J242" s="8">
        <f>VPI!R242</f>
        <v>8044.3988888888889</v>
      </c>
      <c r="K242" s="238">
        <f t="shared" si="21"/>
        <v>9858.9402972216867</v>
      </c>
      <c r="L242" s="345">
        <f t="shared" si="22"/>
        <v>24384.440852777243</v>
      </c>
      <c r="M242" s="131"/>
      <c r="N242" s="132"/>
      <c r="O242" s="129"/>
      <c r="P242" s="129"/>
      <c r="Q242" s="133"/>
    </row>
    <row r="243" spans="1:17" s="128" customFormat="1" x14ac:dyDescent="0.25">
      <c r="A243" s="177">
        <f>Données!A243</f>
        <v>5822</v>
      </c>
      <c r="B243" s="356" t="str">
        <f>Données!B243</f>
        <v>Payerne</v>
      </c>
      <c r="C243" s="177">
        <f>Données!AR243</f>
        <v>0</v>
      </c>
      <c r="D243" s="357">
        <f>Données!Z243</f>
        <v>10258</v>
      </c>
      <c r="E243" s="130">
        <f>Données!X243</f>
        <v>73</v>
      </c>
      <c r="F243" s="31">
        <f>VPI!L243</f>
        <v>15773577.330000004</v>
      </c>
      <c r="G243" s="8">
        <f t="shared" si="18"/>
        <v>432152.80356164393</v>
      </c>
      <c r="H243" s="215">
        <f t="shared" si="19"/>
        <v>907448.96559340949</v>
      </c>
      <c r="I243" s="8">
        <f t="shared" si="20"/>
        <v>432152.80356164393</v>
      </c>
      <c r="J243" s="8">
        <f>VPI!R243</f>
        <v>239936.5750684932</v>
      </c>
      <c r="K243" s="238">
        <f t="shared" si="21"/>
        <v>294058.06467248109</v>
      </c>
      <c r="L243" s="345">
        <f t="shared" si="22"/>
        <v>726210.86823412497</v>
      </c>
      <c r="M243" s="131"/>
      <c r="N243" s="132"/>
      <c r="O243" s="129"/>
      <c r="P243" s="129"/>
      <c r="Q243" s="133"/>
    </row>
    <row r="244" spans="1:17" s="128" customFormat="1" x14ac:dyDescent="0.25">
      <c r="A244" s="177">
        <f>Données!A244</f>
        <v>5827</v>
      </c>
      <c r="B244" s="356" t="str">
        <f>Données!B244</f>
        <v>Trey</v>
      </c>
      <c r="C244" s="177">
        <f>Données!AR244</f>
        <v>0</v>
      </c>
      <c r="D244" s="357">
        <f>Données!Z244</f>
        <v>321</v>
      </c>
      <c r="E244" s="130">
        <f>Données!X244</f>
        <v>78</v>
      </c>
      <c r="F244" s="31">
        <f>VPI!L244</f>
        <v>559416.27</v>
      </c>
      <c r="G244" s="8">
        <f t="shared" si="18"/>
        <v>14344.006923076924</v>
      </c>
      <c r="H244" s="26">
        <f t="shared" si="19"/>
        <v>28396.482545865125</v>
      </c>
      <c r="I244" s="8">
        <f t="shared" si="20"/>
        <v>14344.006923076924</v>
      </c>
      <c r="J244" s="8">
        <f>VPI!R244</f>
        <v>7747.1149999999998</v>
      </c>
      <c r="K244" s="238">
        <f t="shared" si="21"/>
        <v>9494.5993250292613</v>
      </c>
      <c r="L244" s="345">
        <f t="shared" si="22"/>
        <v>23838.606248106185</v>
      </c>
      <c r="M244" s="131"/>
      <c r="N244" s="132"/>
      <c r="O244" s="129"/>
      <c r="P244" s="129"/>
      <c r="Q244" s="133"/>
    </row>
    <row r="245" spans="1:17" s="128" customFormat="1" x14ac:dyDescent="0.25">
      <c r="A245" s="177">
        <f>Données!A245</f>
        <v>5828</v>
      </c>
      <c r="B245" s="356" t="str">
        <f>Données!B245</f>
        <v>Treytorrens (Payerne)</v>
      </c>
      <c r="C245" s="177">
        <f>Données!AR245</f>
        <v>0</v>
      </c>
      <c r="D245" s="357">
        <f>Données!Z245</f>
        <v>110</v>
      </c>
      <c r="E245" s="130">
        <f>Données!X245</f>
        <v>82.5</v>
      </c>
      <c r="F245" s="31">
        <f>VPI!L245</f>
        <v>222654.45</v>
      </c>
      <c r="G245" s="8">
        <f t="shared" si="18"/>
        <v>5397.6836363636367</v>
      </c>
      <c r="H245" s="26">
        <f t="shared" si="19"/>
        <v>9730.8818692995756</v>
      </c>
      <c r="I245" s="8">
        <f t="shared" si="20"/>
        <v>5397.6836363636367</v>
      </c>
      <c r="J245" s="8">
        <f>VPI!R245</f>
        <v>2899.2098989898991</v>
      </c>
      <c r="K245" s="238">
        <f t="shared" si="21"/>
        <v>3553.1725487575245</v>
      </c>
      <c r="L245" s="345">
        <f t="shared" si="22"/>
        <v>8950.8561851211616</v>
      </c>
      <c r="M245" s="131"/>
      <c r="N245" s="132"/>
      <c r="O245" s="129"/>
      <c r="P245" s="129"/>
      <c r="Q245" s="133"/>
    </row>
    <row r="246" spans="1:17" s="128" customFormat="1" x14ac:dyDescent="0.25">
      <c r="A246" s="177">
        <f>Données!A246</f>
        <v>5830</v>
      </c>
      <c r="B246" s="356" t="str">
        <f>Données!B246</f>
        <v>Villarzel</v>
      </c>
      <c r="C246" s="177">
        <f>Données!AR246</f>
        <v>0</v>
      </c>
      <c r="D246" s="357">
        <f>Données!Z246</f>
        <v>500</v>
      </c>
      <c r="E246" s="130">
        <f>Données!X246</f>
        <v>75</v>
      </c>
      <c r="F246" s="31">
        <f>VPI!L246</f>
        <v>869094.37</v>
      </c>
      <c r="G246" s="8">
        <f t="shared" si="18"/>
        <v>23175.849866666667</v>
      </c>
      <c r="H246" s="26">
        <f t="shared" si="19"/>
        <v>44231.281224088983</v>
      </c>
      <c r="I246" s="8">
        <f t="shared" si="20"/>
        <v>23175.849866666667</v>
      </c>
      <c r="J246" s="8">
        <f>VPI!R246</f>
        <v>12409.471600000001</v>
      </c>
      <c r="K246" s="238">
        <f t="shared" si="21"/>
        <v>15208.624201051591</v>
      </c>
      <c r="L246" s="345">
        <f t="shared" si="22"/>
        <v>38384.474067718256</v>
      </c>
      <c r="M246" s="131"/>
      <c r="N246" s="132"/>
      <c r="O246" s="129"/>
      <c r="P246" s="129"/>
      <c r="Q246" s="133"/>
    </row>
    <row r="247" spans="1:17" s="128" customFormat="1" x14ac:dyDescent="0.25">
      <c r="A247" s="177">
        <f>Données!A247</f>
        <v>5831</v>
      </c>
      <c r="B247" s="356" t="str">
        <f>Données!B247</f>
        <v>Valbroye</v>
      </c>
      <c r="C247" s="177">
        <f>Données!AR247</f>
        <v>0</v>
      </c>
      <c r="D247" s="357">
        <f>Données!Z247</f>
        <v>3349</v>
      </c>
      <c r="E247" s="130">
        <f>Données!X247</f>
        <v>70.5</v>
      </c>
      <c r="F247" s="31">
        <f>VPI!L247</f>
        <v>5190885.790000001</v>
      </c>
      <c r="G247" s="8">
        <f t="shared" si="18"/>
        <v>147259.17134751775</v>
      </c>
      <c r="H247" s="26">
        <f t="shared" si="19"/>
        <v>296261.12163894798</v>
      </c>
      <c r="I247" s="8">
        <f t="shared" si="20"/>
        <v>147259.17134751775</v>
      </c>
      <c r="J247" s="8">
        <f>VPI!R247</f>
        <v>81061.421607565018</v>
      </c>
      <c r="K247" s="238">
        <f t="shared" si="21"/>
        <v>99346.107406576411</v>
      </c>
      <c r="L247" s="345">
        <f t="shared" si="22"/>
        <v>246605.27875409415</v>
      </c>
      <c r="M247" s="131"/>
      <c r="N247" s="132"/>
      <c r="O247" s="129"/>
      <c r="P247" s="129"/>
      <c r="Q247" s="133"/>
    </row>
    <row r="248" spans="1:17" s="128" customFormat="1" x14ac:dyDescent="0.25">
      <c r="A248" s="177">
        <f>Données!A248</f>
        <v>5841</v>
      </c>
      <c r="B248" s="356" t="str">
        <f>Données!B248</f>
        <v>Château-d'Oex</v>
      </c>
      <c r="C248" s="177">
        <f>Données!AR248</f>
        <v>0</v>
      </c>
      <c r="D248" s="357">
        <f>Données!Z248</f>
        <v>3549</v>
      </c>
      <c r="E248" s="130">
        <f>Données!X248</f>
        <v>81.5</v>
      </c>
      <c r="F248" s="31">
        <f>VPI!L248</f>
        <v>7987015.1800000006</v>
      </c>
      <c r="G248" s="8">
        <f t="shared" si="18"/>
        <v>196000.37251533743</v>
      </c>
      <c r="H248" s="26">
        <f t="shared" si="19"/>
        <v>313953.6341285836</v>
      </c>
      <c r="I248" s="8">
        <f t="shared" si="20"/>
        <v>196000.37251533743</v>
      </c>
      <c r="J248" s="8">
        <f>VPI!R248</f>
        <v>110850.82306748466</v>
      </c>
      <c r="K248" s="238">
        <f t="shared" si="21"/>
        <v>135854.9795472867</v>
      </c>
      <c r="L248" s="345">
        <f t="shared" si="22"/>
        <v>331855.35206262412</v>
      </c>
      <c r="M248" s="131"/>
      <c r="N248" s="132"/>
      <c r="O248" s="129"/>
      <c r="P248" s="129"/>
      <c r="Q248" s="133"/>
    </row>
    <row r="249" spans="1:17" s="128" customFormat="1" x14ac:dyDescent="0.25">
      <c r="A249" s="177">
        <f>Données!A249</f>
        <v>5842</v>
      </c>
      <c r="B249" s="356" t="str">
        <f>Données!B249</f>
        <v>Rossinière</v>
      </c>
      <c r="C249" s="177">
        <f>Données!AR249</f>
        <v>0</v>
      </c>
      <c r="D249" s="357">
        <f>Données!Z249</f>
        <v>534</v>
      </c>
      <c r="E249" s="130">
        <f>Données!X249</f>
        <v>81</v>
      </c>
      <c r="F249" s="31">
        <f>VPI!L249</f>
        <v>1113693.5699999998</v>
      </c>
      <c r="G249" s="8">
        <f t="shared" si="18"/>
        <v>27498.606666666663</v>
      </c>
      <c r="H249" s="26">
        <f t="shared" si="19"/>
        <v>47239.008347327035</v>
      </c>
      <c r="I249" s="8">
        <f t="shared" si="20"/>
        <v>27498.606666666663</v>
      </c>
      <c r="J249" s="8">
        <f>VPI!R249</f>
        <v>14941.466090534977</v>
      </c>
      <c r="K249" s="238">
        <f t="shared" si="21"/>
        <v>18311.750097699722</v>
      </c>
      <c r="L249" s="345">
        <f t="shared" si="22"/>
        <v>45810.356764366385</v>
      </c>
      <c r="M249" s="131"/>
      <c r="N249" s="132"/>
      <c r="O249" s="129"/>
      <c r="P249" s="129"/>
      <c r="Q249" s="133"/>
    </row>
    <row r="250" spans="1:17" s="128" customFormat="1" x14ac:dyDescent="0.25">
      <c r="A250" s="177">
        <f>Données!A250</f>
        <v>5843</v>
      </c>
      <c r="B250" s="356" t="str">
        <f>Données!B250</f>
        <v>Rougemont</v>
      </c>
      <c r="C250" s="177">
        <f>Données!AR250</f>
        <v>0</v>
      </c>
      <c r="D250" s="357">
        <f>Données!Z250</f>
        <v>862</v>
      </c>
      <c r="E250" s="130">
        <f>Données!X250</f>
        <v>74</v>
      </c>
      <c r="F250" s="31">
        <f>VPI!L250</f>
        <v>6336283.1799999997</v>
      </c>
      <c r="G250" s="8">
        <f t="shared" si="18"/>
        <v>171250.89675675676</v>
      </c>
      <c r="H250" s="26">
        <f t="shared" si="19"/>
        <v>76254.728830329404</v>
      </c>
      <c r="I250" s="8">
        <f t="shared" si="20"/>
        <v>76254.728830329404</v>
      </c>
      <c r="J250" s="8">
        <f>VPI!R250</f>
        <v>97082.778783783782</v>
      </c>
      <c r="K250" s="238">
        <f t="shared" si="21"/>
        <v>118981.33510506537</v>
      </c>
      <c r="L250" s="345">
        <f t="shared" si="22"/>
        <v>195236.06393539478</v>
      </c>
      <c r="M250" s="131"/>
      <c r="N250" s="132"/>
      <c r="O250" s="129"/>
      <c r="P250" s="129"/>
      <c r="Q250" s="133"/>
    </row>
    <row r="251" spans="1:17" s="128" customFormat="1" x14ac:dyDescent="0.25">
      <c r="A251" s="177">
        <f>Données!A251</f>
        <v>5851</v>
      </c>
      <c r="B251" s="356" t="str">
        <f>Données!B251</f>
        <v>Allaman</v>
      </c>
      <c r="C251" s="177">
        <f>Données!AR251</f>
        <v>0</v>
      </c>
      <c r="D251" s="357">
        <f>Données!Z251</f>
        <v>430</v>
      </c>
      <c r="E251" s="130">
        <f>Données!X251</f>
        <v>60</v>
      </c>
      <c r="F251" s="31">
        <f>VPI!L251</f>
        <v>1247323.6600000001</v>
      </c>
      <c r="G251" s="8">
        <f t="shared" si="18"/>
        <v>41577.455333333339</v>
      </c>
      <c r="H251" s="26">
        <f t="shared" si="19"/>
        <v>38038.901852716524</v>
      </c>
      <c r="I251" s="8">
        <f t="shared" si="20"/>
        <v>38038.901852716524</v>
      </c>
      <c r="J251" s="8">
        <f>VPI!R251</f>
        <v>24871.551151515156</v>
      </c>
      <c r="K251" s="238">
        <f t="shared" si="21"/>
        <v>30481.722909187039</v>
      </c>
      <c r="L251" s="345">
        <f t="shared" si="22"/>
        <v>68520.624761903571</v>
      </c>
      <c r="M251" s="131"/>
      <c r="N251" s="132"/>
      <c r="O251" s="129"/>
      <c r="P251" s="129"/>
      <c r="Q251" s="133"/>
    </row>
    <row r="252" spans="1:17" s="128" customFormat="1" x14ac:dyDescent="0.25">
      <c r="A252" s="177">
        <f>Données!A252</f>
        <v>5852</v>
      </c>
      <c r="B252" s="356" t="str">
        <f>Données!B252</f>
        <v>Bursinel</v>
      </c>
      <c r="C252" s="177">
        <f>Données!AR252</f>
        <v>0</v>
      </c>
      <c r="D252" s="357">
        <f>Données!Z252</f>
        <v>515</v>
      </c>
      <c r="E252" s="130">
        <f>Données!X252</f>
        <v>62</v>
      </c>
      <c r="F252" s="31">
        <f>VPI!L252</f>
        <v>1949571</v>
      </c>
      <c r="G252" s="8">
        <f t="shared" si="18"/>
        <v>62889.387096774197</v>
      </c>
      <c r="H252" s="26">
        <f t="shared" si="19"/>
        <v>45558.21966081165</v>
      </c>
      <c r="I252" s="8">
        <f t="shared" si="20"/>
        <v>45558.21966081165</v>
      </c>
      <c r="J252" s="8">
        <f>VPI!R252</f>
        <v>34636.180913978496</v>
      </c>
      <c r="K252" s="238">
        <f t="shared" si="21"/>
        <v>42448.919362556466</v>
      </c>
      <c r="L252" s="345">
        <f t="shared" si="22"/>
        <v>88007.139023368116</v>
      </c>
      <c r="M252" s="131"/>
      <c r="N252" s="132"/>
      <c r="O252" s="129"/>
      <c r="P252" s="129"/>
      <c r="Q252" s="133"/>
    </row>
    <row r="253" spans="1:17" s="128" customFormat="1" x14ac:dyDescent="0.25">
      <c r="A253" s="177">
        <f>Données!A253</f>
        <v>5853</v>
      </c>
      <c r="B253" s="356" t="str">
        <f>Données!B253</f>
        <v>Bursins</v>
      </c>
      <c r="C253" s="177">
        <f>Données!AR253</f>
        <v>0</v>
      </c>
      <c r="D253" s="357">
        <f>Données!Z253</f>
        <v>773</v>
      </c>
      <c r="E253" s="130">
        <f>Données!X253</f>
        <v>71</v>
      </c>
      <c r="F253" s="31">
        <f>VPI!L253</f>
        <v>2929766.2199999997</v>
      </c>
      <c r="G253" s="8">
        <f t="shared" si="18"/>
        <v>82528.625915492958</v>
      </c>
      <c r="H253" s="26">
        <f t="shared" si="19"/>
        <v>68381.56077244156</v>
      </c>
      <c r="I253" s="8">
        <f t="shared" si="20"/>
        <v>68381.56077244156</v>
      </c>
      <c r="J253" s="8">
        <f>VPI!R253</f>
        <v>44484.29464788732</v>
      </c>
      <c r="K253" s="238">
        <f t="shared" si="21"/>
        <v>54518.430917604004</v>
      </c>
      <c r="L253" s="345">
        <f t="shared" si="22"/>
        <v>122899.99169004557</v>
      </c>
      <c r="M253" s="131"/>
      <c r="N253" s="132"/>
      <c r="O253" s="129"/>
      <c r="P253" s="129"/>
      <c r="Q253" s="133"/>
    </row>
    <row r="254" spans="1:17" s="128" customFormat="1" x14ac:dyDescent="0.25">
      <c r="A254" s="177">
        <f>Données!A254</f>
        <v>5854</v>
      </c>
      <c r="B254" s="356" t="str">
        <f>Données!B254</f>
        <v>Burtigny</v>
      </c>
      <c r="C254" s="177">
        <f>Données!AR254</f>
        <v>0</v>
      </c>
      <c r="D254" s="357">
        <f>Données!Z254</f>
        <v>416</v>
      </c>
      <c r="E254" s="130">
        <f>Données!X254</f>
        <v>80</v>
      </c>
      <c r="F254" s="31">
        <f>VPI!L254</f>
        <v>1141997.1499999999</v>
      </c>
      <c r="G254" s="8">
        <f t="shared" si="18"/>
        <v>28549.928749999999</v>
      </c>
      <c r="H254" s="26">
        <f t="shared" si="19"/>
        <v>36800.425978442036</v>
      </c>
      <c r="I254" s="8">
        <f t="shared" si="20"/>
        <v>28549.928749999999</v>
      </c>
      <c r="J254" s="8">
        <f>VPI!R254</f>
        <v>15255.605208333331</v>
      </c>
      <c r="K254" s="238">
        <f t="shared" si="21"/>
        <v>18696.748262282737</v>
      </c>
      <c r="L254" s="345">
        <f t="shared" si="22"/>
        <v>47246.677012282737</v>
      </c>
      <c r="M254" s="131"/>
      <c r="N254" s="132"/>
      <c r="O254" s="129"/>
      <c r="P254" s="129"/>
      <c r="Q254" s="133"/>
    </row>
    <row r="255" spans="1:17" s="128" customFormat="1" x14ac:dyDescent="0.25">
      <c r="A255" s="177">
        <f>Données!A255</f>
        <v>5855</v>
      </c>
      <c r="B255" s="356" t="str">
        <f>Données!B255</f>
        <v>Dully</v>
      </c>
      <c r="C255" s="177">
        <f>Données!AR255</f>
        <v>0</v>
      </c>
      <c r="D255" s="357">
        <f>Données!Z255</f>
        <v>634</v>
      </c>
      <c r="E255" s="130">
        <f>Données!X255</f>
        <v>49</v>
      </c>
      <c r="F255" s="31">
        <f>VPI!L255</f>
        <v>4203152.6800000006</v>
      </c>
      <c r="G255" s="8">
        <f t="shared" si="18"/>
        <v>171557.25224489797</v>
      </c>
      <c r="H255" s="26">
        <f t="shared" si="19"/>
        <v>56085.264592144827</v>
      </c>
      <c r="I255" s="8">
        <f t="shared" si="20"/>
        <v>56085.264592144827</v>
      </c>
      <c r="J255" s="8">
        <f>VPI!R255</f>
        <v>93677.895510204093</v>
      </c>
      <c r="K255" s="238">
        <f t="shared" si="21"/>
        <v>114808.42655380041</v>
      </c>
      <c r="L255" s="345">
        <f t="shared" si="22"/>
        <v>170893.69114594522</v>
      </c>
      <c r="M255" s="131"/>
      <c r="N255" s="132"/>
      <c r="O255" s="129"/>
      <c r="P255" s="129"/>
      <c r="Q255" s="133"/>
    </row>
    <row r="256" spans="1:17" s="128" customFormat="1" x14ac:dyDescent="0.25">
      <c r="A256" s="177">
        <f>Données!A256</f>
        <v>5856</v>
      </c>
      <c r="B256" s="356" t="str">
        <f>Données!B256</f>
        <v>Essertines-sur-Rolle</v>
      </c>
      <c r="C256" s="177">
        <f>Données!AR256</f>
        <v>0</v>
      </c>
      <c r="D256" s="357">
        <f>Données!Z256</f>
        <v>753</v>
      </c>
      <c r="E256" s="130">
        <f>Données!X256</f>
        <v>66.5</v>
      </c>
      <c r="F256" s="31">
        <f>VPI!L256</f>
        <v>2599251.4099999997</v>
      </c>
      <c r="G256" s="8">
        <f t="shared" si="18"/>
        <v>78172.974736842094</v>
      </c>
      <c r="H256" s="26">
        <f t="shared" si="19"/>
        <v>66612.309523478005</v>
      </c>
      <c r="I256" s="8">
        <f t="shared" si="20"/>
        <v>66612.309523478005</v>
      </c>
      <c r="J256" s="8">
        <f>VPI!R256</f>
        <v>42059.84630422209</v>
      </c>
      <c r="K256" s="238">
        <f t="shared" si="21"/>
        <v>51547.109902318676</v>
      </c>
      <c r="L256" s="345">
        <f t="shared" si="22"/>
        <v>118159.41942579669</v>
      </c>
      <c r="M256" s="131"/>
      <c r="N256" s="132"/>
      <c r="O256" s="129"/>
      <c r="P256" s="129"/>
      <c r="Q256" s="133"/>
    </row>
    <row r="257" spans="1:17" s="128" customFormat="1" x14ac:dyDescent="0.25">
      <c r="A257" s="177">
        <f>Données!A257</f>
        <v>5857</v>
      </c>
      <c r="B257" s="356" t="str">
        <f>Données!B257</f>
        <v>Gilly</v>
      </c>
      <c r="C257" s="177">
        <f>Données!AR257</f>
        <v>0</v>
      </c>
      <c r="D257" s="357">
        <f>Données!Z257</f>
        <v>1438</v>
      </c>
      <c r="E257" s="130">
        <f>Données!X257</f>
        <v>64.5</v>
      </c>
      <c r="F257" s="31">
        <f>VPI!L257</f>
        <v>5290267.95</v>
      </c>
      <c r="G257" s="8">
        <f t="shared" si="18"/>
        <v>164039.31627906978</v>
      </c>
      <c r="H257" s="26">
        <f t="shared" si="19"/>
        <v>127209.16480047991</v>
      </c>
      <c r="I257" s="8">
        <f t="shared" si="20"/>
        <v>127209.16480047991</v>
      </c>
      <c r="J257" s="8">
        <f>VPI!R257</f>
        <v>88865.056589147294</v>
      </c>
      <c r="K257" s="238">
        <f t="shared" si="21"/>
        <v>108909.97568901521</v>
      </c>
      <c r="L257" s="345">
        <f t="shared" si="22"/>
        <v>236119.14048949513</v>
      </c>
      <c r="M257" s="131"/>
      <c r="N257" s="132"/>
      <c r="O257" s="129"/>
      <c r="P257" s="129"/>
      <c r="Q257" s="133"/>
    </row>
    <row r="258" spans="1:17" s="128" customFormat="1" x14ac:dyDescent="0.25">
      <c r="A258" s="177">
        <f>Données!A258</f>
        <v>5858</v>
      </c>
      <c r="B258" s="356" t="str">
        <f>Données!B258</f>
        <v>Luins</v>
      </c>
      <c r="C258" s="177">
        <f>Données!AR258</f>
        <v>0</v>
      </c>
      <c r="D258" s="357">
        <f>Données!Z258</f>
        <v>630</v>
      </c>
      <c r="E258" s="130">
        <f>Données!X258</f>
        <v>58.5</v>
      </c>
      <c r="F258" s="31">
        <f>VPI!L258</f>
        <v>2078003.11</v>
      </c>
      <c r="G258" s="8">
        <f t="shared" si="18"/>
        <v>71042.841367521367</v>
      </c>
      <c r="H258" s="26">
        <f t="shared" si="19"/>
        <v>55731.414342352116</v>
      </c>
      <c r="I258" s="8">
        <f t="shared" si="20"/>
        <v>55731.414342352116</v>
      </c>
      <c r="J258" s="8">
        <f>VPI!R258</f>
        <v>38252.553447293445</v>
      </c>
      <c r="K258" s="238">
        <f t="shared" si="21"/>
        <v>46881.02192123366</v>
      </c>
      <c r="L258" s="345">
        <f t="shared" si="22"/>
        <v>102612.43626358578</v>
      </c>
      <c r="M258" s="131"/>
      <c r="N258" s="132"/>
      <c r="O258" s="129"/>
      <c r="P258" s="129"/>
      <c r="Q258" s="133"/>
    </row>
    <row r="259" spans="1:17" s="128" customFormat="1" x14ac:dyDescent="0.25">
      <c r="A259" s="177">
        <f>Données!A259</f>
        <v>5859</v>
      </c>
      <c r="B259" s="356" t="str">
        <f>Données!B259</f>
        <v>Mont-sur-Rolle</v>
      </c>
      <c r="C259" s="177">
        <f>Données!AR259</f>
        <v>0</v>
      </c>
      <c r="D259" s="357">
        <f>Données!Z259</f>
        <v>2739</v>
      </c>
      <c r="E259" s="130">
        <f>Données!X259</f>
        <v>63.5</v>
      </c>
      <c r="F259" s="31">
        <f>VPI!L259</f>
        <v>9508049.790000001</v>
      </c>
      <c r="G259" s="8">
        <f t="shared" si="18"/>
        <v>299466.13511811028</v>
      </c>
      <c r="H259" s="26">
        <f t="shared" si="19"/>
        <v>242298.95854555944</v>
      </c>
      <c r="I259" s="8">
        <f t="shared" si="20"/>
        <v>242298.95854555944</v>
      </c>
      <c r="J259" s="8">
        <f>VPI!R259</f>
        <v>160904.56204724411</v>
      </c>
      <c r="K259" s="238">
        <f t="shared" si="21"/>
        <v>197199.13105819299</v>
      </c>
      <c r="L259" s="345">
        <f t="shared" si="22"/>
        <v>439498.08960375242</v>
      </c>
      <c r="M259" s="131"/>
      <c r="N259" s="132"/>
      <c r="O259" s="129"/>
      <c r="P259" s="129"/>
      <c r="Q259" s="133"/>
    </row>
    <row r="260" spans="1:17" s="128" customFormat="1" x14ac:dyDescent="0.25">
      <c r="A260" s="177">
        <f>Données!A260</f>
        <v>5860</v>
      </c>
      <c r="B260" s="356" t="str">
        <f>Données!B260</f>
        <v>Perroy</v>
      </c>
      <c r="C260" s="177">
        <f>Données!AR260</f>
        <v>0</v>
      </c>
      <c r="D260" s="357">
        <f>Données!Z260</f>
        <v>1514</v>
      </c>
      <c r="E260" s="130">
        <f>Données!X260</f>
        <v>58.5</v>
      </c>
      <c r="F260" s="31">
        <f>VPI!L260</f>
        <v>6720919.4300000006</v>
      </c>
      <c r="G260" s="8">
        <f t="shared" si="18"/>
        <v>229775.02324786328</v>
      </c>
      <c r="H260" s="26">
        <f t="shared" si="19"/>
        <v>133932.31954654143</v>
      </c>
      <c r="I260" s="8">
        <f t="shared" si="20"/>
        <v>133932.31954654143</v>
      </c>
      <c r="J260" s="8">
        <f>VPI!R260</f>
        <v>124238.0950558843</v>
      </c>
      <c r="K260" s="238">
        <f t="shared" si="21"/>
        <v>152261.96248029367</v>
      </c>
      <c r="L260" s="345">
        <f t="shared" si="22"/>
        <v>286194.28202683514</v>
      </c>
      <c r="M260" s="131"/>
      <c r="N260" s="132"/>
      <c r="O260" s="129"/>
      <c r="P260" s="129"/>
      <c r="Q260" s="133"/>
    </row>
    <row r="261" spans="1:17" s="128" customFormat="1" x14ac:dyDescent="0.25">
      <c r="A261" s="177">
        <f>Données!A261</f>
        <v>5861</v>
      </c>
      <c r="B261" s="356" t="str">
        <f>Données!B261</f>
        <v>Rolle</v>
      </c>
      <c r="C261" s="177">
        <f>Données!AR261</f>
        <v>0</v>
      </c>
      <c r="D261" s="357">
        <f>Données!Z261</f>
        <v>6291</v>
      </c>
      <c r="E261" s="130">
        <f>Données!X261</f>
        <v>59.5</v>
      </c>
      <c r="F261" s="31">
        <f>VPI!L261</f>
        <v>49716936.680000007</v>
      </c>
      <c r="G261" s="8">
        <f t="shared" si="18"/>
        <v>1671157.535462185</v>
      </c>
      <c r="H261" s="26">
        <f t="shared" si="19"/>
        <v>556517.9803614876</v>
      </c>
      <c r="I261" s="8">
        <f t="shared" si="20"/>
        <v>556517.9803614876</v>
      </c>
      <c r="J261" s="8">
        <f>VPI!R261</f>
        <v>872601.81815126061</v>
      </c>
      <c r="K261" s="238">
        <f t="shared" si="21"/>
        <v>1069430.9602527218</v>
      </c>
      <c r="L261" s="345">
        <f t="shared" si="22"/>
        <v>1625948.9406142095</v>
      </c>
      <c r="M261" s="131"/>
      <c r="N261" s="132"/>
      <c r="O261" s="129"/>
      <c r="P261" s="129"/>
      <c r="Q261" s="133"/>
    </row>
    <row r="262" spans="1:17" s="128" customFormat="1" x14ac:dyDescent="0.25">
      <c r="A262" s="177">
        <f>Données!A262</f>
        <v>5862</v>
      </c>
      <c r="B262" s="356" t="str">
        <f>Données!B262</f>
        <v>Tartegnin</v>
      </c>
      <c r="C262" s="177">
        <f>Données!AR262</f>
        <v>0</v>
      </c>
      <c r="D262" s="357">
        <f>Données!Z262</f>
        <v>241</v>
      </c>
      <c r="E262" s="130">
        <f>Données!X262</f>
        <v>79</v>
      </c>
      <c r="F262" s="31">
        <f>VPI!L262</f>
        <v>573144.14999999991</v>
      </c>
      <c r="G262" s="8">
        <f t="shared" si="18"/>
        <v>14509.978481012657</v>
      </c>
      <c r="H262" s="26">
        <f t="shared" si="19"/>
        <v>21319.477550010888</v>
      </c>
      <c r="I262" s="8">
        <f t="shared" si="20"/>
        <v>14509.978481012657</v>
      </c>
      <c r="J262" s="8">
        <f>VPI!R262</f>
        <v>7890.9322784810111</v>
      </c>
      <c r="K262" s="238">
        <f t="shared" si="21"/>
        <v>9670.8568654418341</v>
      </c>
      <c r="L262" s="345">
        <f t="shared" si="22"/>
        <v>24180.835346454493</v>
      </c>
      <c r="M262" s="131"/>
      <c r="N262" s="132"/>
      <c r="O262" s="129"/>
      <c r="P262" s="129"/>
      <c r="Q262" s="133"/>
    </row>
    <row r="263" spans="1:17" s="128" customFormat="1" x14ac:dyDescent="0.25">
      <c r="A263" s="177">
        <f>Données!A263</f>
        <v>5863</v>
      </c>
      <c r="B263" s="356" t="str">
        <f>Données!B263</f>
        <v>Vinzel</v>
      </c>
      <c r="C263" s="177">
        <f>Données!AR263</f>
        <v>0</v>
      </c>
      <c r="D263" s="357">
        <f>Données!Z263</f>
        <v>369</v>
      </c>
      <c r="E263" s="130">
        <f>Données!X263</f>
        <v>67</v>
      </c>
      <c r="F263" s="31">
        <f>VPI!L263</f>
        <v>1348927.0399999998</v>
      </c>
      <c r="G263" s="8">
        <f t="shared" ref="G263:G305" si="23">F263/E263*2</f>
        <v>40266.478805970146</v>
      </c>
      <c r="H263" s="26">
        <f t="shared" ref="H263:H305" si="24">+$G$306/$D$306*D263</f>
        <v>32642.685543377669</v>
      </c>
      <c r="I263" s="8">
        <f t="shared" ref="I263:I305" si="25">IF(C263=1,0,IF(H263&gt;G263,G263,H263))</f>
        <v>32642.685543377669</v>
      </c>
      <c r="J263" s="8">
        <f>VPI!R263</f>
        <v>21422.979701492532</v>
      </c>
      <c r="K263" s="238">
        <f t="shared" ref="K263:K305" si="26">+$K$5*J263</f>
        <v>26255.271622262811</v>
      </c>
      <c r="L263" s="345">
        <f t="shared" ref="L263:L305" si="27">+K263+I263</f>
        <v>58897.957165640481</v>
      </c>
      <c r="M263" s="131"/>
      <c r="N263" s="132"/>
      <c r="O263" s="129"/>
      <c r="P263" s="129"/>
      <c r="Q263" s="133"/>
    </row>
    <row r="264" spans="1:17" s="128" customFormat="1" x14ac:dyDescent="0.25">
      <c r="A264" s="177">
        <f>Données!A264</f>
        <v>5871</v>
      </c>
      <c r="B264" s="356" t="str">
        <f>Données!B264</f>
        <v>L'Abbaye</v>
      </c>
      <c r="C264" s="177">
        <f>Données!AR264</f>
        <v>0</v>
      </c>
      <c r="D264" s="357">
        <f>Données!Z264</f>
        <v>1521</v>
      </c>
      <c r="E264" s="130">
        <f>Données!X264</f>
        <v>77.650000000000006</v>
      </c>
      <c r="F264" s="31">
        <f>VPI!L264</f>
        <v>3769847.21</v>
      </c>
      <c r="G264" s="8">
        <f t="shared" si="23"/>
        <v>97098.447134578222</v>
      </c>
      <c r="H264" s="26">
        <f t="shared" si="24"/>
        <v>134551.55748367868</v>
      </c>
      <c r="I264" s="8">
        <f t="shared" si="25"/>
        <v>97098.447134578222</v>
      </c>
      <c r="J264" s="8">
        <f>VPI!R264</f>
        <v>52131.58544752092</v>
      </c>
      <c r="K264" s="238">
        <f t="shared" si="26"/>
        <v>63890.689114946326</v>
      </c>
      <c r="L264" s="345">
        <f t="shared" si="27"/>
        <v>160989.13624952454</v>
      </c>
      <c r="M264" s="131"/>
      <c r="N264" s="132"/>
      <c r="O264" s="129"/>
      <c r="P264" s="129"/>
      <c r="Q264" s="133"/>
    </row>
    <row r="265" spans="1:17" s="128" customFormat="1" x14ac:dyDescent="0.25">
      <c r="A265" s="177">
        <f>Données!A265</f>
        <v>5872</v>
      </c>
      <c r="B265" s="356" t="str">
        <f>Données!B265</f>
        <v>Le Chenit</v>
      </c>
      <c r="C265" s="177">
        <f>Données!AR265</f>
        <v>0</v>
      </c>
      <c r="D265" s="357">
        <f>Données!Z265</f>
        <v>4569</v>
      </c>
      <c r="E265" s="130">
        <f>Données!X265</f>
        <v>66.989999999999995</v>
      </c>
      <c r="F265" s="31">
        <f>VPI!L265</f>
        <v>12493178.890000001</v>
      </c>
      <c r="G265" s="8">
        <f t="shared" si="23"/>
        <v>372986.38274369313</v>
      </c>
      <c r="H265" s="26">
        <f t="shared" si="24"/>
        <v>404185.44782572513</v>
      </c>
      <c r="I265" s="8">
        <f t="shared" si="25"/>
        <v>372986.38274369313</v>
      </c>
      <c r="J265" s="8">
        <f>VPI!R265</f>
        <v>198940.06926406932</v>
      </c>
      <c r="K265" s="238">
        <f t="shared" si="26"/>
        <v>243814.14853863756</v>
      </c>
      <c r="L265" s="345">
        <f t="shared" si="27"/>
        <v>616800.53128233063</v>
      </c>
      <c r="M265" s="131"/>
      <c r="N265" s="132"/>
      <c r="O265" s="129"/>
      <c r="P265" s="129"/>
      <c r="Q265" s="133"/>
    </row>
    <row r="266" spans="1:17" s="128" customFormat="1" x14ac:dyDescent="0.25">
      <c r="A266" s="177">
        <f>Données!A266</f>
        <v>5873</v>
      </c>
      <c r="B266" s="356" t="str">
        <f>Données!B266</f>
        <v>Le Lieu</v>
      </c>
      <c r="C266" s="177">
        <f>Données!AR266</f>
        <v>0</v>
      </c>
      <c r="D266" s="357">
        <f>Données!Z266</f>
        <v>881</v>
      </c>
      <c r="E266" s="130">
        <f>Données!X266</f>
        <v>70</v>
      </c>
      <c r="F266" s="31">
        <f>VPI!L266</f>
        <v>2053708.9300000004</v>
      </c>
      <c r="G266" s="8">
        <f t="shared" si="23"/>
        <v>58677.398000000008</v>
      </c>
      <c r="H266" s="26">
        <f t="shared" si="24"/>
        <v>77935.517516844789</v>
      </c>
      <c r="I266" s="8">
        <f t="shared" si="25"/>
        <v>58677.398000000008</v>
      </c>
      <c r="J266" s="8">
        <f>VPI!R266</f>
        <v>31463.219535714288</v>
      </c>
      <c r="K266" s="238">
        <f t="shared" si="26"/>
        <v>38560.246358423792</v>
      </c>
      <c r="L266" s="345">
        <f t="shared" si="27"/>
        <v>97237.6443584238</v>
      </c>
      <c r="M266" s="131"/>
      <c r="N266" s="132"/>
      <c r="O266" s="129"/>
      <c r="P266" s="129"/>
      <c r="Q266" s="133"/>
    </row>
    <row r="267" spans="1:17" s="128" customFormat="1" x14ac:dyDescent="0.25">
      <c r="A267" s="177">
        <f>Données!A267</f>
        <v>5882</v>
      </c>
      <c r="B267" s="356" t="str">
        <f>Données!B267</f>
        <v>Chardonne</v>
      </c>
      <c r="C267" s="177">
        <f>Données!AR267</f>
        <v>1</v>
      </c>
      <c r="D267" s="357">
        <f>Données!Z267</f>
        <v>3078</v>
      </c>
      <c r="E267" s="130">
        <f>Données!X267</f>
        <v>68</v>
      </c>
      <c r="F267" s="31">
        <f>VPI!L267</f>
        <v>11655548.110000001</v>
      </c>
      <c r="G267" s="8">
        <f t="shared" si="23"/>
        <v>342810.23852941178</v>
      </c>
      <c r="H267" s="26">
        <f t="shared" si="24"/>
        <v>272287.7672154918</v>
      </c>
      <c r="I267" s="8">
        <f t="shared" si="25"/>
        <v>0</v>
      </c>
      <c r="J267" s="8">
        <f>VPI!R267</f>
        <v>186940.3105882353</v>
      </c>
      <c r="K267" s="238">
        <f t="shared" si="26"/>
        <v>229107.65449226188</v>
      </c>
      <c r="L267" s="345">
        <f t="shared" si="27"/>
        <v>229107.65449226188</v>
      </c>
      <c r="M267" s="131"/>
      <c r="N267" s="132"/>
      <c r="O267" s="129"/>
      <c r="P267" s="129"/>
      <c r="Q267" s="133"/>
    </row>
    <row r="268" spans="1:17" s="128" customFormat="1" x14ac:dyDescent="0.25">
      <c r="A268" s="177">
        <f>Données!A268</f>
        <v>5883</v>
      </c>
      <c r="B268" s="356" t="str">
        <f>Données!B268</f>
        <v>Corseaux</v>
      </c>
      <c r="C268" s="177">
        <f>Données!AR268</f>
        <v>1</v>
      </c>
      <c r="D268" s="357">
        <f>Données!Z268</f>
        <v>2330</v>
      </c>
      <c r="E268" s="130">
        <f>Données!X268</f>
        <v>67.5</v>
      </c>
      <c r="F268" s="31">
        <f>VPI!L268</f>
        <v>12331905</v>
      </c>
      <c r="G268" s="8">
        <f t="shared" si="23"/>
        <v>365389.77777777775</v>
      </c>
      <c r="H268" s="26">
        <f t="shared" si="24"/>
        <v>206117.77050425464</v>
      </c>
      <c r="I268" s="8">
        <f t="shared" si="25"/>
        <v>0</v>
      </c>
      <c r="J268" s="8">
        <f>VPI!R268</f>
        <v>193091.18148148147</v>
      </c>
      <c r="K268" s="238">
        <f t="shared" si="26"/>
        <v>236645.95160432969</v>
      </c>
      <c r="L268" s="345">
        <f t="shared" si="27"/>
        <v>236645.95160432969</v>
      </c>
      <c r="M268" s="131"/>
      <c r="N268" s="132"/>
      <c r="O268" s="129"/>
      <c r="P268" s="129"/>
      <c r="Q268" s="133"/>
    </row>
    <row r="269" spans="1:17" s="128" customFormat="1" x14ac:dyDescent="0.25">
      <c r="A269" s="177">
        <f>Données!A269</f>
        <v>5884</v>
      </c>
      <c r="B269" s="356" t="str">
        <f>Données!B269</f>
        <v>Corsier-sur-Vevey</v>
      </c>
      <c r="C269" s="177">
        <f>Données!AR269</f>
        <v>1</v>
      </c>
      <c r="D269" s="357">
        <f>Données!Z269</f>
        <v>3390</v>
      </c>
      <c r="E269" s="130">
        <f>Données!X269</f>
        <v>64.5</v>
      </c>
      <c r="F269" s="31">
        <f>VPI!L269</f>
        <v>8587023.5700000003</v>
      </c>
      <c r="G269" s="8">
        <f t="shared" si="23"/>
        <v>266264.29674418608</v>
      </c>
      <c r="H269" s="26">
        <f t="shared" si="24"/>
        <v>299888.08669932332</v>
      </c>
      <c r="I269" s="8">
        <f t="shared" si="25"/>
        <v>0</v>
      </c>
      <c r="J269" s="8">
        <f>VPI!R269</f>
        <v>148804.11322997417</v>
      </c>
      <c r="K269" s="238">
        <f t="shared" si="26"/>
        <v>182369.23461635597</v>
      </c>
      <c r="L269" s="345">
        <f t="shared" si="27"/>
        <v>182369.23461635597</v>
      </c>
      <c r="M269" s="131"/>
      <c r="N269" s="132"/>
      <c r="O269" s="129"/>
      <c r="P269" s="129"/>
      <c r="Q269" s="133"/>
    </row>
    <row r="270" spans="1:17" s="128" customFormat="1" x14ac:dyDescent="0.25">
      <c r="A270" s="177">
        <f>Données!A270</f>
        <v>5885</v>
      </c>
      <c r="B270" s="356" t="str">
        <f>Données!B270</f>
        <v>Jongny</v>
      </c>
      <c r="C270" s="177">
        <f>Données!AR270</f>
        <v>1</v>
      </c>
      <c r="D270" s="357">
        <f>Données!Z270</f>
        <v>1805</v>
      </c>
      <c r="E270" s="130">
        <f>Données!X270</f>
        <v>69.5</v>
      </c>
      <c r="F270" s="31">
        <f>VPI!L270</f>
        <v>6313427.8899999997</v>
      </c>
      <c r="G270" s="8">
        <f t="shared" si="23"/>
        <v>181681.37812949638</v>
      </c>
      <c r="H270" s="26">
        <f t="shared" si="24"/>
        <v>159674.92521896123</v>
      </c>
      <c r="I270" s="8">
        <f t="shared" si="25"/>
        <v>0</v>
      </c>
      <c r="J270" s="8">
        <f>VPI!R270</f>
        <v>97074.6993764988</v>
      </c>
      <c r="K270" s="238">
        <f t="shared" si="26"/>
        <v>118971.4332596746</v>
      </c>
      <c r="L270" s="345">
        <f t="shared" si="27"/>
        <v>118971.4332596746</v>
      </c>
      <c r="M270" s="131"/>
      <c r="N270" s="132"/>
      <c r="O270" s="129"/>
      <c r="P270" s="129"/>
      <c r="Q270" s="133"/>
    </row>
    <row r="271" spans="1:17" s="128" customFormat="1" x14ac:dyDescent="0.25">
      <c r="A271" s="177">
        <f>Données!A271</f>
        <v>5886</v>
      </c>
      <c r="B271" s="356" t="str">
        <f>Données!B271</f>
        <v>Montreux</v>
      </c>
      <c r="C271" s="177">
        <f>Données!AR271</f>
        <v>1</v>
      </c>
      <c r="D271" s="357">
        <f>Données!Z271</f>
        <v>26012</v>
      </c>
      <c r="E271" s="130">
        <f>Données!X271</f>
        <v>65</v>
      </c>
      <c r="F271" s="31">
        <f>VPI!L271</f>
        <v>68821814.25</v>
      </c>
      <c r="G271" s="8">
        <f t="shared" si="23"/>
        <v>2117594.2846153844</v>
      </c>
      <c r="H271" s="26">
        <f t="shared" si="24"/>
        <v>2301088.174402005</v>
      </c>
      <c r="I271" s="8">
        <f t="shared" si="25"/>
        <v>0</v>
      </c>
      <c r="J271" s="8">
        <f>VPI!R271</f>
        <v>1173967.402</v>
      </c>
      <c r="K271" s="238">
        <f t="shared" si="26"/>
        <v>1438774.3182637091</v>
      </c>
      <c r="L271" s="345">
        <f t="shared" si="27"/>
        <v>1438774.3182637091</v>
      </c>
      <c r="M271" s="131"/>
      <c r="N271" s="132"/>
      <c r="O271" s="129"/>
      <c r="P271" s="129"/>
      <c r="Q271" s="133"/>
    </row>
    <row r="272" spans="1:17" s="128" customFormat="1" x14ac:dyDescent="0.25">
      <c r="A272" s="177">
        <f>Données!A272</f>
        <v>5889</v>
      </c>
      <c r="B272" s="356" t="str">
        <f>Données!B272</f>
        <v>La Tour-de-Peilz</v>
      </c>
      <c r="C272" s="177">
        <f>Données!AR272</f>
        <v>1</v>
      </c>
      <c r="D272" s="357">
        <f>Données!Z272</f>
        <v>12222</v>
      </c>
      <c r="E272" s="130">
        <f>Données!X272</f>
        <v>64</v>
      </c>
      <c r="F272" s="31">
        <f>VPI!L272</f>
        <v>44473253.270000003</v>
      </c>
      <c r="G272" s="8">
        <f t="shared" si="23"/>
        <v>1389789.1646875001</v>
      </c>
      <c r="H272" s="26">
        <f t="shared" si="24"/>
        <v>1081189.438241631</v>
      </c>
      <c r="I272" s="8">
        <f t="shared" si="25"/>
        <v>0</v>
      </c>
      <c r="J272" s="8">
        <f>VPI!R272</f>
        <v>740088.65473958338</v>
      </c>
      <c r="K272" s="238">
        <f t="shared" si="26"/>
        <v>907027.35686152359</v>
      </c>
      <c r="L272" s="345">
        <f t="shared" si="27"/>
        <v>907027.35686152359</v>
      </c>
      <c r="M272" s="131"/>
      <c r="N272" s="132"/>
      <c r="O272" s="129"/>
      <c r="P272" s="129"/>
      <c r="Q272" s="133"/>
    </row>
    <row r="273" spans="1:17" s="128" customFormat="1" x14ac:dyDescent="0.25">
      <c r="A273" s="177">
        <f>Données!A273</f>
        <v>5890</v>
      </c>
      <c r="B273" s="356" t="str">
        <f>Données!B273</f>
        <v>Vevey</v>
      </c>
      <c r="C273" s="177">
        <f>Données!AR273</f>
        <v>1</v>
      </c>
      <c r="D273" s="357">
        <f>Données!Z273</f>
        <v>19721</v>
      </c>
      <c r="E273" s="130">
        <f>Données!X273</f>
        <v>74.5</v>
      </c>
      <c r="F273" s="31">
        <f>VPI!L273</f>
        <v>67533331.49000001</v>
      </c>
      <c r="G273" s="8">
        <f t="shared" si="23"/>
        <v>1812975.3420134231</v>
      </c>
      <c r="H273" s="26">
        <f t="shared" si="24"/>
        <v>1744570.1940405176</v>
      </c>
      <c r="I273" s="8">
        <f t="shared" si="25"/>
        <v>0</v>
      </c>
      <c r="J273" s="8">
        <f>VPI!R273</f>
        <v>968892.58791946329</v>
      </c>
      <c r="K273" s="238">
        <f t="shared" si="26"/>
        <v>1187441.6361814677</v>
      </c>
      <c r="L273" s="345">
        <f t="shared" si="27"/>
        <v>1187441.6361814677</v>
      </c>
      <c r="M273" s="131"/>
      <c r="N273" s="132"/>
      <c r="O273" s="129"/>
      <c r="P273" s="129"/>
      <c r="Q273" s="133"/>
    </row>
    <row r="274" spans="1:17" s="128" customFormat="1" x14ac:dyDescent="0.25">
      <c r="A274" s="177">
        <f>Données!A274</f>
        <v>5891</v>
      </c>
      <c r="B274" s="356" t="str">
        <f>Données!B274</f>
        <v>Veytaux</v>
      </c>
      <c r="C274" s="177">
        <f>Données!AR274</f>
        <v>1</v>
      </c>
      <c r="D274" s="357">
        <f>Données!Z274</f>
        <v>952</v>
      </c>
      <c r="E274" s="130">
        <f>Données!X274</f>
        <v>69.5</v>
      </c>
      <c r="F274" s="31">
        <f>VPI!L274</f>
        <v>2408856.9499999997</v>
      </c>
      <c r="G274" s="8">
        <f t="shared" si="23"/>
        <v>69319.624460431645</v>
      </c>
      <c r="H274" s="26">
        <f t="shared" si="24"/>
        <v>84216.359450665419</v>
      </c>
      <c r="I274" s="8">
        <f t="shared" si="25"/>
        <v>0</v>
      </c>
      <c r="J274" s="8">
        <f>VPI!R274</f>
        <v>39118.814388489205</v>
      </c>
      <c r="K274" s="238">
        <f t="shared" si="26"/>
        <v>47942.681719439373</v>
      </c>
      <c r="L274" s="345">
        <f t="shared" si="27"/>
        <v>47942.681719439373</v>
      </c>
      <c r="M274" s="131"/>
      <c r="N274" s="132"/>
      <c r="O274" s="129"/>
      <c r="P274" s="129"/>
      <c r="Q274" s="133"/>
    </row>
    <row r="275" spans="1:17" s="128" customFormat="1" x14ac:dyDescent="0.25">
      <c r="A275" s="177">
        <f>Données!A275</f>
        <v>5892</v>
      </c>
      <c r="B275" s="356" t="str">
        <f>Données!B275</f>
        <v>Blonay-St-Légier</v>
      </c>
      <c r="C275" s="177">
        <f>Données!AR275</f>
        <v>1</v>
      </c>
      <c r="D275" s="357">
        <f>Données!Z275</f>
        <v>11925</v>
      </c>
      <c r="E275" s="130">
        <f>Données!X275</f>
        <v>68.5</v>
      </c>
      <c r="F275" s="31">
        <f>VPI!L275</f>
        <v>44788915.36999999</v>
      </c>
      <c r="G275" s="8">
        <f t="shared" si="23"/>
        <v>1307705.5582481748</v>
      </c>
      <c r="H275" s="26">
        <f t="shared" si="24"/>
        <v>1054916.0571945221</v>
      </c>
      <c r="I275" s="8">
        <f t="shared" si="25"/>
        <v>0</v>
      </c>
      <c r="J275" s="8">
        <f>VPI!R275</f>
        <v>705287.87938951538</v>
      </c>
      <c r="K275" s="238">
        <f t="shared" si="26"/>
        <v>864376.71618441341</v>
      </c>
      <c r="L275" s="345">
        <f t="shared" si="27"/>
        <v>864376.71618441341</v>
      </c>
      <c r="M275" s="131"/>
      <c r="N275" s="132"/>
      <c r="O275" s="129"/>
      <c r="P275" s="129"/>
      <c r="Q275" s="133"/>
    </row>
    <row r="276" spans="1:17" s="128" customFormat="1" x14ac:dyDescent="0.25">
      <c r="A276" s="177">
        <f>Données!A276</f>
        <v>5902</v>
      </c>
      <c r="B276" s="356" t="str">
        <f>Données!B276</f>
        <v>Belmont-sur-Yverdon</v>
      </c>
      <c r="C276" s="177">
        <f>Données!AR276</f>
        <v>0</v>
      </c>
      <c r="D276" s="357">
        <f>Données!Z276</f>
        <v>415</v>
      </c>
      <c r="E276" s="130">
        <f>Données!X276</f>
        <v>70</v>
      </c>
      <c r="F276" s="31">
        <f>VPI!L276</f>
        <v>787846.54999999993</v>
      </c>
      <c r="G276" s="8">
        <f t="shared" si="23"/>
        <v>22509.901428571426</v>
      </c>
      <c r="H276" s="26">
        <f t="shared" si="24"/>
        <v>36711.963415993858</v>
      </c>
      <c r="I276" s="8">
        <f t="shared" si="25"/>
        <v>22509.901428571426</v>
      </c>
      <c r="J276" s="8">
        <f>VPI!R276</f>
        <v>12109.044285714286</v>
      </c>
      <c r="K276" s="238">
        <f t="shared" si="26"/>
        <v>14840.430754144258</v>
      </c>
      <c r="L276" s="345">
        <f t="shared" si="27"/>
        <v>37350.332182715683</v>
      </c>
      <c r="M276" s="131"/>
      <c r="N276" s="132"/>
      <c r="O276" s="129"/>
      <c r="P276" s="129"/>
      <c r="Q276" s="133"/>
    </row>
    <row r="277" spans="1:17" s="128" customFormat="1" x14ac:dyDescent="0.25">
      <c r="A277" s="177">
        <f>Données!A277</f>
        <v>5903</v>
      </c>
      <c r="B277" s="356" t="str">
        <f>Données!B277</f>
        <v>Bioley-Magnoux</v>
      </c>
      <c r="C277" s="177">
        <f>Données!AR277</f>
        <v>0</v>
      </c>
      <c r="D277" s="357">
        <f>Données!Z277</f>
        <v>234</v>
      </c>
      <c r="E277" s="130">
        <f>Données!X277</f>
        <v>72</v>
      </c>
      <c r="F277" s="31">
        <f>VPI!L277</f>
        <v>397787.36000000004</v>
      </c>
      <c r="G277" s="8">
        <f t="shared" si="23"/>
        <v>11049.648888888891</v>
      </c>
      <c r="H277" s="26">
        <f t="shared" si="24"/>
        <v>20700.239612873644</v>
      </c>
      <c r="I277" s="8">
        <f t="shared" si="25"/>
        <v>11049.648888888891</v>
      </c>
      <c r="J277" s="8">
        <f>VPI!R277</f>
        <v>6062.5298015873022</v>
      </c>
      <c r="K277" s="238">
        <f t="shared" si="26"/>
        <v>7430.0292898866974</v>
      </c>
      <c r="L277" s="345">
        <f t="shared" si="27"/>
        <v>18479.67817877559</v>
      </c>
      <c r="M277" s="131"/>
      <c r="N277" s="132"/>
      <c r="O277" s="129"/>
      <c r="P277" s="129"/>
      <c r="Q277" s="133"/>
    </row>
    <row r="278" spans="1:17" s="128" customFormat="1" x14ac:dyDescent="0.25">
      <c r="A278" s="177">
        <f>Données!A278</f>
        <v>5904</v>
      </c>
      <c r="B278" s="356" t="str">
        <f>Données!B278</f>
        <v>Chamblon</v>
      </c>
      <c r="C278" s="177">
        <f>Données!AR278</f>
        <v>1</v>
      </c>
      <c r="D278" s="357">
        <f>Données!Z278</f>
        <v>561</v>
      </c>
      <c r="E278" s="130">
        <f>Données!X278</f>
        <v>66</v>
      </c>
      <c r="F278" s="31">
        <f>VPI!L278</f>
        <v>1364280.0299999998</v>
      </c>
      <c r="G278" s="8">
        <f t="shared" si="23"/>
        <v>41341.819090909084</v>
      </c>
      <c r="H278" s="26">
        <f t="shared" si="24"/>
        <v>49627.497533427835</v>
      </c>
      <c r="I278" s="8">
        <f t="shared" si="25"/>
        <v>0</v>
      </c>
      <c r="J278" s="8">
        <f>VPI!R278</f>
        <v>22177.284545454542</v>
      </c>
      <c r="K278" s="238">
        <f t="shared" si="26"/>
        <v>27179.721854684558</v>
      </c>
      <c r="L278" s="345">
        <f t="shared" si="27"/>
        <v>27179.721854684558</v>
      </c>
      <c r="M278" s="131"/>
      <c r="N278" s="132"/>
      <c r="O278" s="129"/>
      <c r="P278" s="129"/>
      <c r="Q278" s="133"/>
    </row>
    <row r="279" spans="1:17" s="128" customFormat="1" x14ac:dyDescent="0.25">
      <c r="A279" s="177">
        <f>Données!A279</f>
        <v>5905</v>
      </c>
      <c r="B279" s="356" t="str">
        <f>Données!B279</f>
        <v>Champvent</v>
      </c>
      <c r="C279" s="177">
        <f>Données!AR279</f>
        <v>0</v>
      </c>
      <c r="D279" s="357">
        <f>Données!Z279</f>
        <v>712</v>
      </c>
      <c r="E279" s="130">
        <f>Données!X279</f>
        <v>70</v>
      </c>
      <c r="F279" s="31">
        <f>VPI!L279</f>
        <v>1519440.33</v>
      </c>
      <c r="G279" s="8">
        <f t="shared" si="23"/>
        <v>43412.580857142857</v>
      </c>
      <c r="H279" s="26">
        <f t="shared" si="24"/>
        <v>62985.344463102709</v>
      </c>
      <c r="I279" s="8">
        <f t="shared" si="25"/>
        <v>43412.580857142857</v>
      </c>
      <c r="J279" s="8">
        <f>VPI!R279</f>
        <v>23290.369714285716</v>
      </c>
      <c r="K279" s="238">
        <f t="shared" si="26"/>
        <v>28543.880989108733</v>
      </c>
      <c r="L279" s="345">
        <f t="shared" si="27"/>
        <v>71956.461846251594</v>
      </c>
      <c r="M279" s="131"/>
      <c r="N279" s="132"/>
      <c r="O279" s="129"/>
      <c r="P279" s="129"/>
      <c r="Q279" s="133"/>
    </row>
    <row r="280" spans="1:17" s="128" customFormat="1" x14ac:dyDescent="0.25">
      <c r="A280" s="177">
        <f>Données!A280</f>
        <v>5907</v>
      </c>
      <c r="B280" s="356" t="str">
        <f>Données!B280</f>
        <v>Chavannes-le-Chêne</v>
      </c>
      <c r="C280" s="177">
        <f>Données!AR280</f>
        <v>0</v>
      </c>
      <c r="D280" s="357">
        <f>Données!Z280</f>
        <v>325</v>
      </c>
      <c r="E280" s="130">
        <f>Données!X280</f>
        <v>75</v>
      </c>
      <c r="F280" s="31">
        <f>VPI!L280</f>
        <v>535746.81000000006</v>
      </c>
      <c r="G280" s="8">
        <f t="shared" si="23"/>
        <v>14286.581600000001</v>
      </c>
      <c r="H280" s="26">
        <f t="shared" si="24"/>
        <v>28750.33279565784</v>
      </c>
      <c r="I280" s="8">
        <f t="shared" si="25"/>
        <v>14286.581600000001</v>
      </c>
      <c r="J280" s="8">
        <f>VPI!R280</f>
        <v>7818.3101333333334</v>
      </c>
      <c r="K280" s="238">
        <f t="shared" si="26"/>
        <v>9581.8536467854301</v>
      </c>
      <c r="L280" s="345">
        <f t="shared" si="27"/>
        <v>23868.435246785433</v>
      </c>
      <c r="M280" s="131"/>
      <c r="N280" s="132"/>
      <c r="O280" s="129"/>
      <c r="P280" s="129"/>
      <c r="Q280" s="133"/>
    </row>
    <row r="281" spans="1:17" s="128" customFormat="1" x14ac:dyDescent="0.25">
      <c r="A281" s="177">
        <f>Données!A281</f>
        <v>5908</v>
      </c>
      <c r="B281" s="356" t="str">
        <f>Données!B281</f>
        <v>Chêne-Pâquier</v>
      </c>
      <c r="C281" s="177">
        <f>Données!AR281</f>
        <v>0</v>
      </c>
      <c r="D281" s="357">
        <f>Données!Z281</f>
        <v>153</v>
      </c>
      <c r="E281" s="130">
        <f>Données!X281</f>
        <v>79</v>
      </c>
      <c r="F281" s="31">
        <f>VPI!L281</f>
        <v>324950.44</v>
      </c>
      <c r="G281" s="8">
        <f t="shared" si="23"/>
        <v>8226.5934177215186</v>
      </c>
      <c r="H281" s="26">
        <f t="shared" si="24"/>
        <v>13534.772054571229</v>
      </c>
      <c r="I281" s="8">
        <f t="shared" si="25"/>
        <v>8226.5934177215186</v>
      </c>
      <c r="J281" s="8">
        <f>VPI!R281</f>
        <v>4413.4270886075947</v>
      </c>
      <c r="K281" s="238">
        <f t="shared" si="26"/>
        <v>5408.9453759960352</v>
      </c>
      <c r="L281" s="345">
        <f t="shared" si="27"/>
        <v>13635.538793717555</v>
      </c>
      <c r="M281" s="131"/>
      <c r="N281" s="132"/>
      <c r="O281" s="129"/>
      <c r="P281" s="129"/>
      <c r="Q281" s="133"/>
    </row>
    <row r="282" spans="1:17" s="128" customFormat="1" x14ac:dyDescent="0.25">
      <c r="A282" s="177">
        <f>Données!A282</f>
        <v>5909</v>
      </c>
      <c r="B282" s="356" t="str">
        <f>Données!B282</f>
        <v>Cheseaux-Noréaz</v>
      </c>
      <c r="C282" s="177">
        <f>Données!AR282</f>
        <v>1</v>
      </c>
      <c r="D282" s="357">
        <f>Données!Z282</f>
        <v>728</v>
      </c>
      <c r="E282" s="130">
        <f>Données!X282</f>
        <v>67</v>
      </c>
      <c r="F282" s="31">
        <f>VPI!L282</f>
        <v>2309179.9099999997</v>
      </c>
      <c r="G282" s="8">
        <f t="shared" si="23"/>
        <v>68930.743582089548</v>
      </c>
      <c r="H282" s="26">
        <f t="shared" si="24"/>
        <v>64400.745462273553</v>
      </c>
      <c r="I282" s="8">
        <f t="shared" si="25"/>
        <v>0</v>
      </c>
      <c r="J282" s="8">
        <f>VPI!R282</f>
        <v>36912.898208955223</v>
      </c>
      <c r="K282" s="238">
        <f t="shared" si="26"/>
        <v>45239.186254446991</v>
      </c>
      <c r="L282" s="345">
        <f t="shared" si="27"/>
        <v>45239.186254446991</v>
      </c>
      <c r="M282" s="131"/>
      <c r="N282" s="132"/>
      <c r="O282" s="129"/>
      <c r="P282" s="129"/>
      <c r="Q282" s="133"/>
    </row>
    <row r="283" spans="1:17" s="128" customFormat="1" x14ac:dyDescent="0.25">
      <c r="A283" s="177">
        <f>Données!A283</f>
        <v>5910</v>
      </c>
      <c r="B283" s="356" t="str">
        <f>Données!B283</f>
        <v>Cronay</v>
      </c>
      <c r="C283" s="177">
        <f>Données!AR283</f>
        <v>0</v>
      </c>
      <c r="D283" s="357">
        <f>Données!Z283</f>
        <v>403</v>
      </c>
      <c r="E283" s="130">
        <f>Données!X283</f>
        <v>77</v>
      </c>
      <c r="F283" s="31">
        <f>VPI!L283</f>
        <v>752980.02999999991</v>
      </c>
      <c r="G283" s="8">
        <f t="shared" si="23"/>
        <v>19557.922857142854</v>
      </c>
      <c r="H283" s="215">
        <f t="shared" si="24"/>
        <v>35650.412666615717</v>
      </c>
      <c r="I283" s="8">
        <f t="shared" si="25"/>
        <v>19557.922857142854</v>
      </c>
      <c r="J283" s="8">
        <f>VPI!R283</f>
        <v>10599.974415584415</v>
      </c>
      <c r="K283" s="238">
        <f t="shared" si="26"/>
        <v>12990.966305719641</v>
      </c>
      <c r="L283" s="345">
        <f t="shared" si="27"/>
        <v>32548.889162862495</v>
      </c>
      <c r="M283" s="131"/>
      <c r="N283" s="132"/>
      <c r="O283" s="129"/>
      <c r="P283" s="129"/>
      <c r="Q283" s="133"/>
    </row>
    <row r="284" spans="1:17" s="128" customFormat="1" x14ac:dyDescent="0.25">
      <c r="A284" s="177">
        <f>Données!A284</f>
        <v>5911</v>
      </c>
      <c r="B284" s="356" t="str">
        <f>Données!B284</f>
        <v>Cuarny</v>
      </c>
      <c r="C284" s="177">
        <f>Données!AR284</f>
        <v>0</v>
      </c>
      <c r="D284" s="357">
        <f>Données!Z284</f>
        <v>245</v>
      </c>
      <c r="E284" s="130">
        <f>Données!X284</f>
        <v>77</v>
      </c>
      <c r="F284" s="31">
        <f>VPI!L284</f>
        <v>538375.29000000015</v>
      </c>
      <c r="G284" s="8">
        <f t="shared" si="23"/>
        <v>13983.773766233769</v>
      </c>
      <c r="H284" s="26">
        <f t="shared" si="24"/>
        <v>21673.327799803599</v>
      </c>
      <c r="I284" s="8">
        <f t="shared" si="25"/>
        <v>13983.773766233769</v>
      </c>
      <c r="J284" s="8">
        <f>VPI!R284</f>
        <v>7503.6479220779238</v>
      </c>
      <c r="K284" s="238">
        <f t="shared" si="26"/>
        <v>9196.2143967423071</v>
      </c>
      <c r="L284" s="345">
        <f t="shared" si="27"/>
        <v>23179.988162976078</v>
      </c>
      <c r="M284" s="131"/>
      <c r="N284" s="132"/>
      <c r="O284" s="129"/>
      <c r="P284" s="129"/>
      <c r="Q284" s="133"/>
    </row>
    <row r="285" spans="1:17" s="128" customFormat="1" x14ac:dyDescent="0.25">
      <c r="A285" s="177">
        <f>Données!A285</f>
        <v>5912</v>
      </c>
      <c r="B285" s="356" t="str">
        <f>Données!B285</f>
        <v>Démoret</v>
      </c>
      <c r="C285" s="177">
        <f>Données!AR285</f>
        <v>0</v>
      </c>
      <c r="D285" s="357">
        <f>Données!Z285</f>
        <v>164</v>
      </c>
      <c r="E285" s="130">
        <f>Données!X285</f>
        <v>81</v>
      </c>
      <c r="F285" s="31">
        <f>VPI!L285</f>
        <v>359756.09</v>
      </c>
      <c r="G285" s="8">
        <f t="shared" si="23"/>
        <v>8882.866419753087</v>
      </c>
      <c r="H285" s="26">
        <f t="shared" si="24"/>
        <v>14507.860241501186</v>
      </c>
      <c r="I285" s="8">
        <f t="shared" si="25"/>
        <v>8882.866419753087</v>
      </c>
      <c r="J285" s="8">
        <f>VPI!R285</f>
        <v>4722.3875308641973</v>
      </c>
      <c r="K285" s="238">
        <f t="shared" si="26"/>
        <v>5787.5967328573033</v>
      </c>
      <c r="L285" s="345">
        <f t="shared" si="27"/>
        <v>14670.463152610391</v>
      </c>
      <c r="M285" s="131"/>
      <c r="N285" s="132"/>
      <c r="O285" s="129"/>
      <c r="P285" s="129"/>
      <c r="Q285" s="133"/>
    </row>
    <row r="286" spans="1:17" s="128" customFormat="1" x14ac:dyDescent="0.25">
      <c r="A286" s="177">
        <f>Données!A286</f>
        <v>5913</v>
      </c>
      <c r="B286" s="356" t="str">
        <f>Données!B286</f>
        <v>Donneloye</v>
      </c>
      <c r="C286" s="177">
        <f>Données!AR286</f>
        <v>0</v>
      </c>
      <c r="D286" s="357">
        <f>Données!Z286</f>
        <v>891</v>
      </c>
      <c r="E286" s="130">
        <f>Données!X286</f>
        <v>73</v>
      </c>
      <c r="F286" s="31">
        <f>VPI!L286</f>
        <v>1620892.1999999997</v>
      </c>
      <c r="G286" s="8">
        <f t="shared" si="23"/>
        <v>44408.005479452047</v>
      </c>
      <c r="H286" s="26">
        <f t="shared" si="24"/>
        <v>78820.143141326567</v>
      </c>
      <c r="I286" s="8">
        <f t="shared" si="25"/>
        <v>44408.005479452047</v>
      </c>
      <c r="J286" s="8">
        <f>VPI!R286</f>
        <v>23893.15821917808</v>
      </c>
      <c r="K286" s="238">
        <f t="shared" si="26"/>
        <v>29282.637975636808</v>
      </c>
      <c r="L286" s="345">
        <f t="shared" si="27"/>
        <v>73690.643455088852</v>
      </c>
      <c r="M286" s="131"/>
      <c r="N286" s="132"/>
      <c r="O286" s="129"/>
      <c r="P286" s="129"/>
      <c r="Q286" s="133"/>
    </row>
    <row r="287" spans="1:17" s="128" customFormat="1" x14ac:dyDescent="0.25">
      <c r="A287" s="177">
        <f>Données!A287</f>
        <v>5914</v>
      </c>
      <c r="B287" s="356" t="str">
        <f>Données!B287</f>
        <v>Ependes</v>
      </c>
      <c r="C287" s="177">
        <f>Données!AR287</f>
        <v>1</v>
      </c>
      <c r="D287" s="357">
        <f>Données!Z287</f>
        <v>381</v>
      </c>
      <c r="E287" s="130">
        <f>Données!X287</f>
        <v>73.5</v>
      </c>
      <c r="F287" s="31">
        <f>VPI!L287</f>
        <v>647145.9</v>
      </c>
      <c r="G287" s="8">
        <f t="shared" si="23"/>
        <v>17609.412244897962</v>
      </c>
      <c r="H287" s="26">
        <f t="shared" si="24"/>
        <v>33704.236292755806</v>
      </c>
      <c r="I287" s="8">
        <f t="shared" si="25"/>
        <v>0</v>
      </c>
      <c r="J287" s="8">
        <f>VPI!R287</f>
        <v>9828.5374149659856</v>
      </c>
      <c r="K287" s="238">
        <f t="shared" si="26"/>
        <v>12045.519487726837</v>
      </c>
      <c r="L287" s="345">
        <f t="shared" si="27"/>
        <v>12045.519487726837</v>
      </c>
      <c r="M287" s="131"/>
      <c r="N287" s="132"/>
      <c r="O287" s="129"/>
      <c r="P287" s="129"/>
      <c r="Q287" s="133"/>
    </row>
    <row r="288" spans="1:17" s="128" customFormat="1" x14ac:dyDescent="0.25">
      <c r="A288" s="177">
        <f>Données!A288</f>
        <v>5919</v>
      </c>
      <c r="B288" s="356" t="str">
        <f>Données!B288</f>
        <v>Mathod</v>
      </c>
      <c r="C288" s="177">
        <f>Données!AR288</f>
        <v>1</v>
      </c>
      <c r="D288" s="357">
        <f>Données!Z288</f>
        <v>655</v>
      </c>
      <c r="E288" s="130">
        <f>Données!X288</f>
        <v>72</v>
      </c>
      <c r="F288" s="31">
        <f>VPI!L288</f>
        <v>1214819.04</v>
      </c>
      <c r="G288" s="8">
        <f t="shared" si="23"/>
        <v>33744.973333333335</v>
      </c>
      <c r="H288" s="26">
        <f t="shared" si="24"/>
        <v>57942.978403556568</v>
      </c>
      <c r="I288" s="8">
        <f t="shared" si="25"/>
        <v>0</v>
      </c>
      <c r="J288" s="8">
        <f>VPI!R288</f>
        <v>18684.230416666669</v>
      </c>
      <c r="K288" s="238">
        <f t="shared" si="26"/>
        <v>22898.754117213251</v>
      </c>
      <c r="L288" s="345">
        <f t="shared" si="27"/>
        <v>22898.754117213251</v>
      </c>
      <c r="M288" s="131"/>
      <c r="N288" s="132"/>
      <c r="O288" s="129"/>
      <c r="P288" s="129"/>
      <c r="Q288" s="133"/>
    </row>
    <row r="289" spans="1:17" s="128" customFormat="1" x14ac:dyDescent="0.25">
      <c r="A289" s="177">
        <f>Données!A289</f>
        <v>5921</v>
      </c>
      <c r="B289" s="356" t="str">
        <f>Données!B289</f>
        <v>Molondin</v>
      </c>
      <c r="C289" s="177">
        <f>Données!AR289</f>
        <v>0</v>
      </c>
      <c r="D289" s="357">
        <f>Données!Z289</f>
        <v>239</v>
      </c>
      <c r="E289" s="130">
        <f>Données!X289</f>
        <v>81</v>
      </c>
      <c r="F289" s="31">
        <f>VPI!L289</f>
        <v>439998.66000000003</v>
      </c>
      <c r="G289" s="8">
        <f t="shared" si="23"/>
        <v>10864.164444444445</v>
      </c>
      <c r="H289" s="26">
        <f t="shared" si="24"/>
        <v>21142.552425114533</v>
      </c>
      <c r="I289" s="8">
        <f t="shared" si="25"/>
        <v>10864.164444444445</v>
      </c>
      <c r="J289" s="8">
        <f>VPI!R289</f>
        <v>5874.5211111111121</v>
      </c>
      <c r="K289" s="238">
        <f t="shared" si="26"/>
        <v>7199.6122655240961</v>
      </c>
      <c r="L289" s="345">
        <f t="shared" si="27"/>
        <v>18063.776709968541</v>
      </c>
      <c r="M289" s="131"/>
      <c r="N289" s="132"/>
      <c r="O289" s="129"/>
      <c r="P289" s="129"/>
      <c r="Q289" s="133"/>
    </row>
    <row r="290" spans="1:17" s="128" customFormat="1" x14ac:dyDescent="0.25">
      <c r="A290" s="177">
        <f>Données!A290</f>
        <v>5922</v>
      </c>
      <c r="B290" s="356" t="str">
        <f>Données!B290</f>
        <v>Montagny-près-Yverdon</v>
      </c>
      <c r="C290" s="177">
        <f>Données!AR290</f>
        <v>0</v>
      </c>
      <c r="D290" s="357">
        <f>Données!Z290</f>
        <v>775</v>
      </c>
      <c r="E290" s="130">
        <f>Données!X290</f>
        <v>64.5</v>
      </c>
      <c r="F290" s="31">
        <f>VPI!L290</f>
        <v>2195764.4700000007</v>
      </c>
      <c r="G290" s="8">
        <f t="shared" si="23"/>
        <v>68085.720000000016</v>
      </c>
      <c r="H290" s="26">
        <f t="shared" si="24"/>
        <v>68558.485897337916</v>
      </c>
      <c r="I290" s="8">
        <f t="shared" si="25"/>
        <v>68085.720000000016</v>
      </c>
      <c r="J290" s="8">
        <f>VPI!R290</f>
        <v>39591.156899224814</v>
      </c>
      <c r="K290" s="238">
        <f t="shared" si="26"/>
        <v>48521.568554553211</v>
      </c>
      <c r="L290" s="345">
        <f t="shared" si="27"/>
        <v>116607.28855455323</v>
      </c>
      <c r="M290" s="131"/>
      <c r="N290" s="132"/>
      <c r="O290" s="129"/>
      <c r="P290" s="129"/>
      <c r="Q290" s="133"/>
    </row>
    <row r="291" spans="1:17" s="128" customFormat="1" x14ac:dyDescent="0.25">
      <c r="A291" s="177">
        <f>Données!A291</f>
        <v>5923</v>
      </c>
      <c r="B291" s="356" t="str">
        <f>Données!B291</f>
        <v>Oppens</v>
      </c>
      <c r="C291" s="177">
        <f>Données!AR291</f>
        <v>0</v>
      </c>
      <c r="D291" s="357">
        <f>Données!Z291</f>
        <v>201</v>
      </c>
      <c r="E291" s="130">
        <f>Données!X291</f>
        <v>81</v>
      </c>
      <c r="F291" s="31">
        <f>VPI!L291</f>
        <v>386374.91</v>
      </c>
      <c r="G291" s="8">
        <f t="shared" si="23"/>
        <v>9540.1212345679014</v>
      </c>
      <c r="H291" s="26">
        <f t="shared" si="24"/>
        <v>17780.97505208377</v>
      </c>
      <c r="I291" s="8">
        <f t="shared" si="25"/>
        <v>9540.1212345679014</v>
      </c>
      <c r="J291" s="8">
        <f>VPI!R291</f>
        <v>5096.0285185185185</v>
      </c>
      <c r="K291" s="238">
        <f t="shared" si="26"/>
        <v>6245.5183551884529</v>
      </c>
      <c r="L291" s="345">
        <f t="shared" si="27"/>
        <v>15785.639589756354</v>
      </c>
      <c r="M291" s="131"/>
      <c r="N291" s="274"/>
      <c r="O291" s="129"/>
      <c r="P291" s="129"/>
      <c r="Q291" s="133"/>
    </row>
    <row r="292" spans="1:17" s="128" customFormat="1" x14ac:dyDescent="0.25">
      <c r="A292" s="177">
        <f>Données!A292</f>
        <v>5924</v>
      </c>
      <c r="B292" s="356" t="str">
        <f>Données!B292</f>
        <v>Orges</v>
      </c>
      <c r="C292" s="177">
        <f>Données!AR292</f>
        <v>0</v>
      </c>
      <c r="D292" s="357">
        <f>Données!Z292</f>
        <v>367</v>
      </c>
      <c r="E292" s="130">
        <f>Données!X292</f>
        <v>74</v>
      </c>
      <c r="F292" s="31">
        <f>VPI!L292</f>
        <v>911930.78000000014</v>
      </c>
      <c r="G292" s="8">
        <f t="shared" si="23"/>
        <v>24646.777837837843</v>
      </c>
      <c r="H292" s="26">
        <f t="shared" si="24"/>
        <v>32465.760418481314</v>
      </c>
      <c r="I292" s="8">
        <f t="shared" si="25"/>
        <v>24646.777837837843</v>
      </c>
      <c r="J292" s="8">
        <f>VPI!R292</f>
        <v>13109.277432432435</v>
      </c>
      <c r="K292" s="238">
        <f t="shared" si="26"/>
        <v>16066.282307877747</v>
      </c>
      <c r="L292" s="345">
        <f t="shared" si="27"/>
        <v>40713.060145715586</v>
      </c>
      <c r="M292" s="131"/>
      <c r="N292" s="132"/>
      <c r="O292" s="129"/>
      <c r="P292" s="129"/>
      <c r="Q292" s="133"/>
    </row>
    <row r="293" spans="1:17" s="128" customFormat="1" x14ac:dyDescent="0.25">
      <c r="A293" s="177">
        <f>Données!A293</f>
        <v>5925</v>
      </c>
      <c r="B293" s="356" t="str">
        <f>Données!B293</f>
        <v>Orzens</v>
      </c>
      <c r="C293" s="177">
        <f>Données!AR293</f>
        <v>0</v>
      </c>
      <c r="D293" s="357">
        <f>Données!Z293</f>
        <v>202</v>
      </c>
      <c r="E293" s="130">
        <f>Données!X293</f>
        <v>79</v>
      </c>
      <c r="F293" s="31">
        <f>VPI!L293</f>
        <v>380682.54</v>
      </c>
      <c r="G293" s="8">
        <f t="shared" si="23"/>
        <v>9637.5326582278467</v>
      </c>
      <c r="H293" s="26">
        <f t="shared" si="24"/>
        <v>17869.437614531947</v>
      </c>
      <c r="I293" s="8">
        <f t="shared" si="25"/>
        <v>9637.5326582278467</v>
      </c>
      <c r="J293" s="8">
        <f>VPI!R293</f>
        <v>5230.3916455696199</v>
      </c>
      <c r="K293" s="238">
        <f t="shared" si="26"/>
        <v>6410.1892107789799</v>
      </c>
      <c r="L293" s="345">
        <f t="shared" si="27"/>
        <v>16047.721869006826</v>
      </c>
      <c r="M293" s="131"/>
      <c r="N293" s="132"/>
      <c r="O293" s="129"/>
      <c r="P293" s="129"/>
      <c r="Q293" s="133"/>
    </row>
    <row r="294" spans="1:17" s="128" customFormat="1" x14ac:dyDescent="0.25">
      <c r="A294" s="177">
        <f>Données!A294</f>
        <v>5926</v>
      </c>
      <c r="B294" s="356" t="str">
        <f>Données!B294</f>
        <v>Pomy</v>
      </c>
      <c r="C294" s="177">
        <f>Données!AR294</f>
        <v>1</v>
      </c>
      <c r="D294" s="357">
        <f>Données!Z294</f>
        <v>838</v>
      </c>
      <c r="E294" s="130">
        <f>Données!X294</f>
        <v>71</v>
      </c>
      <c r="F294" s="31">
        <f>VPI!L294</f>
        <v>1846824.11</v>
      </c>
      <c r="G294" s="8">
        <f t="shared" si="23"/>
        <v>52023.214366197186</v>
      </c>
      <c r="H294" s="26">
        <f t="shared" si="24"/>
        <v>74131.627331573138</v>
      </c>
      <c r="I294" s="8">
        <f t="shared" si="25"/>
        <v>0</v>
      </c>
      <c r="J294" s="8">
        <f>VPI!R294</f>
        <v>27874.142394366198</v>
      </c>
      <c r="K294" s="238">
        <f t="shared" si="26"/>
        <v>34161.596099105125</v>
      </c>
      <c r="L294" s="345">
        <f t="shared" si="27"/>
        <v>34161.596099105125</v>
      </c>
      <c r="M294" s="131"/>
      <c r="N294" s="132"/>
      <c r="O294" s="129"/>
      <c r="P294" s="129"/>
      <c r="Q294" s="133"/>
    </row>
    <row r="295" spans="1:17" s="128" customFormat="1" x14ac:dyDescent="0.25">
      <c r="A295" s="177">
        <f>Données!A295</f>
        <v>5928</v>
      </c>
      <c r="B295" s="356" t="str">
        <f>Données!B295</f>
        <v>Rovray</v>
      </c>
      <c r="C295" s="177">
        <f>Données!AR295</f>
        <v>0</v>
      </c>
      <c r="D295" s="357">
        <f>Données!Z295</f>
        <v>206</v>
      </c>
      <c r="E295" s="130">
        <f>Données!X295</f>
        <v>71.5</v>
      </c>
      <c r="F295" s="31">
        <f>VPI!L295</f>
        <v>366877.07999999996</v>
      </c>
      <c r="G295" s="8">
        <f t="shared" si="23"/>
        <v>10262.295944055943</v>
      </c>
      <c r="H295" s="26">
        <f t="shared" si="24"/>
        <v>18223.287864324659</v>
      </c>
      <c r="I295" s="8">
        <f t="shared" si="25"/>
        <v>10262.295944055943</v>
      </c>
      <c r="J295" s="8">
        <f>VPI!R295</f>
        <v>5459.4458741258732</v>
      </c>
      <c r="K295" s="238">
        <f t="shared" si="26"/>
        <v>6690.9102435563818</v>
      </c>
      <c r="L295" s="345">
        <f t="shared" si="27"/>
        <v>16953.206187612326</v>
      </c>
      <c r="M295" s="131"/>
      <c r="N295" s="132"/>
      <c r="O295" s="129"/>
      <c r="P295" s="129"/>
      <c r="Q295" s="133"/>
    </row>
    <row r="296" spans="1:17" s="128" customFormat="1" x14ac:dyDescent="0.25">
      <c r="A296" s="177">
        <f>Données!A296</f>
        <v>5929</v>
      </c>
      <c r="B296" s="356" t="str">
        <f>Données!B296</f>
        <v>Suchy</v>
      </c>
      <c r="C296" s="177">
        <f>Données!AR296</f>
        <v>1</v>
      </c>
      <c r="D296" s="357">
        <f>Données!Z296</f>
        <v>656</v>
      </c>
      <c r="E296" s="130">
        <f>Données!X296</f>
        <v>70</v>
      </c>
      <c r="F296" s="31">
        <f>VPI!L296</f>
        <v>1302416.99</v>
      </c>
      <c r="G296" s="8">
        <f t="shared" si="23"/>
        <v>37211.913999999997</v>
      </c>
      <c r="H296" s="26">
        <f t="shared" si="24"/>
        <v>58031.440966004746</v>
      </c>
      <c r="I296" s="8">
        <f t="shared" si="25"/>
        <v>0</v>
      </c>
      <c r="J296" s="8">
        <f>VPI!R296</f>
        <v>20264.63825</v>
      </c>
      <c r="K296" s="238">
        <f t="shared" si="26"/>
        <v>24835.647934800523</v>
      </c>
      <c r="L296" s="345">
        <f t="shared" si="27"/>
        <v>24835.647934800523</v>
      </c>
      <c r="M296" s="131"/>
      <c r="N296" s="132"/>
      <c r="O296" s="129"/>
      <c r="P296" s="129"/>
      <c r="Q296" s="133"/>
    </row>
    <row r="297" spans="1:17" s="128" customFormat="1" x14ac:dyDescent="0.25">
      <c r="A297" s="177">
        <f>Données!A297</f>
        <v>5930</v>
      </c>
      <c r="B297" s="356" t="str">
        <f>Données!B297</f>
        <v>Suscévaz</v>
      </c>
      <c r="C297" s="177">
        <f>Données!AR297</f>
        <v>1</v>
      </c>
      <c r="D297" s="357">
        <f>Données!Z297</f>
        <v>215</v>
      </c>
      <c r="E297" s="130">
        <f>Données!X297</f>
        <v>72</v>
      </c>
      <c r="F297" s="31">
        <f>VPI!L297</f>
        <v>447722.76</v>
      </c>
      <c r="G297" s="8">
        <f t="shared" si="23"/>
        <v>12436.743333333334</v>
      </c>
      <c r="H297" s="26">
        <f t="shared" si="24"/>
        <v>19019.450926358262</v>
      </c>
      <c r="I297" s="8">
        <f t="shared" si="25"/>
        <v>0</v>
      </c>
      <c r="J297" s="8">
        <f>VPI!R297</f>
        <v>6661.7480555555558</v>
      </c>
      <c r="K297" s="238">
        <f t="shared" si="26"/>
        <v>8164.4106989237634</v>
      </c>
      <c r="L297" s="345">
        <f t="shared" si="27"/>
        <v>8164.4106989237634</v>
      </c>
      <c r="M297" s="131"/>
      <c r="N297" s="132"/>
      <c r="O297" s="129"/>
      <c r="P297" s="129"/>
      <c r="Q297" s="133"/>
    </row>
    <row r="298" spans="1:17" s="128" customFormat="1" x14ac:dyDescent="0.25">
      <c r="A298" s="177">
        <f>Données!A298</f>
        <v>5931</v>
      </c>
      <c r="B298" s="356" t="str">
        <f>Données!B298</f>
        <v>Treycovagnes</v>
      </c>
      <c r="C298" s="177">
        <f>Données!AR298</f>
        <v>1</v>
      </c>
      <c r="D298" s="357">
        <f>Données!Z298</f>
        <v>490</v>
      </c>
      <c r="E298" s="130">
        <f>Données!X298</f>
        <v>75</v>
      </c>
      <c r="F298" s="31">
        <f>VPI!L298</f>
        <v>1064064.8</v>
      </c>
      <c r="G298" s="8">
        <f t="shared" si="23"/>
        <v>28375.061333333335</v>
      </c>
      <c r="H298" s="26">
        <f t="shared" si="24"/>
        <v>43346.655599607198</v>
      </c>
      <c r="I298" s="8">
        <f t="shared" si="25"/>
        <v>0</v>
      </c>
      <c r="J298" s="8">
        <f>VPI!R298</f>
        <v>15269.573333333334</v>
      </c>
      <c r="K298" s="238">
        <f t="shared" si="26"/>
        <v>18713.867118811515</v>
      </c>
      <c r="L298" s="345">
        <f t="shared" si="27"/>
        <v>18713.867118811515</v>
      </c>
      <c r="M298" s="131"/>
      <c r="N298" s="132"/>
      <c r="O298" s="129"/>
      <c r="P298" s="129"/>
      <c r="Q298" s="133"/>
    </row>
    <row r="299" spans="1:17" s="128" customFormat="1" x14ac:dyDescent="0.25">
      <c r="A299" s="177">
        <f>Données!A299</f>
        <v>5932</v>
      </c>
      <c r="B299" s="356" t="str">
        <f>Données!B299</f>
        <v>Ursins</v>
      </c>
      <c r="C299" s="177">
        <f>Données!AR299</f>
        <v>0</v>
      </c>
      <c r="D299" s="357">
        <f>Données!Z299</f>
        <v>228</v>
      </c>
      <c r="E299" s="130">
        <f>Données!X299</f>
        <v>75</v>
      </c>
      <c r="F299" s="31">
        <f>VPI!L299</f>
        <v>542618.35000000009</v>
      </c>
      <c r="G299" s="8">
        <f t="shared" si="23"/>
        <v>14469.822666666669</v>
      </c>
      <c r="H299" s="26">
        <f t="shared" si="24"/>
        <v>20169.464238184577</v>
      </c>
      <c r="I299" s="8">
        <f t="shared" si="25"/>
        <v>14469.822666666669</v>
      </c>
      <c r="J299" s="8">
        <f>VPI!R299</f>
        <v>7703.2953333333353</v>
      </c>
      <c r="K299" s="238">
        <f t="shared" si="26"/>
        <v>9440.8954394465218</v>
      </c>
      <c r="L299" s="345">
        <f t="shared" si="27"/>
        <v>23910.718106113192</v>
      </c>
      <c r="M299" s="131"/>
      <c r="N299" s="132"/>
      <c r="O299" s="129"/>
      <c r="P299" s="129"/>
      <c r="Q299" s="133"/>
    </row>
    <row r="300" spans="1:17" s="128" customFormat="1" x14ac:dyDescent="0.25">
      <c r="A300" s="177">
        <f>Données!A300</f>
        <v>5933</v>
      </c>
      <c r="B300" s="356" t="str">
        <f>Données!B300</f>
        <v>Valeyres-sous-Montagny</v>
      </c>
      <c r="C300" s="177">
        <f>Données!AR300</f>
        <v>0</v>
      </c>
      <c r="D300" s="357">
        <f>Données!Z300</f>
        <v>697</v>
      </c>
      <c r="E300" s="130">
        <f>Données!X300</f>
        <v>70.5</v>
      </c>
      <c r="F300" s="31">
        <f>VPI!L300</f>
        <v>1255798.9399999997</v>
      </c>
      <c r="G300" s="8">
        <f t="shared" si="23"/>
        <v>35625.501843971622</v>
      </c>
      <c r="H300" s="26">
        <f t="shared" si="24"/>
        <v>61658.406026380042</v>
      </c>
      <c r="I300" s="8">
        <f t="shared" si="25"/>
        <v>35625.501843971622</v>
      </c>
      <c r="J300" s="8">
        <f>VPI!R300</f>
        <v>19606.455886524818</v>
      </c>
      <c r="K300" s="238">
        <f t="shared" si="26"/>
        <v>24029.002128716886</v>
      </c>
      <c r="L300" s="345">
        <f t="shared" si="27"/>
        <v>59654.503972688508</v>
      </c>
      <c r="M300" s="131"/>
      <c r="N300" s="132"/>
      <c r="O300" s="129"/>
      <c r="P300" s="129"/>
      <c r="Q300" s="133"/>
    </row>
    <row r="301" spans="1:17" s="128" customFormat="1" x14ac:dyDescent="0.25">
      <c r="A301" s="177">
        <f>Données!A301</f>
        <v>5934</v>
      </c>
      <c r="B301" s="356" t="str">
        <f>Données!B301</f>
        <v>Valeyres-sous-Ursins</v>
      </c>
      <c r="C301" s="177">
        <f>Données!AR301</f>
        <v>0</v>
      </c>
      <c r="D301" s="357">
        <f>Données!Z301</f>
        <v>247</v>
      </c>
      <c r="E301" s="130">
        <f>Données!X301</f>
        <v>77</v>
      </c>
      <c r="F301" s="31">
        <f>VPI!L301</f>
        <v>510294.24000000005</v>
      </c>
      <c r="G301" s="8">
        <f t="shared" si="23"/>
        <v>13254.395844155846</v>
      </c>
      <c r="H301" s="26">
        <f t="shared" si="24"/>
        <v>21850.252924699958</v>
      </c>
      <c r="I301" s="8">
        <f t="shared" si="25"/>
        <v>13254.395844155846</v>
      </c>
      <c r="J301" s="8">
        <f>VPI!R301</f>
        <v>7018.2764935064943</v>
      </c>
      <c r="K301" s="238">
        <f t="shared" si="26"/>
        <v>8601.359765295274</v>
      </c>
      <c r="L301" s="345">
        <f t="shared" si="27"/>
        <v>21855.75560945112</v>
      </c>
      <c r="M301" s="131"/>
      <c r="N301" s="132"/>
      <c r="O301" s="129"/>
      <c r="P301" s="129"/>
      <c r="Q301" s="133"/>
    </row>
    <row r="302" spans="1:17" s="128" customFormat="1" x14ac:dyDescent="0.25">
      <c r="A302" s="177">
        <f>Données!A302</f>
        <v>5935</v>
      </c>
      <c r="B302" s="356" t="str">
        <f>Données!B302</f>
        <v>Villars-Epeney</v>
      </c>
      <c r="C302" s="177">
        <f>Données!AR302</f>
        <v>0</v>
      </c>
      <c r="D302" s="357">
        <f>Données!Z302</f>
        <v>95</v>
      </c>
      <c r="E302" s="130">
        <f>Données!X302</f>
        <v>60</v>
      </c>
      <c r="F302" s="31">
        <f>VPI!L302</f>
        <v>186342.79</v>
      </c>
      <c r="G302" s="8">
        <f t="shared" si="23"/>
        <v>6211.4263333333338</v>
      </c>
      <c r="H302" s="26">
        <f t="shared" si="24"/>
        <v>8403.9434325769071</v>
      </c>
      <c r="I302" s="8">
        <f t="shared" si="25"/>
        <v>6211.4263333333338</v>
      </c>
      <c r="J302" s="8">
        <f>VPI!R302</f>
        <v>3448.2056666666667</v>
      </c>
      <c r="K302" s="238">
        <f t="shared" si="26"/>
        <v>4226.0029953467074</v>
      </c>
      <c r="L302" s="345">
        <f t="shared" si="27"/>
        <v>10437.429328680042</v>
      </c>
      <c r="M302" s="131"/>
      <c r="N302" s="132"/>
      <c r="O302" s="129"/>
      <c r="P302" s="129"/>
      <c r="Q302" s="133"/>
    </row>
    <row r="303" spans="1:17" s="128" customFormat="1" x14ac:dyDescent="0.25">
      <c r="A303" s="177">
        <f>Données!A303</f>
        <v>5937</v>
      </c>
      <c r="B303" s="356" t="str">
        <f>Données!B303</f>
        <v>Vugelles-La Mothe</v>
      </c>
      <c r="C303" s="177">
        <f>Données!AR303</f>
        <v>0</v>
      </c>
      <c r="D303" s="357">
        <f>Données!Z303</f>
        <v>140</v>
      </c>
      <c r="E303" s="130">
        <f>Données!X303</f>
        <v>70</v>
      </c>
      <c r="F303" s="31">
        <f>VPI!L303</f>
        <v>226186.47</v>
      </c>
      <c r="G303" s="8">
        <f t="shared" si="23"/>
        <v>6462.470571428571</v>
      </c>
      <c r="H303" s="26">
        <f t="shared" si="24"/>
        <v>12384.758742744914</v>
      </c>
      <c r="I303" s="8">
        <f t="shared" si="25"/>
        <v>6462.470571428571</v>
      </c>
      <c r="J303" s="8">
        <f>VPI!R303</f>
        <v>3479.4948775510202</v>
      </c>
      <c r="K303" s="238">
        <f t="shared" si="26"/>
        <v>4264.3499826501466</v>
      </c>
      <c r="L303" s="345">
        <f t="shared" si="27"/>
        <v>10726.820554078717</v>
      </c>
      <c r="M303" s="131"/>
      <c r="N303" s="132"/>
      <c r="O303" s="129"/>
      <c r="P303" s="129"/>
      <c r="Q303" s="133"/>
    </row>
    <row r="304" spans="1:17" s="128" customFormat="1" x14ac:dyDescent="0.25">
      <c r="A304" s="177">
        <f>Données!A304</f>
        <v>5938</v>
      </c>
      <c r="B304" s="356" t="str">
        <f>Données!B304</f>
        <v>Yverdon-les-Bains</v>
      </c>
      <c r="C304" s="177">
        <f>Données!AR304</f>
        <v>1</v>
      </c>
      <c r="D304" s="357">
        <f>Données!Z304</f>
        <v>29710</v>
      </c>
      <c r="E304" s="130">
        <f>Données!X304</f>
        <v>75</v>
      </c>
      <c r="F304" s="31">
        <f>VPI!L304</f>
        <v>52093718.420000002</v>
      </c>
      <c r="G304" s="8">
        <f t="shared" si="23"/>
        <v>1389165.8245333333</v>
      </c>
      <c r="H304" s="26">
        <f t="shared" si="24"/>
        <v>2628222.7303353674</v>
      </c>
      <c r="I304" s="8">
        <f t="shared" si="25"/>
        <v>0</v>
      </c>
      <c r="J304" s="8">
        <f>VPI!R304</f>
        <v>762594.09693333332</v>
      </c>
      <c r="K304" s="238">
        <f t="shared" si="26"/>
        <v>934609.25751257408</v>
      </c>
      <c r="L304" s="345">
        <f t="shared" si="27"/>
        <v>934609.25751257408</v>
      </c>
      <c r="M304" s="131"/>
      <c r="N304" s="132"/>
      <c r="O304" s="129"/>
      <c r="P304" s="129"/>
      <c r="Q304" s="133"/>
    </row>
    <row r="305" spans="1:17" s="128" customFormat="1" x14ac:dyDescent="0.25">
      <c r="A305" s="178">
        <f>Données!A305</f>
        <v>5939</v>
      </c>
      <c r="B305" s="356" t="str">
        <f>Données!B305</f>
        <v>Yvonand</v>
      </c>
      <c r="C305" s="178">
        <f>Données!AR305</f>
        <v>0</v>
      </c>
      <c r="D305" s="357">
        <f>Données!Z305</f>
        <v>3512</v>
      </c>
      <c r="E305" s="130">
        <f>Données!X305</f>
        <v>71.5</v>
      </c>
      <c r="F305" s="31">
        <f>VPI!L305</f>
        <v>6888101.4600000009</v>
      </c>
      <c r="G305" s="227">
        <f t="shared" si="23"/>
        <v>192674.16671328674</v>
      </c>
      <c r="H305" s="70">
        <f t="shared" si="24"/>
        <v>310680.519318001</v>
      </c>
      <c r="I305" s="8">
        <f t="shared" si="25"/>
        <v>192674.16671328674</v>
      </c>
      <c r="J305" s="227">
        <f>VPI!R305</f>
        <v>105325.16447552449</v>
      </c>
      <c r="K305" s="51">
        <f t="shared" si="26"/>
        <v>129082.92126009628</v>
      </c>
      <c r="L305" s="346">
        <f t="shared" si="27"/>
        <v>321757.08797338302</v>
      </c>
      <c r="M305" s="131"/>
      <c r="N305" s="132"/>
      <c r="O305" s="129"/>
      <c r="P305" s="129"/>
      <c r="Q305" s="133"/>
    </row>
    <row r="306" spans="1:17" s="128" customFormat="1" x14ac:dyDescent="0.25">
      <c r="A306" s="25"/>
      <c r="B306" s="74">
        <f>COUNTA(B6:B305)</f>
        <v>300</v>
      </c>
      <c r="C306" s="178">
        <f>SUM(C6:C305)</f>
        <v>49</v>
      </c>
      <c r="D306" s="139">
        <f>SUM(D6:D305)</f>
        <v>823879</v>
      </c>
      <c r="E306" s="139"/>
      <c r="F306" s="139">
        <f t="shared" ref="F306:J306" si="28">SUM(F6:F305)</f>
        <v>2462001182.539999</v>
      </c>
      <c r="G306" s="143">
        <f>SUM(G6:G305)</f>
        <v>72882447.487242416</v>
      </c>
      <c r="H306" s="139">
        <f t="shared" si="28"/>
        <v>72882447.487242401</v>
      </c>
      <c r="I306" s="139">
        <f t="shared" si="28"/>
        <v>23692182.286049057</v>
      </c>
      <c r="J306" s="143">
        <f t="shared" si="28"/>
        <v>39490853.970660269</v>
      </c>
      <c r="K306" s="143">
        <f>SUM(K6:K305)</f>
        <v>48398640.713950992</v>
      </c>
      <c r="L306" s="413">
        <f>SUM(L6:L305)</f>
        <v>72090822.99999997</v>
      </c>
      <c r="M306" s="129"/>
      <c r="N306" s="269"/>
      <c r="O306" s="129"/>
      <c r="P306" s="129"/>
    </row>
    <row r="307" spans="1:17" s="128" customFormat="1" x14ac:dyDescent="0.25">
      <c r="A307" s="127"/>
      <c r="B307" s="127"/>
      <c r="C307" s="127"/>
      <c r="D307" s="127"/>
      <c r="E307" s="127"/>
      <c r="F307" s="127"/>
      <c r="G307" s="127"/>
      <c r="H307" s="142"/>
      <c r="I307" s="127"/>
      <c r="J307" s="134"/>
      <c r="K307" s="127"/>
      <c r="L307" s="134"/>
      <c r="M307" s="127"/>
      <c r="N307" s="129"/>
      <c r="P307" s="129"/>
      <c r="Q307" s="129"/>
    </row>
    <row r="308" spans="1:17" x14ac:dyDescent="0.25">
      <c r="H308" s="142"/>
      <c r="I308" s="142"/>
      <c r="J308" s="142"/>
      <c r="K308" s="142"/>
      <c r="L308" s="232"/>
      <c r="M308" s="142"/>
    </row>
  </sheetData>
  <protectedRanges>
    <protectedRange sqref="C6:C305" name="Plage1"/>
  </protectedRanges>
  <mergeCells count="11">
    <mergeCell ref="E1:F1"/>
    <mergeCell ref="L4:L5"/>
    <mergeCell ref="B4:B5"/>
    <mergeCell ref="A4:A5"/>
    <mergeCell ref="J4:J5"/>
    <mergeCell ref="I4:I5"/>
    <mergeCell ref="H4:H5"/>
    <mergeCell ref="F4:F5"/>
    <mergeCell ref="E4:E5"/>
    <mergeCell ref="C4:C5"/>
    <mergeCell ref="G4:G5"/>
  </mergeCells>
  <hyperlinks>
    <hyperlink ref="C1" location="Taux!A1" display="← Précédent" xr:uid="{C8901635-E034-47DD-93A2-BAA21240173B}"/>
    <hyperlink ref="E1:F1" location="Synthèse!A1" display="Suivant →" xr:uid="{E0670AFE-D86B-4F7C-A3A7-5583CCD7E9BB}"/>
    <hyperlink ref="D1" location="'Table des matières'!A1" display="Table des             matières" xr:uid="{47FAC582-202D-4B6D-B66A-647C53FD6C30}"/>
  </hyperlinks>
  <printOptions horizontalCentered="1" verticalCentered="1"/>
  <pageMargins left="0.78740157480314965" right="0.78740157480314965" top="0.98425196850393704" bottom="0.98425196850393704" header="0.51181102362204722" footer="0.51181102362204722"/>
  <pageSetup paperSize="8" fitToHeight="9" orientation="landscape" r:id="rId1"/>
  <headerFooter alignWithMargins="0">
    <oddFooter>&amp;L&amp;8SCL - Division finances communales&amp;C- &amp;N -&amp;R&amp;8ASFiCo/FW/Juillet 2014</oddFooter>
  </headerFooter>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Feuil17">
    <tabColor theme="3" tint="0.59999389629810485"/>
  </sheetPr>
  <dimension ref="A1:J307"/>
  <sheetViews>
    <sheetView workbookViewId="0"/>
  </sheetViews>
  <sheetFormatPr baseColWidth="10" defaultColWidth="10.75" defaultRowHeight="15" x14ac:dyDescent="0.25"/>
  <cols>
    <col min="1" max="1" width="7.5" style="11" customWidth="1"/>
    <col min="2" max="2" width="20.875" style="11" customWidth="1"/>
    <col min="3" max="3" width="7.5" style="13" customWidth="1"/>
    <col min="4" max="4" width="10.5" style="85" customWidth="1"/>
    <col min="5" max="5" width="16.125" style="85" customWidth="1"/>
    <col min="6" max="6" width="12.5" style="11" customWidth="1"/>
    <col min="7" max="7" width="15.625" style="11" customWidth="1"/>
    <col min="8" max="8" width="10.25" style="219" customWidth="1"/>
    <col min="9" max="9" width="12" style="11" bestFit="1" customWidth="1"/>
    <col min="10" max="10" width="10.75" style="11" customWidth="1"/>
    <col min="11" max="16384" width="10.75" style="11"/>
  </cols>
  <sheetData>
    <row r="1" spans="1:10" s="33" customFormat="1" ht="26.25" x14ac:dyDescent="0.2">
      <c r="A1" s="298" t="s">
        <v>429</v>
      </c>
      <c r="B1" s="299"/>
      <c r="C1" s="411" t="s">
        <v>406</v>
      </c>
      <c r="D1" s="311" t="s">
        <v>398</v>
      </c>
      <c r="E1" s="306" t="s">
        <v>407</v>
      </c>
      <c r="F1" s="301"/>
      <c r="G1" s="49"/>
      <c r="H1" s="221"/>
      <c r="I1" s="49"/>
    </row>
    <row r="2" spans="1:10" s="33" customFormat="1" ht="15.75" x14ac:dyDescent="0.2">
      <c r="A2" s="359" t="str">
        <f>Paramètres!B4</f>
        <v>Acomptes 2023</v>
      </c>
      <c r="C2" s="80"/>
      <c r="D2" s="166"/>
      <c r="E2" s="166"/>
      <c r="F2" s="49"/>
      <c r="G2" s="49"/>
      <c r="H2" s="221"/>
      <c r="I2" s="49"/>
      <c r="J2" s="49"/>
    </row>
    <row r="3" spans="1:10" x14ac:dyDescent="0.25">
      <c r="D3" s="11"/>
      <c r="E3" s="11"/>
    </row>
    <row r="4" spans="1:10" ht="53.25" customHeight="1" x14ac:dyDescent="0.25">
      <c r="A4" s="567" t="s">
        <v>44</v>
      </c>
      <c r="B4" s="567" t="s">
        <v>84</v>
      </c>
      <c r="C4" s="566" t="s">
        <v>301</v>
      </c>
      <c r="D4" s="569" t="s">
        <v>257</v>
      </c>
      <c r="E4" s="569" t="s">
        <v>414</v>
      </c>
      <c r="F4" s="570" t="s">
        <v>277</v>
      </c>
      <c r="G4" s="571" t="s">
        <v>395</v>
      </c>
      <c r="H4" s="568" t="s">
        <v>411</v>
      </c>
      <c r="I4" s="569" t="s">
        <v>124</v>
      </c>
    </row>
    <row r="5" spans="1:10" s="87" customFormat="1" x14ac:dyDescent="0.25">
      <c r="A5" s="400">
        <f>Données!A6</f>
        <v>5401</v>
      </c>
      <c r="B5" s="399" t="str">
        <f>Données!B6</f>
        <v>Aigle</v>
      </c>
      <c r="C5" s="403">
        <f>VPI!Q6</f>
        <v>66</v>
      </c>
      <c r="D5" s="407">
        <f>Données!Z6</f>
        <v>10828</v>
      </c>
      <c r="E5" s="179">
        <f>VPI!R6</f>
        <v>280916.50972222222</v>
      </c>
      <c r="F5" s="334">
        <f>'Péréquation directe'!K12</f>
        <v>-8731114.6376851052</v>
      </c>
      <c r="G5" s="514">
        <f>PCS!I12</f>
        <v>5028234.2576078577</v>
      </c>
      <c r="H5" s="344">
        <f>'Facture policière'!L6</f>
        <v>344281.6717704832</v>
      </c>
      <c r="I5" s="481">
        <f>SUM(F5:H5)</f>
        <v>-3358598.7083067643</v>
      </c>
      <c r="J5" s="181"/>
    </row>
    <row r="6" spans="1:10" s="87" customFormat="1" x14ac:dyDescent="0.25">
      <c r="A6" s="401">
        <f>Données!A7</f>
        <v>5402</v>
      </c>
      <c r="B6" s="405" t="str">
        <f>Données!B7</f>
        <v>Bex</v>
      </c>
      <c r="C6" s="403">
        <f>VPI!Q7</f>
        <v>71</v>
      </c>
      <c r="D6" s="408">
        <f>Données!Z7</f>
        <v>8063</v>
      </c>
      <c r="E6" s="179">
        <f>VPI!R7</f>
        <v>192666.65084507043</v>
      </c>
      <c r="F6" s="316">
        <f>'Péréquation directe'!K13</f>
        <v>-6192714.0080501335</v>
      </c>
      <c r="G6" s="329">
        <f>PCS!I13</f>
        <v>3347457.2045781128</v>
      </c>
      <c r="H6" s="345">
        <f>'Facture policière'!L7</f>
        <v>236125.66136803883</v>
      </c>
      <c r="I6" s="457">
        <f t="shared" ref="I6:I69" si="0">SUM(F6:H6)</f>
        <v>-2609131.1421039817</v>
      </c>
      <c r="J6" s="181"/>
    </row>
    <row r="7" spans="1:10" s="87" customFormat="1" x14ac:dyDescent="0.25">
      <c r="A7" s="401">
        <f>Données!A8</f>
        <v>5403</v>
      </c>
      <c r="B7" s="405" t="str">
        <f>Données!B8</f>
        <v>Chessel</v>
      </c>
      <c r="C7" s="403">
        <f>VPI!Q8</f>
        <v>74</v>
      </c>
      <c r="D7" s="408">
        <f>Données!Z8</f>
        <v>497</v>
      </c>
      <c r="E7" s="179">
        <f>VPI!R8</f>
        <v>12085.365135135135</v>
      </c>
      <c r="F7" s="316">
        <f>'Péréquation directe'!K14</f>
        <v>-106143.52249533369</v>
      </c>
      <c r="G7" s="329">
        <f>PCS!I14</f>
        <v>193999.06245750794</v>
      </c>
      <c r="H7" s="345">
        <f>'Facture policière'!L8</f>
        <v>36364.478504724946</v>
      </c>
      <c r="I7" s="457">
        <f t="shared" si="0"/>
        <v>124220.0184668992</v>
      </c>
      <c r="J7" s="181"/>
    </row>
    <row r="8" spans="1:10" s="87" customFormat="1" x14ac:dyDescent="0.25">
      <c r="A8" s="401">
        <f>Données!A9</f>
        <v>5404</v>
      </c>
      <c r="B8" s="405" t="str">
        <f>Données!B9</f>
        <v>Corbeyrier</v>
      </c>
      <c r="C8" s="403">
        <f>VPI!Q9</f>
        <v>74</v>
      </c>
      <c r="D8" s="408">
        <f>Données!Z9</f>
        <v>439</v>
      </c>
      <c r="E8" s="179">
        <f>VPI!R9</f>
        <v>11580.799189189189</v>
      </c>
      <c r="F8" s="316">
        <f>'Péréquation directe'!K15</f>
        <v>-211399.67330533062</v>
      </c>
      <c r="G8" s="329">
        <f>PCS!I15</f>
        <v>201787.41445274247</v>
      </c>
      <c r="H8" s="345">
        <f>'Facture policière'!L9</f>
        <v>34909.901620800141</v>
      </c>
      <c r="I8" s="457">
        <f t="shared" si="0"/>
        <v>25297.642768211983</v>
      </c>
      <c r="J8" s="181"/>
    </row>
    <row r="9" spans="1:10" s="87" customFormat="1" x14ac:dyDescent="0.25">
      <c r="A9" s="401">
        <f>Données!A10</f>
        <v>5405</v>
      </c>
      <c r="B9" s="405" t="str">
        <f>Données!B10</f>
        <v>Gryon</v>
      </c>
      <c r="C9" s="403">
        <f>VPI!Q10</f>
        <v>73.5</v>
      </c>
      <c r="D9" s="408">
        <f>Données!Z10</f>
        <v>1382</v>
      </c>
      <c r="E9" s="179">
        <f>VPI!R10</f>
        <v>78106.688299319736</v>
      </c>
      <c r="F9" s="316">
        <f>'Péréquation directe'!K16</f>
        <v>355187.98527093977</v>
      </c>
      <c r="G9" s="329">
        <f>PCS!I16</f>
        <v>1894061.9758343264</v>
      </c>
      <c r="H9" s="345">
        <f>'Facture policière'!L10</f>
        <v>217980.14856876939</v>
      </c>
      <c r="I9" s="457">
        <f t="shared" si="0"/>
        <v>2467230.1096740356</v>
      </c>
      <c r="J9" s="181"/>
    </row>
    <row r="10" spans="1:10" s="87" customFormat="1" x14ac:dyDescent="0.25">
      <c r="A10" s="401">
        <f>Données!A11</f>
        <v>5406</v>
      </c>
      <c r="B10" s="405" t="str">
        <f>Données!B11</f>
        <v>Lavey-Morcles</v>
      </c>
      <c r="C10" s="403">
        <f>VPI!Q11</f>
        <v>71.5</v>
      </c>
      <c r="D10" s="408">
        <f>Données!Z11</f>
        <v>966</v>
      </c>
      <c r="E10" s="179">
        <f>VPI!R11</f>
        <v>21511.827778375475</v>
      </c>
      <c r="F10" s="316">
        <f>'Péréquation directe'!K17</f>
        <v>-378405.45480828651</v>
      </c>
      <c r="G10" s="329">
        <f>PCS!I17</f>
        <v>323713.23661060433</v>
      </c>
      <c r="H10" s="345">
        <f>'Facture policière'!L11</f>
        <v>64714.995473519004</v>
      </c>
      <c r="I10" s="457">
        <f t="shared" si="0"/>
        <v>10022.77727583683</v>
      </c>
      <c r="J10" s="181"/>
    </row>
    <row r="11" spans="1:10" s="87" customFormat="1" x14ac:dyDescent="0.25">
      <c r="A11" s="401">
        <f>Données!A12</f>
        <v>5407</v>
      </c>
      <c r="B11" s="405" t="str">
        <f>Données!B12</f>
        <v>Leysin</v>
      </c>
      <c r="C11" s="403">
        <f>VPI!Q12</f>
        <v>78</v>
      </c>
      <c r="D11" s="408">
        <f>Données!Z12</f>
        <v>3637</v>
      </c>
      <c r="E11" s="179">
        <f>VPI!R12</f>
        <v>90677.609059829061</v>
      </c>
      <c r="F11" s="316">
        <f>'Péréquation directe'!K18</f>
        <v>-3512447.724872041</v>
      </c>
      <c r="G11" s="329">
        <f>PCS!I18</f>
        <v>1728160.5658100494</v>
      </c>
      <c r="H11" s="345">
        <f>'Facture policière'!L12</f>
        <v>269269.76239773078</v>
      </c>
      <c r="I11" s="457">
        <f t="shared" si="0"/>
        <v>-1515017.3966642609</v>
      </c>
      <c r="J11" s="181"/>
    </row>
    <row r="12" spans="1:10" s="87" customFormat="1" x14ac:dyDescent="0.25">
      <c r="A12" s="401">
        <f>Données!A13</f>
        <v>5408</v>
      </c>
      <c r="B12" s="405" t="str">
        <f>Données!B13</f>
        <v>Noville</v>
      </c>
      <c r="C12" s="403">
        <f>VPI!Q13</f>
        <v>78.5</v>
      </c>
      <c r="D12" s="408">
        <f>Données!Z13</f>
        <v>1169</v>
      </c>
      <c r="E12" s="179">
        <f>VPI!R13</f>
        <v>41378.888492569007</v>
      </c>
      <c r="F12" s="316">
        <f>'Péréquation directe'!K19</f>
        <v>-48253.216376143508</v>
      </c>
      <c r="G12" s="329">
        <f>PCS!I19</f>
        <v>789661.9396226235</v>
      </c>
      <c r="H12" s="345">
        <f>'Facture policière'!L13</f>
        <v>124016.255234524</v>
      </c>
      <c r="I12" s="457">
        <f t="shared" si="0"/>
        <v>865424.97848100401</v>
      </c>
      <c r="J12" s="181"/>
    </row>
    <row r="13" spans="1:10" s="87" customFormat="1" x14ac:dyDescent="0.25">
      <c r="A13" s="401">
        <f>Données!A14</f>
        <v>5409</v>
      </c>
      <c r="B13" s="405" t="str">
        <f>Données!B14</f>
        <v>Ollon</v>
      </c>
      <c r="C13" s="403">
        <f>VPI!Q14</f>
        <v>68</v>
      </c>
      <c r="D13" s="408">
        <f>Données!Z14</f>
        <v>7904</v>
      </c>
      <c r="E13" s="179">
        <f>VPI!R14</f>
        <v>428223.81707013579</v>
      </c>
      <c r="F13" s="316">
        <f>'Péréquation directe'!K20</f>
        <v>1019251.8305010889</v>
      </c>
      <c r="G13" s="329">
        <f>PCS!I20</f>
        <v>8041418.1485210974</v>
      </c>
      <c r="H13" s="345">
        <f>'Facture policière'!L14</f>
        <v>524816.47226297343</v>
      </c>
      <c r="I13" s="457">
        <f t="shared" si="0"/>
        <v>9585486.4512851592</v>
      </c>
      <c r="J13" s="181"/>
    </row>
    <row r="14" spans="1:10" s="87" customFormat="1" x14ac:dyDescent="0.25">
      <c r="A14" s="401">
        <f>Données!A15</f>
        <v>5410</v>
      </c>
      <c r="B14" s="405" t="str">
        <f>Données!B15</f>
        <v>Ormont-Dessous</v>
      </c>
      <c r="C14" s="403">
        <f>VPI!Q15</f>
        <v>77</v>
      </c>
      <c r="D14" s="408">
        <f>Données!Z15</f>
        <v>1162</v>
      </c>
      <c r="E14" s="179">
        <f>VPI!R15</f>
        <v>38612.897532467534</v>
      </c>
      <c r="F14" s="316">
        <f>'Péréquation directe'!K21</f>
        <v>-1149625.1131115414</v>
      </c>
      <c r="G14" s="329">
        <f>PCS!I21</f>
        <v>819348.11467815354</v>
      </c>
      <c r="H14" s="345">
        <f>'Facture policière'!L15</f>
        <v>114023.29302869763</v>
      </c>
      <c r="I14" s="457">
        <f t="shared" si="0"/>
        <v>-216253.7054046902</v>
      </c>
      <c r="J14" s="181"/>
    </row>
    <row r="15" spans="1:10" s="87" customFormat="1" x14ac:dyDescent="0.25">
      <c r="A15" s="401">
        <f>Données!A16</f>
        <v>5411</v>
      </c>
      <c r="B15" s="405" t="str">
        <f>Données!B16</f>
        <v>Ormont-Dessus</v>
      </c>
      <c r="C15" s="403">
        <f>VPI!Q16</f>
        <v>76</v>
      </c>
      <c r="D15" s="408">
        <f>Données!Z16</f>
        <v>1451</v>
      </c>
      <c r="E15" s="179">
        <f>VPI!R16</f>
        <v>77406.69241228071</v>
      </c>
      <c r="F15" s="316">
        <f>'Péréquation directe'!K22</f>
        <v>243331.7333666326</v>
      </c>
      <c r="G15" s="329">
        <f>PCS!I22</f>
        <v>1617624.1456319755</v>
      </c>
      <c r="H15" s="345">
        <f>'Facture policière'!L16</f>
        <v>223226.17434643829</v>
      </c>
      <c r="I15" s="457">
        <f t="shared" si="0"/>
        <v>2084182.0533450465</v>
      </c>
      <c r="J15" s="181"/>
    </row>
    <row r="16" spans="1:10" s="87" customFormat="1" x14ac:dyDescent="0.25">
      <c r="A16" s="401">
        <f>Données!A17</f>
        <v>5412</v>
      </c>
      <c r="B16" s="405" t="str">
        <f>Données!B17</f>
        <v>Rennaz</v>
      </c>
      <c r="C16" s="403">
        <f>VPI!Q17</f>
        <v>69</v>
      </c>
      <c r="D16" s="408">
        <f>Données!Z17</f>
        <v>883</v>
      </c>
      <c r="E16" s="179">
        <f>VPI!R17</f>
        <v>28866.898550724636</v>
      </c>
      <c r="F16" s="316">
        <f>'Péréquation directe'!K23</f>
        <v>94670.106576312392</v>
      </c>
      <c r="G16" s="329">
        <f>PCS!I23</f>
        <v>709741.27914337663</v>
      </c>
      <c r="H16" s="345">
        <f>'Facture policière'!L17</f>
        <v>81499.500051068055</v>
      </c>
      <c r="I16" s="457">
        <f t="shared" si="0"/>
        <v>885910.8857707571</v>
      </c>
      <c r="J16" s="181"/>
    </row>
    <row r="17" spans="1:10" s="87" customFormat="1" x14ac:dyDescent="0.25">
      <c r="A17" s="401">
        <f>Données!A18</f>
        <v>5413</v>
      </c>
      <c r="B17" s="405" t="str">
        <f>Données!B18</f>
        <v>Roche</v>
      </c>
      <c r="C17" s="403">
        <f>VPI!Q18</f>
        <v>68</v>
      </c>
      <c r="D17" s="408">
        <f>Données!Z18</f>
        <v>1874</v>
      </c>
      <c r="E17" s="179">
        <f>VPI!R18</f>
        <v>43141.688749999994</v>
      </c>
      <c r="F17" s="316">
        <f>'Péréquation directe'!K24</f>
        <v>-556314.56842436141</v>
      </c>
      <c r="G17" s="329">
        <f>PCS!I24</f>
        <v>1048963.627414576</v>
      </c>
      <c r="H17" s="345">
        <f>'Facture policière'!L18</f>
        <v>129801.37343510079</v>
      </c>
      <c r="I17" s="457">
        <f t="shared" si="0"/>
        <v>622450.43242531538</v>
      </c>
      <c r="J17" s="181"/>
    </row>
    <row r="18" spans="1:10" s="87" customFormat="1" x14ac:dyDescent="0.25">
      <c r="A18" s="401">
        <f>Données!A19</f>
        <v>5414</v>
      </c>
      <c r="B18" s="405" t="str">
        <f>Données!B19</f>
        <v>Villeneuve</v>
      </c>
      <c r="C18" s="403">
        <f>VPI!Q19</f>
        <v>67.5</v>
      </c>
      <c r="D18" s="408">
        <f>Données!Z19</f>
        <v>5921</v>
      </c>
      <c r="E18" s="179">
        <f>VPI!R19</f>
        <v>185623.95377777779</v>
      </c>
      <c r="F18" s="316">
        <f>'Péréquation directe'!K25</f>
        <v>-3004413.4338890519</v>
      </c>
      <c r="G18" s="329">
        <f>PCS!I25</f>
        <v>3648500.971185144</v>
      </c>
      <c r="H18" s="345">
        <f>'Facture policière'!L19</f>
        <v>555886.84754524054</v>
      </c>
      <c r="I18" s="457">
        <f t="shared" si="0"/>
        <v>1199974.3848413327</v>
      </c>
      <c r="J18" s="181"/>
    </row>
    <row r="19" spans="1:10" s="87" customFormat="1" x14ac:dyDescent="0.25">
      <c r="A19" s="401">
        <f>Données!A20</f>
        <v>5415</v>
      </c>
      <c r="B19" s="405" t="str">
        <f>Données!B20</f>
        <v>Yvorne</v>
      </c>
      <c r="C19" s="403">
        <f>VPI!Q20</f>
        <v>71.5</v>
      </c>
      <c r="D19" s="408">
        <f>Données!Z20</f>
        <v>1038</v>
      </c>
      <c r="E19" s="179">
        <f>VPI!R20</f>
        <v>35904.669044289032</v>
      </c>
      <c r="F19" s="316">
        <f>'Péréquation directe'!K26</f>
        <v>42349.610166456434</v>
      </c>
      <c r="G19" s="329">
        <f>PCS!I26</f>
        <v>739720.29100931354</v>
      </c>
      <c r="H19" s="345">
        <f>'Facture policière'!L20</f>
        <v>108820.98316633166</v>
      </c>
      <c r="I19" s="457">
        <f t="shared" si="0"/>
        <v>890890.88434210164</v>
      </c>
      <c r="J19" s="181"/>
    </row>
    <row r="20" spans="1:10" s="87" customFormat="1" x14ac:dyDescent="0.25">
      <c r="A20" s="401">
        <f>Données!A21</f>
        <v>5422</v>
      </c>
      <c r="B20" s="405" t="str">
        <f>Données!B21</f>
        <v>Aubonne</v>
      </c>
      <c r="C20" s="403">
        <f>VPI!Q21</f>
        <v>70</v>
      </c>
      <c r="D20" s="408">
        <f>Données!Z21</f>
        <v>3781</v>
      </c>
      <c r="E20" s="179">
        <f>VPI!R21</f>
        <v>307027.61800000002</v>
      </c>
      <c r="F20" s="316">
        <f>'Péréquation directe'!K27</f>
        <v>4664274.1239330946</v>
      </c>
      <c r="G20" s="329">
        <f>PCS!I27</f>
        <v>7552928.2665608069</v>
      </c>
      <c r="H20" s="345">
        <f>'Facture policière'!L21</f>
        <v>710759.50213850313</v>
      </c>
      <c r="I20" s="457">
        <f t="shared" si="0"/>
        <v>12927961.892632404</v>
      </c>
      <c r="J20" s="181"/>
    </row>
    <row r="21" spans="1:10" s="87" customFormat="1" x14ac:dyDescent="0.25">
      <c r="A21" s="401">
        <f>Données!A22</f>
        <v>5423</v>
      </c>
      <c r="B21" s="405" t="str">
        <f>Données!B22</f>
        <v>Ballens</v>
      </c>
      <c r="C21" s="403">
        <f>VPI!Q22</f>
        <v>73</v>
      </c>
      <c r="D21" s="408">
        <f>Données!Z22</f>
        <v>567</v>
      </c>
      <c r="E21" s="179">
        <f>VPI!R22</f>
        <v>16194.081232876708</v>
      </c>
      <c r="F21" s="316">
        <f>'Péréquation directe'!K28</f>
        <v>-77800.20808350353</v>
      </c>
      <c r="G21" s="329">
        <f>PCS!I28</f>
        <v>285663.40197876736</v>
      </c>
      <c r="H21" s="345">
        <f>'Facture policière'!L22</f>
        <v>49938.75020633643</v>
      </c>
      <c r="I21" s="457">
        <f t="shared" si="0"/>
        <v>257801.94410160027</v>
      </c>
      <c r="J21" s="181"/>
    </row>
    <row r="22" spans="1:10" s="87" customFormat="1" x14ac:dyDescent="0.25">
      <c r="A22" s="401">
        <f>Données!A23</f>
        <v>5424</v>
      </c>
      <c r="B22" s="405" t="str">
        <f>Données!B23</f>
        <v>Berolle</v>
      </c>
      <c r="C22" s="403">
        <f>VPI!Q23</f>
        <v>75.5</v>
      </c>
      <c r="D22" s="408">
        <f>Données!Z23</f>
        <v>308</v>
      </c>
      <c r="E22" s="179">
        <f>VPI!R23</f>
        <v>8301.7307284768212</v>
      </c>
      <c r="F22" s="316">
        <f>'Péréquation directe'!K29</f>
        <v>-101573.35511658361</v>
      </c>
      <c r="G22" s="329">
        <f>PCS!I29</f>
        <v>121189.56233189306</v>
      </c>
      <c r="H22" s="345">
        <f>'Facture policière'!L23</f>
        <v>25419.299390223317</v>
      </c>
      <c r="I22" s="457">
        <f t="shared" si="0"/>
        <v>45035.506605532762</v>
      </c>
      <c r="J22" s="181"/>
    </row>
    <row r="23" spans="1:10" s="87" customFormat="1" x14ac:dyDescent="0.25">
      <c r="A23" s="401">
        <f>Données!A24</f>
        <v>5425</v>
      </c>
      <c r="B23" s="405" t="str">
        <f>Données!B24</f>
        <v>Bière</v>
      </c>
      <c r="C23" s="403">
        <f>VPI!Q24</f>
        <v>69</v>
      </c>
      <c r="D23" s="408">
        <f>Données!Z24</f>
        <v>1634</v>
      </c>
      <c r="E23" s="179">
        <f>VPI!R24</f>
        <v>44215.914072963518</v>
      </c>
      <c r="F23" s="316">
        <f>'Péréquation directe'!K30</f>
        <v>-900587.50208646711</v>
      </c>
      <c r="G23" s="329">
        <f>PCS!I30</f>
        <v>724488.93913275679</v>
      </c>
      <c r="H23" s="345">
        <f>'Facture policière'!L24</f>
        <v>135862.33140973229</v>
      </c>
      <c r="I23" s="457">
        <f t="shared" si="0"/>
        <v>-40236.231543978036</v>
      </c>
      <c r="J23" s="181"/>
    </row>
    <row r="24" spans="1:10" s="87" customFormat="1" x14ac:dyDescent="0.25">
      <c r="A24" s="401">
        <f>Données!A25</f>
        <v>5426</v>
      </c>
      <c r="B24" s="405" t="str">
        <f>Données!B25</f>
        <v>Bougy-Villars</v>
      </c>
      <c r="C24" s="403">
        <f>VPI!Q25</f>
        <v>64.5</v>
      </c>
      <c r="D24" s="408">
        <f>Données!Z25</f>
        <v>497</v>
      </c>
      <c r="E24" s="179">
        <f>VPI!R25</f>
        <v>53043.343074935401</v>
      </c>
      <c r="F24" s="316">
        <f>'Péréquation directe'!K31</f>
        <v>958449.14411814231</v>
      </c>
      <c r="G24" s="329">
        <f>PCS!I31</f>
        <v>1512410.4331260992</v>
      </c>
      <c r="H24" s="345">
        <f>'Facture policière'!L25</f>
        <v>108974.0016333168</v>
      </c>
      <c r="I24" s="457">
        <f t="shared" si="0"/>
        <v>2579833.5788775585</v>
      </c>
      <c r="J24" s="181"/>
    </row>
    <row r="25" spans="1:10" s="87" customFormat="1" x14ac:dyDescent="0.25">
      <c r="A25" s="401">
        <f>Données!A26</f>
        <v>5427</v>
      </c>
      <c r="B25" s="405" t="str">
        <f>Données!B26</f>
        <v>Féchy</v>
      </c>
      <c r="C25" s="403">
        <f>VPI!Q26</f>
        <v>64</v>
      </c>
      <c r="D25" s="408">
        <f>Données!Z26</f>
        <v>893</v>
      </c>
      <c r="E25" s="179">
        <f>VPI!R26</f>
        <v>88211.829663461554</v>
      </c>
      <c r="F25" s="316">
        <f>'Péréquation directe'!K32</f>
        <v>1585336.7013681112</v>
      </c>
      <c r="G25" s="329">
        <f>PCS!I32</f>
        <v>2324015.8279521898</v>
      </c>
      <c r="H25" s="345">
        <f>'Facture policière'!L26</f>
        <v>187106.47136431793</v>
      </c>
      <c r="I25" s="457">
        <f t="shared" si="0"/>
        <v>4096459.0006846189</v>
      </c>
      <c r="J25" s="181"/>
    </row>
    <row r="26" spans="1:10" s="87" customFormat="1" x14ac:dyDescent="0.25">
      <c r="A26" s="401">
        <f>Données!A27</f>
        <v>5428</v>
      </c>
      <c r="B26" s="405" t="str">
        <f>Données!B27</f>
        <v>Gimel</v>
      </c>
      <c r="C26" s="403">
        <f>VPI!Q27</f>
        <v>74.5</v>
      </c>
      <c r="D26" s="408">
        <f>Données!Z27</f>
        <v>2402</v>
      </c>
      <c r="E26" s="179">
        <f>VPI!R27</f>
        <v>70557.620626398202</v>
      </c>
      <c r="F26" s="316">
        <f>'Péréquation directe'!K33</f>
        <v>-831658.40105339419</v>
      </c>
      <c r="G26" s="329">
        <f>PCS!I33</f>
        <v>1316010.425106704</v>
      </c>
      <c r="H26" s="345">
        <f>'Facture policière'!L27</f>
        <v>216546.53065915441</v>
      </c>
      <c r="I26" s="457">
        <f t="shared" si="0"/>
        <v>700898.55471246422</v>
      </c>
      <c r="J26" s="181"/>
    </row>
    <row r="27" spans="1:10" s="87" customFormat="1" x14ac:dyDescent="0.25">
      <c r="A27" s="401">
        <f>Données!A28</f>
        <v>5429</v>
      </c>
      <c r="B27" s="405" t="str">
        <f>Données!B28</f>
        <v>Longirod</v>
      </c>
      <c r="C27" s="403">
        <f>VPI!Q28</f>
        <v>77.5</v>
      </c>
      <c r="D27" s="408">
        <f>Données!Z28</f>
        <v>520</v>
      </c>
      <c r="E27" s="179">
        <f>VPI!R28</f>
        <v>18573.92709677419</v>
      </c>
      <c r="F27" s="316">
        <f>'Péréquation directe'!K34</f>
        <v>49372.331912493915</v>
      </c>
      <c r="G27" s="329">
        <f>PCS!I34</f>
        <v>330637.00009351096</v>
      </c>
      <c r="H27" s="345">
        <f>'Facture policière'!L28</f>
        <v>57112.814009809736</v>
      </c>
      <c r="I27" s="457">
        <f t="shared" si="0"/>
        <v>437122.14601581462</v>
      </c>
      <c r="J27" s="181"/>
    </row>
    <row r="28" spans="1:10" s="87" customFormat="1" x14ac:dyDescent="0.25">
      <c r="A28" s="401">
        <f>Données!A29</f>
        <v>5430</v>
      </c>
      <c r="B28" s="405" t="str">
        <f>Données!B29</f>
        <v>Marchissy</v>
      </c>
      <c r="C28" s="403">
        <f>VPI!Q29</f>
        <v>77.5</v>
      </c>
      <c r="D28" s="408">
        <f>Données!Z29</f>
        <v>485</v>
      </c>
      <c r="E28" s="179">
        <f>VPI!R29</f>
        <v>15580.605290322583</v>
      </c>
      <c r="F28" s="316">
        <f>'Péréquation directe'!K35</f>
        <v>-6604.4831264992827</v>
      </c>
      <c r="G28" s="329">
        <f>PCS!I35</f>
        <v>245608.74982396801</v>
      </c>
      <c r="H28" s="345">
        <f>'Facture policière'!L29</f>
        <v>47799.602027512257</v>
      </c>
      <c r="I28" s="457">
        <f t="shared" si="0"/>
        <v>286803.86872498097</v>
      </c>
      <c r="J28" s="181"/>
    </row>
    <row r="29" spans="1:10" s="87" customFormat="1" x14ac:dyDescent="0.25">
      <c r="A29" s="401">
        <f>Données!A30</f>
        <v>5431</v>
      </c>
      <c r="B29" s="405" t="str">
        <f>Données!B30</f>
        <v>Mollens</v>
      </c>
      <c r="C29" s="403">
        <f>VPI!Q30</f>
        <v>74</v>
      </c>
      <c r="D29" s="408">
        <f>Données!Z30</f>
        <v>319</v>
      </c>
      <c r="E29" s="179">
        <f>VPI!R30</f>
        <v>10464.936351351351</v>
      </c>
      <c r="F29" s="316">
        <f>'Péréquation directe'!K36</f>
        <v>16545.214273075282</v>
      </c>
      <c r="G29" s="329">
        <f>PCS!I36</f>
        <v>150038.10117769425</v>
      </c>
      <c r="H29" s="345">
        <f>'Facture policière'!L30</f>
        <v>32292.770702622656</v>
      </c>
      <c r="I29" s="457">
        <f t="shared" si="0"/>
        <v>198876.08615339219</v>
      </c>
      <c r="J29" s="181"/>
    </row>
    <row r="30" spans="1:10" s="87" customFormat="1" x14ac:dyDescent="0.25">
      <c r="A30" s="401">
        <f>Données!A31</f>
        <v>5434</v>
      </c>
      <c r="B30" s="405" t="str">
        <f>Données!B31</f>
        <v>Saint-George</v>
      </c>
      <c r="C30" s="403">
        <f>VPI!Q31</f>
        <v>69.5</v>
      </c>
      <c r="D30" s="408">
        <f>Données!Z31</f>
        <v>1072</v>
      </c>
      <c r="E30" s="179">
        <f>VPI!R31</f>
        <v>43543.93829736211</v>
      </c>
      <c r="F30" s="316">
        <f>'Péréquation directe'!K37</f>
        <v>460751.98059142835</v>
      </c>
      <c r="G30" s="329">
        <f>PCS!I37</f>
        <v>695535.71360468247</v>
      </c>
      <c r="H30" s="345">
        <f>'Facture policière'!L31</f>
        <v>133407.6161314708</v>
      </c>
      <c r="I30" s="457">
        <f t="shared" si="0"/>
        <v>1289695.3103275816</v>
      </c>
      <c r="J30" s="181"/>
    </row>
    <row r="31" spans="1:10" s="87" customFormat="1" x14ac:dyDescent="0.25">
      <c r="A31" s="401">
        <f>Données!A32</f>
        <v>5435</v>
      </c>
      <c r="B31" s="405" t="str">
        <f>Données!B32</f>
        <v>Saint-Livres</v>
      </c>
      <c r="C31" s="403">
        <f>VPI!Q32</f>
        <v>69</v>
      </c>
      <c r="D31" s="408">
        <f>Données!Z32</f>
        <v>674</v>
      </c>
      <c r="E31" s="179">
        <f>VPI!R32</f>
        <v>25853.824637681166</v>
      </c>
      <c r="F31" s="316">
        <f>'Péréquation directe'!K38</f>
        <v>287274.87921338913</v>
      </c>
      <c r="G31" s="329">
        <f>PCS!I38</f>
        <v>465242.54610578879</v>
      </c>
      <c r="H31" s="345">
        <f>'Facture policière'!L32</f>
        <v>79668.062267586021</v>
      </c>
      <c r="I31" s="457">
        <f t="shared" si="0"/>
        <v>832185.48758676392</v>
      </c>
      <c r="J31" s="181"/>
    </row>
    <row r="32" spans="1:10" s="87" customFormat="1" x14ac:dyDescent="0.25">
      <c r="A32" s="401">
        <f>Données!A33</f>
        <v>5436</v>
      </c>
      <c r="B32" s="405" t="str">
        <f>Données!B33</f>
        <v>Saint-Oyens</v>
      </c>
      <c r="C32" s="403">
        <f>VPI!Q33</f>
        <v>81</v>
      </c>
      <c r="D32" s="408">
        <f>Données!Z33</f>
        <v>458</v>
      </c>
      <c r="E32" s="179">
        <f>VPI!R33</f>
        <v>16868.155185185187</v>
      </c>
      <c r="F32" s="316">
        <f>'Péréquation directe'!K39</f>
        <v>132809.81129889734</v>
      </c>
      <c r="G32" s="329">
        <f>PCS!I39</f>
        <v>289991.92755411373</v>
      </c>
      <c r="H32" s="345">
        <f>'Facture policière'!L33</f>
        <v>52170.616367562805</v>
      </c>
      <c r="I32" s="457">
        <f t="shared" si="0"/>
        <v>474972.35522057384</v>
      </c>
      <c r="J32" s="181"/>
    </row>
    <row r="33" spans="1:10" s="87" customFormat="1" x14ac:dyDescent="0.25">
      <c r="A33" s="401">
        <f>Données!A34</f>
        <v>5437</v>
      </c>
      <c r="B33" s="405" t="str">
        <f>Données!B34</f>
        <v>Saubraz</v>
      </c>
      <c r="C33" s="403">
        <f>VPI!Q34</f>
        <v>80</v>
      </c>
      <c r="D33" s="408">
        <f>Données!Z34</f>
        <v>444</v>
      </c>
      <c r="E33" s="179">
        <f>VPI!R34</f>
        <v>13551.123374999999</v>
      </c>
      <c r="F33" s="316">
        <f>'Péréquation directe'!K40</f>
        <v>-350511.85923910368</v>
      </c>
      <c r="G33" s="329">
        <f>PCS!I40</f>
        <v>330585.46887477476</v>
      </c>
      <c r="H33" s="345">
        <f>'Facture policière'!L34</f>
        <v>41936.807841506416</v>
      </c>
      <c r="I33" s="457">
        <f t="shared" si="0"/>
        <v>22010.417477177492</v>
      </c>
      <c r="J33" s="181"/>
    </row>
    <row r="34" spans="1:10" s="87" customFormat="1" x14ac:dyDescent="0.25">
      <c r="A34" s="401">
        <f>Données!A35</f>
        <v>5451</v>
      </c>
      <c r="B34" s="405" t="str">
        <f>Données!B35</f>
        <v>Avenches</v>
      </c>
      <c r="C34" s="403">
        <f>VPI!Q35</f>
        <v>66.5</v>
      </c>
      <c r="D34" s="408">
        <f>Données!Z35</f>
        <v>4616</v>
      </c>
      <c r="E34" s="179">
        <f>VPI!R35</f>
        <v>137788.88576441104</v>
      </c>
      <c r="F34" s="316">
        <f>'Péréquation directe'!K41</f>
        <v>-1931556.729179672</v>
      </c>
      <c r="G34" s="329">
        <f>PCS!I41</f>
        <v>2315301.7360243793</v>
      </c>
      <c r="H34" s="345">
        <f>'Facture policière'!L35</f>
        <v>410966.15197616455</v>
      </c>
      <c r="I34" s="457">
        <f t="shared" si="0"/>
        <v>794711.15882087185</v>
      </c>
      <c r="J34" s="181"/>
    </row>
    <row r="35" spans="1:10" s="87" customFormat="1" x14ac:dyDescent="0.25">
      <c r="A35" s="401">
        <f>Données!A36</f>
        <v>5456</v>
      </c>
      <c r="B35" s="405" t="str">
        <f>Données!B36</f>
        <v>Cudrefin</v>
      </c>
      <c r="C35" s="403">
        <f>VPI!Q36</f>
        <v>59</v>
      </c>
      <c r="D35" s="408">
        <f>Données!Z36</f>
        <v>1836</v>
      </c>
      <c r="E35" s="179">
        <f>VPI!R36</f>
        <v>64142.52694915254</v>
      </c>
      <c r="F35" s="316">
        <f>'Péréquation directe'!K42</f>
        <v>191977.12141503126</v>
      </c>
      <c r="G35" s="329">
        <f>PCS!I42</f>
        <v>1013873.5316867415</v>
      </c>
      <c r="H35" s="345">
        <f>'Facture policière'!L36</f>
        <v>194525.81184018846</v>
      </c>
      <c r="I35" s="457">
        <f t="shared" si="0"/>
        <v>1400376.4649419612</v>
      </c>
      <c r="J35" s="181"/>
    </row>
    <row r="36" spans="1:10" s="87" customFormat="1" x14ac:dyDescent="0.25">
      <c r="A36" s="401">
        <f>Données!A37</f>
        <v>5458</v>
      </c>
      <c r="B36" s="405" t="str">
        <f>Données!B37</f>
        <v>Faoug</v>
      </c>
      <c r="C36" s="403">
        <f>VPI!Q37</f>
        <v>65</v>
      </c>
      <c r="D36" s="408">
        <f>Données!Z37</f>
        <v>866</v>
      </c>
      <c r="E36" s="179">
        <f>VPI!R37</f>
        <v>34719.981076923075</v>
      </c>
      <c r="F36" s="316">
        <f>'Péréquation directe'!K43</f>
        <v>311042.45652386139</v>
      </c>
      <c r="G36" s="329">
        <f>PCS!I43</f>
        <v>564972.01654381398</v>
      </c>
      <c r="H36" s="345">
        <f>'Facture policière'!L37</f>
        <v>105751.20413157367</v>
      </c>
      <c r="I36" s="457">
        <f t="shared" si="0"/>
        <v>981765.67719924904</v>
      </c>
      <c r="J36" s="181"/>
    </row>
    <row r="37" spans="1:10" s="87" customFormat="1" x14ac:dyDescent="0.25">
      <c r="A37" s="401">
        <f>Données!A38</f>
        <v>5464</v>
      </c>
      <c r="B37" s="405" t="str">
        <f>Données!B38</f>
        <v>Vully-les-Lacs</v>
      </c>
      <c r="C37" s="403">
        <f>VPI!Q38</f>
        <v>67</v>
      </c>
      <c r="D37" s="408">
        <f>Données!Z38</f>
        <v>3465</v>
      </c>
      <c r="E37" s="179">
        <f>VPI!R38</f>
        <v>119166.87835820897</v>
      </c>
      <c r="F37" s="316">
        <f>'Péréquation directe'!K44</f>
        <v>64399.72114888113</v>
      </c>
      <c r="G37" s="329">
        <f>PCS!I44</f>
        <v>2253434.7067541871</v>
      </c>
      <c r="H37" s="345">
        <f>'Facture policière'!L38</f>
        <v>362535.84070429177</v>
      </c>
      <c r="I37" s="457">
        <f t="shared" si="0"/>
        <v>2680370.2686073598</v>
      </c>
      <c r="J37" s="181"/>
    </row>
    <row r="38" spans="1:10" s="87" customFormat="1" x14ac:dyDescent="0.25">
      <c r="A38" s="401">
        <f>Données!A39</f>
        <v>5471</v>
      </c>
      <c r="B38" s="405" t="str">
        <f>Données!B39</f>
        <v>Bettens</v>
      </c>
      <c r="C38" s="403">
        <f>VPI!Q39</f>
        <v>70</v>
      </c>
      <c r="D38" s="408">
        <f>Données!Z39</f>
        <v>626</v>
      </c>
      <c r="E38" s="179">
        <f>VPI!R39</f>
        <v>22887.22226984127</v>
      </c>
      <c r="F38" s="316">
        <f>'Péréquation directe'!K45</f>
        <v>194730.94087019662</v>
      </c>
      <c r="G38" s="329">
        <f>PCS!I45</f>
        <v>331043.49615072133</v>
      </c>
      <c r="H38" s="345">
        <f>'Facture policière'!L39</f>
        <v>69782.509261952306</v>
      </c>
      <c r="I38" s="457">
        <f t="shared" si="0"/>
        <v>595556.94628287014</v>
      </c>
      <c r="J38" s="181"/>
    </row>
    <row r="39" spans="1:10" s="87" customFormat="1" x14ac:dyDescent="0.25">
      <c r="A39" s="401">
        <f>Données!A40</f>
        <v>5472</v>
      </c>
      <c r="B39" s="405" t="str">
        <f>Données!B40</f>
        <v>Bournens</v>
      </c>
      <c r="C39" s="403">
        <f>VPI!Q40</f>
        <v>72</v>
      </c>
      <c r="D39" s="408">
        <f>Données!Z40</f>
        <v>507</v>
      </c>
      <c r="E39" s="179">
        <f>VPI!R40</f>
        <v>22175.50986111111</v>
      </c>
      <c r="F39" s="316">
        <f>'Péréquation directe'!K46</f>
        <v>300669.92654726031</v>
      </c>
      <c r="G39" s="329">
        <f>PCS!I46</f>
        <v>379933.28910616494</v>
      </c>
      <c r="H39" s="345">
        <f>'Facture policière'!L40</f>
        <v>68396.96658443936</v>
      </c>
      <c r="I39" s="457">
        <f t="shared" si="0"/>
        <v>749000.1822378647</v>
      </c>
      <c r="J39" s="181"/>
    </row>
    <row r="40" spans="1:10" s="87" customFormat="1" x14ac:dyDescent="0.25">
      <c r="A40" s="401">
        <f>Données!A41</f>
        <v>5473</v>
      </c>
      <c r="B40" s="405" t="str">
        <f>Données!B41</f>
        <v>Boussens</v>
      </c>
      <c r="C40" s="403">
        <f>VPI!Q41</f>
        <v>67.5</v>
      </c>
      <c r="D40" s="408">
        <f>Données!Z41</f>
        <v>1001</v>
      </c>
      <c r="E40" s="179">
        <f>VPI!R41</f>
        <v>37058.091851851859</v>
      </c>
      <c r="F40" s="316">
        <f>'Péréquation directe'!K47</f>
        <v>386211.55657331843</v>
      </c>
      <c r="G40" s="329">
        <f>PCS!I47</f>
        <v>598733.13422677643</v>
      </c>
      <c r="H40" s="345">
        <f>'Facture policière'!L41</f>
        <v>113571.90395337256</v>
      </c>
      <c r="I40" s="457">
        <f t="shared" si="0"/>
        <v>1098516.5947534675</v>
      </c>
      <c r="J40" s="181"/>
    </row>
    <row r="41" spans="1:10" s="87" customFormat="1" x14ac:dyDescent="0.25">
      <c r="A41" s="401">
        <f>Données!A42</f>
        <v>5474</v>
      </c>
      <c r="B41" s="405" t="str">
        <f>Données!B42</f>
        <v>La Chaux (Cossonay)</v>
      </c>
      <c r="C41" s="403">
        <f>VPI!Q42</f>
        <v>76</v>
      </c>
      <c r="D41" s="408">
        <f>Données!Z42</f>
        <v>398</v>
      </c>
      <c r="E41" s="179">
        <f>VPI!R42</f>
        <v>12904.367324561405</v>
      </c>
      <c r="F41" s="316">
        <f>'Péréquation directe'!K48</f>
        <v>-174789.39140963487</v>
      </c>
      <c r="G41" s="329">
        <f>PCS!I48</f>
        <v>211158.08215859969</v>
      </c>
      <c r="H41" s="345">
        <f>'Facture policière'!L42</f>
        <v>39651.401484095739</v>
      </c>
      <c r="I41" s="457">
        <f t="shared" si="0"/>
        <v>76020.092233060554</v>
      </c>
      <c r="J41" s="181"/>
    </row>
    <row r="42" spans="1:10" s="87" customFormat="1" x14ac:dyDescent="0.25">
      <c r="A42" s="401">
        <f>Données!A43</f>
        <v>5475</v>
      </c>
      <c r="B42" s="405" t="str">
        <f>Données!B43</f>
        <v>Chavannes-le-Veyron</v>
      </c>
      <c r="C42" s="403">
        <f>VPI!Q43</f>
        <v>75</v>
      </c>
      <c r="D42" s="408">
        <f>Données!Z43</f>
        <v>155</v>
      </c>
      <c r="E42" s="179">
        <f>VPI!R43</f>
        <v>4277.2565333333332</v>
      </c>
      <c r="F42" s="316">
        <f>'Péréquation directe'!K49</f>
        <v>-36162.81361233459</v>
      </c>
      <c r="G42" s="329">
        <f>PCS!I49</f>
        <v>59007.577077434384</v>
      </c>
      <c r="H42" s="345">
        <f>'Facture policière'!L43</f>
        <v>13119.257798158367</v>
      </c>
      <c r="I42" s="457">
        <f t="shared" si="0"/>
        <v>35964.021263258161</v>
      </c>
      <c r="J42" s="181"/>
    </row>
    <row r="43" spans="1:10" s="87" customFormat="1" x14ac:dyDescent="0.25">
      <c r="A43" s="401">
        <f>Données!A44</f>
        <v>5476</v>
      </c>
      <c r="B43" s="405" t="str">
        <f>Données!B44</f>
        <v>Chevilly</v>
      </c>
      <c r="C43" s="403">
        <f>VPI!Q44</f>
        <v>72.5</v>
      </c>
      <c r="D43" s="408">
        <f>Données!Z44</f>
        <v>322</v>
      </c>
      <c r="E43" s="179">
        <f>VPI!R44</f>
        <v>12081.593793103451</v>
      </c>
      <c r="F43" s="316">
        <f>'Péréquation directe'!K50</f>
        <v>112065.18651727574</v>
      </c>
      <c r="G43" s="329">
        <f>PCS!I50</f>
        <v>198008.12863072418</v>
      </c>
      <c r="H43" s="345">
        <f>'Facture policière'!L44</f>
        <v>37266.878023910685</v>
      </c>
      <c r="I43" s="457">
        <f t="shared" si="0"/>
        <v>347340.19317191059</v>
      </c>
      <c r="J43" s="181"/>
    </row>
    <row r="44" spans="1:10" s="87" customFormat="1" x14ac:dyDescent="0.25">
      <c r="A44" s="401">
        <f>Données!A45</f>
        <v>5477</v>
      </c>
      <c r="B44" s="405" t="str">
        <f>Données!B45</f>
        <v>Cossonay</v>
      </c>
      <c r="C44" s="403">
        <f>VPI!Q45</f>
        <v>69.5</v>
      </c>
      <c r="D44" s="408">
        <f>Données!Z45</f>
        <v>4326</v>
      </c>
      <c r="E44" s="179">
        <f>VPI!R45</f>
        <v>142576.66388489207</v>
      </c>
      <c r="F44" s="316">
        <f>'Péréquation directe'!K51</f>
        <v>-853052.19010090549</v>
      </c>
      <c r="G44" s="329">
        <f>PCS!I51</f>
        <v>2378591.0634569274</v>
      </c>
      <c r="H44" s="345">
        <f>'Facture policière'!L45</f>
        <v>436477.66082319128</v>
      </c>
      <c r="I44" s="457">
        <f t="shared" si="0"/>
        <v>1962016.5341792132</v>
      </c>
      <c r="J44" s="181"/>
    </row>
    <row r="45" spans="1:10" s="87" customFormat="1" x14ac:dyDescent="0.25">
      <c r="A45" s="401">
        <f>Données!A46</f>
        <v>5479</v>
      </c>
      <c r="B45" s="405" t="str">
        <f>Données!B46</f>
        <v>Cuarnens</v>
      </c>
      <c r="C45" s="403">
        <f>VPI!Q46</f>
        <v>77</v>
      </c>
      <c r="D45" s="408">
        <f>Données!Z46</f>
        <v>531</v>
      </c>
      <c r="E45" s="179">
        <f>VPI!R46</f>
        <v>17984.468961038958</v>
      </c>
      <c r="F45" s="316">
        <f>'Péréquation directe'!K52</f>
        <v>4320.7275417924975</v>
      </c>
      <c r="G45" s="329">
        <f>PCS!I52</f>
        <v>288422.96628117975</v>
      </c>
      <c r="H45" s="345">
        <f>'Facture policière'!L46</f>
        <v>55613.52468279632</v>
      </c>
      <c r="I45" s="457">
        <f t="shared" si="0"/>
        <v>348357.21850576857</v>
      </c>
      <c r="J45" s="181"/>
    </row>
    <row r="46" spans="1:10" s="87" customFormat="1" x14ac:dyDescent="0.25">
      <c r="A46" s="401">
        <f>Données!A47</f>
        <v>5480</v>
      </c>
      <c r="B46" s="405" t="str">
        <f>Données!B47</f>
        <v>Daillens</v>
      </c>
      <c r="C46" s="403">
        <f>VPI!Q47</f>
        <v>66</v>
      </c>
      <c r="D46" s="408">
        <f>Données!Z47</f>
        <v>1051</v>
      </c>
      <c r="E46" s="179">
        <f>VPI!R47</f>
        <v>41328.998989898995</v>
      </c>
      <c r="F46" s="316">
        <f>'Péréquation directe'!K53</f>
        <v>353247.10107772733</v>
      </c>
      <c r="G46" s="329">
        <f>PCS!I53</f>
        <v>743079.57455253159</v>
      </c>
      <c r="H46" s="345">
        <f>'Facture policière'!L47</f>
        <v>123455.34629516353</v>
      </c>
      <c r="I46" s="457">
        <f t="shared" si="0"/>
        <v>1219782.0219254224</v>
      </c>
      <c r="J46" s="181"/>
    </row>
    <row r="47" spans="1:10" s="87" customFormat="1" x14ac:dyDescent="0.25">
      <c r="A47" s="401">
        <f>Données!A48</f>
        <v>5481</v>
      </c>
      <c r="B47" s="405" t="str">
        <f>Données!B48</f>
        <v>Dizy</v>
      </c>
      <c r="C47" s="403">
        <f>VPI!Q48</f>
        <v>75</v>
      </c>
      <c r="D47" s="408">
        <f>Données!Z48</f>
        <v>225</v>
      </c>
      <c r="E47" s="179">
        <f>VPI!R48</f>
        <v>8120.2678666666679</v>
      </c>
      <c r="F47" s="316">
        <f>'Péréquation directe'!K54</f>
        <v>50359.090295638132</v>
      </c>
      <c r="G47" s="329">
        <f>PCS!I54</f>
        <v>112070.67182410843</v>
      </c>
      <c r="H47" s="345">
        <f>'Facture policière'!L48</f>
        <v>25087.835789630011</v>
      </c>
      <c r="I47" s="457">
        <f t="shared" si="0"/>
        <v>187517.59790937658</v>
      </c>
      <c r="J47" s="181"/>
    </row>
    <row r="48" spans="1:10" s="87" customFormat="1" x14ac:dyDescent="0.25">
      <c r="A48" s="401">
        <f>Données!A49</f>
        <v>5482</v>
      </c>
      <c r="B48" s="405" t="str">
        <f>Données!B49</f>
        <v>Eclépens</v>
      </c>
      <c r="C48" s="403">
        <f>VPI!Q49</f>
        <v>46</v>
      </c>
      <c r="D48" s="408">
        <f>Données!Z49</f>
        <v>1198</v>
      </c>
      <c r="E48" s="179">
        <f>VPI!R49</f>
        <v>54169.31369565217</v>
      </c>
      <c r="F48" s="316">
        <f>'Péréquation directe'!K55</f>
        <v>742876.3300397346</v>
      </c>
      <c r="G48" s="329">
        <f>PCS!I55</f>
        <v>884096.62094658264</v>
      </c>
      <c r="H48" s="345">
        <f>'Facture policière'!L49</f>
        <v>153067.99528732174</v>
      </c>
      <c r="I48" s="457">
        <f t="shared" si="0"/>
        <v>1780040.9462736391</v>
      </c>
      <c r="J48" s="181"/>
    </row>
    <row r="49" spans="1:10" s="87" customFormat="1" x14ac:dyDescent="0.25">
      <c r="A49" s="401">
        <f>Données!A50</f>
        <v>5483</v>
      </c>
      <c r="B49" s="405" t="str">
        <f>Données!B50</f>
        <v>Ferreyres</v>
      </c>
      <c r="C49" s="403">
        <f>VPI!Q50</f>
        <v>76</v>
      </c>
      <c r="D49" s="408">
        <f>Données!Z50</f>
        <v>319</v>
      </c>
      <c r="E49" s="179">
        <f>VPI!R50</f>
        <v>10537.013684210528</v>
      </c>
      <c r="F49" s="316">
        <f>'Péréquation directe'!K56</f>
        <v>52288.42268249148</v>
      </c>
      <c r="G49" s="329">
        <f>PCS!I56</f>
        <v>140334.26481514776</v>
      </c>
      <c r="H49" s="345">
        <f>'Facture policière'!L50</f>
        <v>32480.75483816069</v>
      </c>
      <c r="I49" s="457">
        <f t="shared" si="0"/>
        <v>225103.44233579992</v>
      </c>
      <c r="J49" s="181"/>
    </row>
    <row r="50" spans="1:10" s="87" customFormat="1" x14ac:dyDescent="0.25">
      <c r="A50" s="401">
        <f>Données!A51</f>
        <v>5484</v>
      </c>
      <c r="B50" s="405" t="str">
        <f>Données!B51</f>
        <v>Gollion</v>
      </c>
      <c r="C50" s="403">
        <f>VPI!Q51</f>
        <v>74</v>
      </c>
      <c r="D50" s="408">
        <f>Données!Z51</f>
        <v>1018</v>
      </c>
      <c r="E50" s="179">
        <f>VPI!R51</f>
        <v>35949.064324324332</v>
      </c>
      <c r="F50" s="316">
        <f>'Péréquation directe'!K57</f>
        <v>113389.33382501465</v>
      </c>
      <c r="G50" s="329">
        <f>PCS!I57</f>
        <v>585544.18225012359</v>
      </c>
      <c r="H50" s="345">
        <f>'Facture policière'!L51</f>
        <v>110403.3933110137</v>
      </c>
      <c r="I50" s="457">
        <f t="shared" si="0"/>
        <v>809336.90938615194</v>
      </c>
      <c r="J50" s="181"/>
    </row>
    <row r="51" spans="1:10" s="87" customFormat="1" x14ac:dyDescent="0.25">
      <c r="A51" s="401">
        <f>Données!A52</f>
        <v>5485</v>
      </c>
      <c r="B51" s="405" t="str">
        <f>Données!B52</f>
        <v>Grancy</v>
      </c>
      <c r="C51" s="403">
        <f>VPI!Q52</f>
        <v>70</v>
      </c>
      <c r="D51" s="408">
        <f>Données!Z52</f>
        <v>445</v>
      </c>
      <c r="E51" s="179">
        <f>VPI!R52</f>
        <v>24486.752</v>
      </c>
      <c r="F51" s="316">
        <f>'Péréquation directe'!K58</f>
        <v>373895.78718608874</v>
      </c>
      <c r="G51" s="329">
        <f>PCS!I58</f>
        <v>430220.23970862466</v>
      </c>
      <c r="H51" s="345">
        <f>'Facture policière'!L52</f>
        <v>69375.966512085812</v>
      </c>
      <c r="I51" s="457">
        <f t="shared" si="0"/>
        <v>873491.99340679916</v>
      </c>
      <c r="J51" s="181"/>
    </row>
    <row r="52" spans="1:10" s="87" customFormat="1" x14ac:dyDescent="0.25">
      <c r="A52" s="401">
        <f>Données!A53</f>
        <v>5486</v>
      </c>
      <c r="B52" s="405" t="str">
        <f>Données!B53</f>
        <v>L'Isle</v>
      </c>
      <c r="C52" s="403">
        <f>VPI!Q53</f>
        <v>75</v>
      </c>
      <c r="D52" s="408">
        <f>Données!Z53</f>
        <v>1079</v>
      </c>
      <c r="E52" s="179">
        <f>VPI!R53</f>
        <v>29228.321066666667</v>
      </c>
      <c r="F52" s="316">
        <f>'Péréquation directe'!K59</f>
        <v>-452327.45497570524</v>
      </c>
      <c r="G52" s="329">
        <f>PCS!I59</f>
        <v>548283.45929097582</v>
      </c>
      <c r="H52" s="345">
        <f>'Facture policière'!L53</f>
        <v>88605.718656769284</v>
      </c>
      <c r="I52" s="457">
        <f t="shared" si="0"/>
        <v>184561.72297203986</v>
      </c>
      <c r="J52" s="181"/>
    </row>
    <row r="53" spans="1:10" s="87" customFormat="1" x14ac:dyDescent="0.25">
      <c r="A53" s="401">
        <f>Données!A54</f>
        <v>5487</v>
      </c>
      <c r="B53" s="405" t="str">
        <f>Données!B54</f>
        <v>Lussery-Villars</v>
      </c>
      <c r="C53" s="403">
        <f>VPI!Q54</f>
        <v>75</v>
      </c>
      <c r="D53" s="408">
        <f>Données!Z54</f>
        <v>475</v>
      </c>
      <c r="E53" s="179">
        <f>VPI!R54</f>
        <v>16622.186533333337</v>
      </c>
      <c r="F53" s="316">
        <f>'Péréquation directe'!K60</f>
        <v>97294.062421544309</v>
      </c>
      <c r="G53" s="329">
        <f>PCS!I60</f>
        <v>228592.17247513437</v>
      </c>
      <c r="H53" s="345">
        <f>'Facture policière'!L54</f>
        <v>51336.088687136638</v>
      </c>
      <c r="I53" s="457">
        <f t="shared" si="0"/>
        <v>377222.32358381536</v>
      </c>
      <c r="J53" s="181"/>
    </row>
    <row r="54" spans="1:10" s="87" customFormat="1" x14ac:dyDescent="0.25">
      <c r="A54" s="401">
        <f>Données!A55</f>
        <v>5488</v>
      </c>
      <c r="B54" s="405" t="str">
        <f>Données!B55</f>
        <v>Mauraz</v>
      </c>
      <c r="C54" s="403">
        <f>VPI!Q55</f>
        <v>77</v>
      </c>
      <c r="D54" s="408">
        <f>Données!Z55</f>
        <v>60</v>
      </c>
      <c r="E54" s="179">
        <f>VPI!R55</f>
        <v>1729.1580519480517</v>
      </c>
      <c r="F54" s="316">
        <f>'Péréquation directe'!K61</f>
        <v>-1569.7328980828242</v>
      </c>
      <c r="G54" s="329">
        <f>PCS!I61</f>
        <v>21954.705764067992</v>
      </c>
      <c r="H54" s="345">
        <f>'Facture policière'!L55</f>
        <v>5354.6040137924592</v>
      </c>
      <c r="I54" s="457">
        <f t="shared" si="0"/>
        <v>25739.576879777625</v>
      </c>
      <c r="J54" s="181"/>
    </row>
    <row r="55" spans="1:10" s="87" customFormat="1" x14ac:dyDescent="0.25">
      <c r="A55" s="401">
        <f>Données!A56</f>
        <v>5489</v>
      </c>
      <c r="B55" s="405" t="str">
        <f>Données!B56</f>
        <v>Mex</v>
      </c>
      <c r="C55" s="403">
        <f>VPI!Q56</f>
        <v>59.5</v>
      </c>
      <c r="D55" s="408">
        <f>Données!Z56</f>
        <v>795</v>
      </c>
      <c r="E55" s="179">
        <f>VPI!R56</f>
        <v>50433.121512605037</v>
      </c>
      <c r="F55" s="316">
        <f>'Péréquation directe'!K62</f>
        <v>869679.87247139448</v>
      </c>
      <c r="G55" s="329">
        <f>PCS!I62</f>
        <v>1006685.0558986446</v>
      </c>
      <c r="H55" s="345">
        <f>'Facture policière'!L56</f>
        <v>132136.84692106262</v>
      </c>
      <c r="I55" s="457">
        <f t="shared" si="0"/>
        <v>2008501.7752911015</v>
      </c>
      <c r="J55" s="181"/>
    </row>
    <row r="56" spans="1:10" s="87" customFormat="1" x14ac:dyDescent="0.25">
      <c r="A56" s="401">
        <f>Données!A57</f>
        <v>5490</v>
      </c>
      <c r="B56" s="405" t="str">
        <f>Données!B57</f>
        <v>Moiry</v>
      </c>
      <c r="C56" s="403">
        <f>VPI!Q57</f>
        <v>77.5</v>
      </c>
      <c r="D56" s="408">
        <f>Données!Z57</f>
        <v>301</v>
      </c>
      <c r="E56" s="179">
        <f>VPI!R57</f>
        <v>9056.7353548387091</v>
      </c>
      <c r="F56" s="316">
        <f>'Péréquation directe'!K63</f>
        <v>-6245.8495843969285</v>
      </c>
      <c r="G56" s="329">
        <f>PCS!I63</f>
        <v>134358.35029803347</v>
      </c>
      <c r="H56" s="345">
        <f>'Facture policière'!L57</f>
        <v>27989.93081366588</v>
      </c>
      <c r="I56" s="457">
        <f t="shared" si="0"/>
        <v>156102.43152730243</v>
      </c>
      <c r="J56" s="181"/>
    </row>
    <row r="57" spans="1:10" s="87" customFormat="1" x14ac:dyDescent="0.25">
      <c r="A57" s="401">
        <f>Données!A58</f>
        <v>5491</v>
      </c>
      <c r="B57" s="405" t="str">
        <f>Données!B58</f>
        <v>Mont-la-Ville</v>
      </c>
      <c r="C57" s="403">
        <f>VPI!Q58</f>
        <v>76</v>
      </c>
      <c r="D57" s="408">
        <f>Données!Z58</f>
        <v>508</v>
      </c>
      <c r="E57" s="179">
        <f>VPI!R58</f>
        <v>13648.672236842105</v>
      </c>
      <c r="F57" s="316">
        <f>'Péréquation directe'!K64</f>
        <v>-222945.90785569994</v>
      </c>
      <c r="G57" s="329">
        <f>PCS!I64</f>
        <v>197099.88841694075</v>
      </c>
      <c r="H57" s="345">
        <f>'Facture policière'!L58</f>
        <v>41601.644563128313</v>
      </c>
      <c r="I57" s="457">
        <f t="shared" si="0"/>
        <v>15755.625124369122</v>
      </c>
      <c r="J57" s="181"/>
    </row>
    <row r="58" spans="1:10" s="87" customFormat="1" x14ac:dyDescent="0.25">
      <c r="A58" s="401">
        <f>Données!A59</f>
        <v>5492</v>
      </c>
      <c r="B58" s="405" t="str">
        <f>Données!B59</f>
        <v>Montricher</v>
      </c>
      <c r="C58" s="403">
        <f>VPI!Q59</f>
        <v>64</v>
      </c>
      <c r="D58" s="408">
        <f>Données!Z59</f>
        <v>981</v>
      </c>
      <c r="E58" s="179">
        <f>VPI!R59</f>
        <v>175265.155</v>
      </c>
      <c r="F58" s="316">
        <f>'Péréquation directe'!K65</f>
        <v>2376378.2765456731</v>
      </c>
      <c r="G58" s="329">
        <f>PCS!I65</f>
        <v>6248146.8034543265</v>
      </c>
      <c r="H58" s="345">
        <f>'Facture policière'!L59</f>
        <v>301580.75665583013</v>
      </c>
      <c r="I58" s="457">
        <f t="shared" si="0"/>
        <v>8926105.836655831</v>
      </c>
      <c r="J58" s="181"/>
    </row>
    <row r="59" spans="1:10" s="87" customFormat="1" x14ac:dyDescent="0.25">
      <c r="A59" s="401">
        <f>Données!A60</f>
        <v>5493</v>
      </c>
      <c r="B59" s="405" t="str">
        <f>Données!B60</f>
        <v>Orny</v>
      </c>
      <c r="C59" s="403">
        <f>VPI!Q60</f>
        <v>73</v>
      </c>
      <c r="D59" s="408">
        <f>Données!Z60</f>
        <v>480</v>
      </c>
      <c r="E59" s="179">
        <f>VPI!R60</f>
        <v>13489.645489989463</v>
      </c>
      <c r="F59" s="316">
        <f>'Péréquation directe'!K66</f>
        <v>-4506.6908206523804</v>
      </c>
      <c r="G59" s="329">
        <f>PCS!I66</f>
        <v>267089.53888877324</v>
      </c>
      <c r="H59" s="345">
        <f>'Facture policière'!L60</f>
        <v>41190.841273843136</v>
      </c>
      <c r="I59" s="457">
        <f t="shared" si="0"/>
        <v>303773.68934196403</v>
      </c>
      <c r="J59" s="181"/>
    </row>
    <row r="60" spans="1:10" s="87" customFormat="1" x14ac:dyDescent="0.25">
      <c r="A60" s="401">
        <f>Données!A61</f>
        <v>5495</v>
      </c>
      <c r="B60" s="405" t="str">
        <f>Données!B61</f>
        <v>Penthalaz</v>
      </c>
      <c r="C60" s="403">
        <f>VPI!Q61</f>
        <v>74</v>
      </c>
      <c r="D60" s="408">
        <f>Données!Z61</f>
        <v>3210</v>
      </c>
      <c r="E60" s="179">
        <f>VPI!R61</f>
        <v>95307.914324324302</v>
      </c>
      <c r="F60" s="316">
        <f>'Péréquation directe'!K67</f>
        <v>-1048840.0536996489</v>
      </c>
      <c r="G60" s="329">
        <f>PCS!I67</f>
        <v>1542457.5380947096</v>
      </c>
      <c r="H60" s="345">
        <f>'Facture policière'!L61</f>
        <v>291775.90189359209</v>
      </c>
      <c r="I60" s="457">
        <f t="shared" si="0"/>
        <v>785393.38628865278</v>
      </c>
      <c r="J60" s="181"/>
    </row>
    <row r="61" spans="1:10" s="87" customFormat="1" x14ac:dyDescent="0.25">
      <c r="A61" s="401">
        <f>Données!A62</f>
        <v>5496</v>
      </c>
      <c r="B61" s="405" t="str">
        <f>Données!B62</f>
        <v>Penthaz</v>
      </c>
      <c r="C61" s="403">
        <f>VPI!Q62</f>
        <v>69.5</v>
      </c>
      <c r="D61" s="408">
        <f>Données!Z62</f>
        <v>1890</v>
      </c>
      <c r="E61" s="179">
        <f>VPI!R62</f>
        <v>56262.398705035986</v>
      </c>
      <c r="F61" s="316">
        <f>'Péréquation directe'!K68</f>
        <v>-310031.10977354296</v>
      </c>
      <c r="G61" s="329">
        <f>PCS!I68</f>
        <v>959300.04515224393</v>
      </c>
      <c r="H61" s="345">
        <f>'Facture policière'!L62</f>
        <v>170900.41105738602</v>
      </c>
      <c r="I61" s="457">
        <f t="shared" si="0"/>
        <v>820169.34643608704</v>
      </c>
      <c r="J61" s="181"/>
    </row>
    <row r="62" spans="1:10" s="87" customFormat="1" x14ac:dyDescent="0.25">
      <c r="A62" s="401">
        <f>Données!A63</f>
        <v>5497</v>
      </c>
      <c r="B62" s="405" t="str">
        <f>Données!B63</f>
        <v>Pompaples</v>
      </c>
      <c r="C62" s="403">
        <f>VPI!Q63</f>
        <v>66</v>
      </c>
      <c r="D62" s="408">
        <f>Données!Z63</f>
        <v>849</v>
      </c>
      <c r="E62" s="179">
        <f>VPI!R63</f>
        <v>22253.218787878792</v>
      </c>
      <c r="F62" s="316">
        <f>'Péréquation directe'!K69</f>
        <v>-122989.01385662693</v>
      </c>
      <c r="G62" s="329">
        <f>PCS!I69</f>
        <v>371481.90574307216</v>
      </c>
      <c r="H62" s="345">
        <f>'Facture policière'!L63</f>
        <v>67619.885478667202</v>
      </c>
      <c r="I62" s="457">
        <f t="shared" si="0"/>
        <v>316112.77736511244</v>
      </c>
      <c r="J62" s="181"/>
    </row>
    <row r="63" spans="1:10" s="87" customFormat="1" x14ac:dyDescent="0.25">
      <c r="A63" s="401">
        <f>Données!A64</f>
        <v>5498</v>
      </c>
      <c r="B63" s="405" t="str">
        <f>Données!B64</f>
        <v>La Sarraz</v>
      </c>
      <c r="C63" s="403">
        <f>VPI!Q64</f>
        <v>66</v>
      </c>
      <c r="D63" s="408">
        <f>Données!Z64</f>
        <v>2620</v>
      </c>
      <c r="E63" s="179">
        <f>VPI!R64</f>
        <v>74676.731060606064</v>
      </c>
      <c r="F63" s="316">
        <f>'Péréquation directe'!K70</f>
        <v>-693905.68241209514</v>
      </c>
      <c r="G63" s="329">
        <f>PCS!I70</f>
        <v>1095041.3640293046</v>
      </c>
      <c r="H63" s="345">
        <f>'Facture policière'!L64</f>
        <v>227284.96861652518</v>
      </c>
      <c r="I63" s="457">
        <f t="shared" si="0"/>
        <v>628420.65023373463</v>
      </c>
      <c r="J63" s="181"/>
    </row>
    <row r="64" spans="1:10" s="87" customFormat="1" x14ac:dyDescent="0.25">
      <c r="A64" s="401">
        <f>Données!A65</f>
        <v>5499</v>
      </c>
      <c r="B64" s="405" t="str">
        <f>Données!B65</f>
        <v>Senarclens</v>
      </c>
      <c r="C64" s="403">
        <f>VPI!Q65</f>
        <v>68.5</v>
      </c>
      <c r="D64" s="408">
        <f>Données!Z65</f>
        <v>491</v>
      </c>
      <c r="E64" s="179">
        <f>VPI!R65</f>
        <v>18237.495182481751</v>
      </c>
      <c r="F64" s="316">
        <f>'Péréquation directe'!K71</f>
        <v>20031.282706674479</v>
      </c>
      <c r="G64" s="329">
        <f>PCS!I71</f>
        <v>456232.70963142393</v>
      </c>
      <c r="H64" s="345">
        <f>'Facture policière'!L65</f>
        <v>55955.916962280848</v>
      </c>
      <c r="I64" s="457">
        <f t="shared" si="0"/>
        <v>532219.90930037922</v>
      </c>
      <c r="J64" s="181"/>
    </row>
    <row r="65" spans="1:10" s="87" customFormat="1" x14ac:dyDescent="0.25">
      <c r="A65" s="401">
        <f>Données!A66</f>
        <v>5501</v>
      </c>
      <c r="B65" s="405" t="str">
        <f>Données!B66</f>
        <v>Sullens</v>
      </c>
      <c r="C65" s="403">
        <f>VPI!Q66</f>
        <v>68.5</v>
      </c>
      <c r="D65" s="408">
        <f>Données!Z66</f>
        <v>1143</v>
      </c>
      <c r="E65" s="179">
        <f>VPI!R66</f>
        <v>43189.9197080292</v>
      </c>
      <c r="F65" s="316">
        <f>'Péréquation directe'!K72</f>
        <v>402183.22552977008</v>
      </c>
      <c r="G65" s="329">
        <f>PCS!I72</f>
        <v>857122.74934047787</v>
      </c>
      <c r="H65" s="345">
        <f>'Facture policière'!L66</f>
        <v>132468.1505506906</v>
      </c>
      <c r="I65" s="457">
        <f t="shared" si="0"/>
        <v>1391774.1254209387</v>
      </c>
      <c r="J65" s="181"/>
    </row>
    <row r="66" spans="1:10" s="87" customFormat="1" x14ac:dyDescent="0.25">
      <c r="A66" s="401">
        <f>Données!A67</f>
        <v>5503</v>
      </c>
      <c r="B66" s="405" t="str">
        <f>Données!B67</f>
        <v>Vufflens-la-Ville</v>
      </c>
      <c r="C66" s="403">
        <f>VPI!Q67</f>
        <v>67</v>
      </c>
      <c r="D66" s="408">
        <f>Données!Z67</f>
        <v>1346</v>
      </c>
      <c r="E66" s="179">
        <f>VPI!R67</f>
        <v>79644.71771144279</v>
      </c>
      <c r="F66" s="316">
        <f>'Péréquation directe'!K73</f>
        <v>1281375.0029783822</v>
      </c>
      <c r="G66" s="329">
        <f>PCS!I73</f>
        <v>1437719.1076436706</v>
      </c>
      <c r="H66" s="345">
        <f>'Facture policière'!L67</f>
        <v>216680.45259380489</v>
      </c>
      <c r="I66" s="457">
        <f t="shared" si="0"/>
        <v>2935774.5632158578</v>
      </c>
      <c r="J66" s="181"/>
    </row>
    <row r="67" spans="1:10" s="87" customFormat="1" x14ac:dyDescent="0.25">
      <c r="A67" s="401">
        <f>Données!A68</f>
        <v>5511</v>
      </c>
      <c r="B67" s="405" t="str">
        <f>Données!B68</f>
        <v>Assens</v>
      </c>
      <c r="C67" s="403">
        <f>VPI!Q68</f>
        <v>69.36</v>
      </c>
      <c r="D67" s="408">
        <f>Données!Z68</f>
        <v>1669</v>
      </c>
      <c r="E67" s="179">
        <f>VPI!R68</f>
        <v>70063.08636788046</v>
      </c>
      <c r="F67" s="316">
        <f>'Péréquation directe'!K74</f>
        <v>245166.74848679267</v>
      </c>
      <c r="G67" s="329">
        <f>PCS!I74</f>
        <v>1481042.2670352741</v>
      </c>
      <c r="H67" s="345">
        <f>'Facture policière'!L68</f>
        <v>214184.07132749842</v>
      </c>
      <c r="I67" s="457">
        <f t="shared" si="0"/>
        <v>1940393.0868495652</v>
      </c>
      <c r="J67" s="181"/>
    </row>
    <row r="68" spans="1:10" s="87" customFormat="1" x14ac:dyDescent="0.25">
      <c r="A68" s="401">
        <f>Données!A69</f>
        <v>5512</v>
      </c>
      <c r="B68" s="405" t="str">
        <f>Données!B69</f>
        <v>Bercher</v>
      </c>
      <c r="C68" s="403">
        <f>VPI!Q69</f>
        <v>79</v>
      </c>
      <c r="D68" s="408">
        <f>Données!Z69</f>
        <v>1320</v>
      </c>
      <c r="E68" s="179">
        <f>VPI!R69</f>
        <v>40760.724050632911</v>
      </c>
      <c r="F68" s="316">
        <f>'Péréquation directe'!K75</f>
        <v>-250888.26474098966</v>
      </c>
      <c r="G68" s="329">
        <f>PCS!I75</f>
        <v>744464.58371376363</v>
      </c>
      <c r="H68" s="345">
        <f>'Facture policière'!L69</f>
        <v>124443.37032926941</v>
      </c>
      <c r="I68" s="457">
        <f t="shared" si="0"/>
        <v>618019.68930204341</v>
      </c>
      <c r="J68" s="181"/>
    </row>
    <row r="69" spans="1:10" s="87" customFormat="1" x14ac:dyDescent="0.25">
      <c r="A69" s="401">
        <f>Données!A70</f>
        <v>5514</v>
      </c>
      <c r="B69" s="405" t="str">
        <f>Données!B70</f>
        <v>Bottens</v>
      </c>
      <c r="C69" s="403">
        <f>VPI!Q70</f>
        <v>72.5</v>
      </c>
      <c r="D69" s="408">
        <f>Données!Z70</f>
        <v>1357</v>
      </c>
      <c r="E69" s="179">
        <f>VPI!R70</f>
        <v>44222.939448275865</v>
      </c>
      <c r="F69" s="316">
        <f>'Péréquation directe'!K76</f>
        <v>114986.56369386369</v>
      </c>
      <c r="G69" s="329">
        <f>PCS!I76</f>
        <v>641581.01864097477</v>
      </c>
      <c r="H69" s="345">
        <f>'Facture policière'!L70</f>
        <v>135701.50250504958</v>
      </c>
      <c r="I69" s="457">
        <f t="shared" si="0"/>
        <v>892269.08483988803</v>
      </c>
      <c r="J69" s="181"/>
    </row>
    <row r="70" spans="1:10" s="87" customFormat="1" x14ac:dyDescent="0.25">
      <c r="A70" s="401">
        <f>Données!A71</f>
        <v>5515</v>
      </c>
      <c r="B70" s="405" t="str">
        <f>Données!B71</f>
        <v>Bretigny-sur-Morrens</v>
      </c>
      <c r="C70" s="403">
        <f>VPI!Q71</f>
        <v>78</v>
      </c>
      <c r="D70" s="408">
        <f>Données!Z71</f>
        <v>882</v>
      </c>
      <c r="E70" s="179">
        <f>VPI!R71</f>
        <v>32347.747307692302</v>
      </c>
      <c r="F70" s="316">
        <f>'Péréquation directe'!K77</f>
        <v>-12043.169331888552</v>
      </c>
      <c r="G70" s="329">
        <f>PCS!I77</f>
        <v>513236.21737244917</v>
      </c>
      <c r="H70" s="345">
        <f>'Facture policière'!L71</f>
        <v>99440.859770279116</v>
      </c>
      <c r="I70" s="457">
        <f t="shared" ref="I70:I133" si="1">SUM(F70:H70)</f>
        <v>600633.90781083971</v>
      </c>
      <c r="J70" s="181"/>
    </row>
    <row r="71" spans="1:10" s="87" customFormat="1" x14ac:dyDescent="0.25">
      <c r="A71" s="401">
        <f>Données!A72</f>
        <v>5516</v>
      </c>
      <c r="B71" s="405" t="str">
        <f>Données!B72</f>
        <v>Cugy</v>
      </c>
      <c r="C71" s="403">
        <f>VPI!Q72</f>
        <v>78</v>
      </c>
      <c r="D71" s="408">
        <f>Données!Z72</f>
        <v>2733</v>
      </c>
      <c r="E71" s="179">
        <f>VPI!R72</f>
        <v>111596.10185897433</v>
      </c>
      <c r="F71" s="316">
        <f>'Péréquation directe'!K78</f>
        <v>659530.57289878512</v>
      </c>
      <c r="G71" s="329">
        <f>PCS!I78</f>
        <v>1734462.32025472</v>
      </c>
      <c r="H71" s="345">
        <f>'Facture policière'!L72</f>
        <v>343968.31827115559</v>
      </c>
      <c r="I71" s="457">
        <f t="shared" si="1"/>
        <v>2737961.2114246609</v>
      </c>
      <c r="J71" s="181"/>
    </row>
    <row r="72" spans="1:10" s="87" customFormat="1" x14ac:dyDescent="0.25">
      <c r="A72" s="401">
        <f>Données!A73</f>
        <v>5518</v>
      </c>
      <c r="B72" s="405" t="str">
        <f>Données!B73</f>
        <v>Echallens</v>
      </c>
      <c r="C72" s="403">
        <f>VPI!Q73</f>
        <v>72.5</v>
      </c>
      <c r="D72" s="408">
        <f>Données!Z73</f>
        <v>5739</v>
      </c>
      <c r="E72" s="179">
        <f>VPI!R73</f>
        <v>183008.89172413788</v>
      </c>
      <c r="F72" s="316">
        <f>'Péréquation directe'!K79</f>
        <v>-2148193.1258632811</v>
      </c>
      <c r="G72" s="329">
        <f>PCS!I79</f>
        <v>2867020.9894283051</v>
      </c>
      <c r="H72" s="345">
        <f>'Facture policière'!L73</f>
        <v>557951.57985081384</v>
      </c>
      <c r="I72" s="457">
        <f t="shared" si="1"/>
        <v>1276779.4434158378</v>
      </c>
      <c r="J72" s="181"/>
    </row>
    <row r="73" spans="1:10" s="87" customFormat="1" x14ac:dyDescent="0.25">
      <c r="A73" s="401">
        <f>Données!A74</f>
        <v>5520</v>
      </c>
      <c r="B73" s="405" t="str">
        <f>Données!B74</f>
        <v>Essertines-sur-Yverdon</v>
      </c>
      <c r="C73" s="403">
        <f>VPI!Q74</f>
        <v>73</v>
      </c>
      <c r="D73" s="408">
        <f>Données!Z74</f>
        <v>1059</v>
      </c>
      <c r="E73" s="179">
        <f>VPI!R74</f>
        <v>31695.423698630133</v>
      </c>
      <c r="F73" s="316">
        <f>'Péréquation directe'!K80</f>
        <v>-169206.27346982306</v>
      </c>
      <c r="G73" s="329">
        <f>PCS!I80</f>
        <v>460499.24569750077</v>
      </c>
      <c r="H73" s="345">
        <f>'Facture policière'!L74</f>
        <v>96709.509486913987</v>
      </c>
      <c r="I73" s="457">
        <f t="shared" si="1"/>
        <v>388002.48171459167</v>
      </c>
      <c r="J73" s="181"/>
    </row>
    <row r="74" spans="1:10" s="87" customFormat="1" x14ac:dyDescent="0.25">
      <c r="A74" s="401">
        <f>Données!A75</f>
        <v>5521</v>
      </c>
      <c r="B74" s="405" t="str">
        <f>Données!B75</f>
        <v>Etagnières</v>
      </c>
      <c r="C74" s="403">
        <f>VPI!Q75</f>
        <v>73</v>
      </c>
      <c r="D74" s="408">
        <f>Données!Z75</f>
        <v>1148</v>
      </c>
      <c r="E74" s="179">
        <f>VPI!R75</f>
        <v>42637.34945205479</v>
      </c>
      <c r="F74" s="316">
        <f>'Péréquation directe'!K81</f>
        <v>278634.06124907732</v>
      </c>
      <c r="G74" s="329">
        <f>PCS!I81</f>
        <v>666693.74210520834</v>
      </c>
      <c r="H74" s="345">
        <f>'Facture policière'!L75</f>
        <v>129793.09199216435</v>
      </c>
      <c r="I74" s="457">
        <f t="shared" si="1"/>
        <v>1075120.8953464499</v>
      </c>
      <c r="J74" s="181"/>
    </row>
    <row r="75" spans="1:10" s="87" customFormat="1" x14ac:dyDescent="0.25">
      <c r="A75" s="401">
        <f>Données!A76</f>
        <v>5522</v>
      </c>
      <c r="B75" s="405" t="str">
        <f>Données!B76</f>
        <v>Fey</v>
      </c>
      <c r="C75" s="403">
        <f>VPI!Q76</f>
        <v>75</v>
      </c>
      <c r="D75" s="408">
        <f>Données!Z76</f>
        <v>754</v>
      </c>
      <c r="E75" s="179">
        <f>VPI!R76</f>
        <v>23923.447333333334</v>
      </c>
      <c r="F75" s="316">
        <f>'Péréquation directe'!K82</f>
        <v>54615.785462690284</v>
      </c>
      <c r="G75" s="329">
        <f>PCS!I82</f>
        <v>346079.26767299749</v>
      </c>
      <c r="H75" s="345">
        <f>'Facture policière'!L76</f>
        <v>73218.921945241949</v>
      </c>
      <c r="I75" s="457">
        <f t="shared" si="1"/>
        <v>473913.9750809297</v>
      </c>
      <c r="J75" s="181"/>
    </row>
    <row r="76" spans="1:10" s="87" customFormat="1" x14ac:dyDescent="0.25">
      <c r="A76" s="401">
        <f>Données!A77</f>
        <v>5523</v>
      </c>
      <c r="B76" s="405" t="str">
        <f>Données!B77</f>
        <v>Froideville</v>
      </c>
      <c r="C76" s="403">
        <f>VPI!Q77</f>
        <v>72</v>
      </c>
      <c r="D76" s="408">
        <f>Données!Z77</f>
        <v>2673</v>
      </c>
      <c r="E76" s="179">
        <f>VPI!R77</f>
        <v>93735.809027777781</v>
      </c>
      <c r="F76" s="316">
        <f>'Péréquation directe'!K83</f>
        <v>190894.11172008514</v>
      </c>
      <c r="G76" s="329">
        <f>PCS!I83</f>
        <v>1695478.4785619976</v>
      </c>
      <c r="H76" s="345">
        <f>'Facture policière'!L77</f>
        <v>286333.61338128592</v>
      </c>
      <c r="I76" s="457">
        <f t="shared" si="1"/>
        <v>2172706.2036633687</v>
      </c>
      <c r="J76" s="181"/>
    </row>
    <row r="77" spans="1:10" s="87" customFormat="1" x14ac:dyDescent="0.25">
      <c r="A77" s="401">
        <f>Données!A78</f>
        <v>5527</v>
      </c>
      <c r="B77" s="405" t="str">
        <f>Données!B78</f>
        <v>Morrens</v>
      </c>
      <c r="C77" s="403">
        <f>VPI!Q78</f>
        <v>74</v>
      </c>
      <c r="D77" s="408">
        <f>Données!Z78</f>
        <v>1156</v>
      </c>
      <c r="E77" s="179">
        <f>VPI!R78</f>
        <v>39310.034189189188</v>
      </c>
      <c r="F77" s="316">
        <f>'Péréquation directe'!K84</f>
        <v>196024.4057051437</v>
      </c>
      <c r="G77" s="329">
        <f>PCS!I84</f>
        <v>631951.266889408</v>
      </c>
      <c r="H77" s="345">
        <f>'Facture policière'!L78</f>
        <v>120284.45390045687</v>
      </c>
      <c r="I77" s="457">
        <f t="shared" si="1"/>
        <v>948260.12649500859</v>
      </c>
      <c r="J77" s="181"/>
    </row>
    <row r="78" spans="1:10" s="87" customFormat="1" x14ac:dyDescent="0.25">
      <c r="A78" s="401">
        <f>Données!A79</f>
        <v>5529</v>
      </c>
      <c r="B78" s="405" t="str">
        <f>Données!B79</f>
        <v>Oulens-sous-Echallens</v>
      </c>
      <c r="C78" s="403">
        <f>VPI!Q79</f>
        <v>70</v>
      </c>
      <c r="D78" s="408">
        <f>Données!Z79</f>
        <v>619</v>
      </c>
      <c r="E78" s="179">
        <f>VPI!R79</f>
        <v>21162.073571428573</v>
      </c>
      <c r="F78" s="316">
        <f>'Péréquation directe'!K85</f>
        <v>23594.820130852109</v>
      </c>
      <c r="G78" s="329">
        <f>PCS!I85</f>
        <v>411608.65618851094</v>
      </c>
      <c r="H78" s="345">
        <f>'Facture policière'!L79</f>
        <v>64503.628273502676</v>
      </c>
      <c r="I78" s="457">
        <f t="shared" si="1"/>
        <v>499707.10459286574</v>
      </c>
      <c r="J78" s="181"/>
    </row>
    <row r="79" spans="1:10" s="87" customFormat="1" x14ac:dyDescent="0.25">
      <c r="A79" s="401">
        <f>Données!A80</f>
        <v>5530</v>
      </c>
      <c r="B79" s="405" t="str">
        <f>Données!B80</f>
        <v>Pailly</v>
      </c>
      <c r="C79" s="403">
        <f>VPI!Q80</f>
        <v>76</v>
      </c>
      <c r="D79" s="408">
        <f>Données!Z80</f>
        <v>575</v>
      </c>
      <c r="E79" s="179">
        <f>VPI!R80</f>
        <v>19308.365285087715</v>
      </c>
      <c r="F79" s="316">
        <f>'Péréquation directe'!K86</f>
        <v>-684290.79293732112</v>
      </c>
      <c r="G79" s="329">
        <f>PCS!I86</f>
        <v>307277.39592008304</v>
      </c>
      <c r="H79" s="345">
        <f>'Facture policière'!L80</f>
        <v>59340.783529832734</v>
      </c>
      <c r="I79" s="457">
        <f t="shared" si="1"/>
        <v>-317672.61348740535</v>
      </c>
      <c r="J79" s="181"/>
    </row>
    <row r="80" spans="1:10" s="87" customFormat="1" x14ac:dyDescent="0.25">
      <c r="A80" s="401">
        <f>Données!A81</f>
        <v>5531</v>
      </c>
      <c r="B80" s="405" t="str">
        <f>Données!B81</f>
        <v>Penthéréaz</v>
      </c>
      <c r="C80" s="403">
        <f>VPI!Q81</f>
        <v>74</v>
      </c>
      <c r="D80" s="408">
        <f>Données!Z81</f>
        <v>417</v>
      </c>
      <c r="E80" s="179">
        <f>VPI!R81</f>
        <v>14300.520945945947</v>
      </c>
      <c r="F80" s="316">
        <f>'Péréquation directe'!K87</f>
        <v>11150.734318471747</v>
      </c>
      <c r="G80" s="329">
        <f>PCS!I87</f>
        <v>243534.14040082615</v>
      </c>
      <c r="H80" s="345">
        <f>'Facture policière'!L81</f>
        <v>43852.99315137809</v>
      </c>
      <c r="I80" s="457">
        <f t="shared" si="1"/>
        <v>298537.86787067598</v>
      </c>
      <c r="J80" s="181"/>
    </row>
    <row r="81" spans="1:10" s="87" customFormat="1" x14ac:dyDescent="0.25">
      <c r="A81" s="401">
        <f>Données!A82</f>
        <v>5533</v>
      </c>
      <c r="B81" s="405" t="str">
        <f>Données!B82</f>
        <v>Poliez-Pittet</v>
      </c>
      <c r="C81" s="403">
        <f>VPI!Q82</f>
        <v>73</v>
      </c>
      <c r="D81" s="408">
        <f>Données!Z82</f>
        <v>833</v>
      </c>
      <c r="E81" s="179">
        <f>VPI!R82</f>
        <v>27495.737397260269</v>
      </c>
      <c r="F81" s="316">
        <f>'Péréquation directe'!K88</f>
        <v>84875.005151263904</v>
      </c>
      <c r="G81" s="329">
        <f>PCS!I88</f>
        <v>365462.71928225301</v>
      </c>
      <c r="H81" s="345">
        <f>'Facture policière'!L82</f>
        <v>84398.695595665195</v>
      </c>
      <c r="I81" s="457">
        <f t="shared" si="1"/>
        <v>534736.4200291821</v>
      </c>
      <c r="J81" s="181"/>
    </row>
    <row r="82" spans="1:10" s="87" customFormat="1" x14ac:dyDescent="0.25">
      <c r="A82" s="401">
        <f>Données!A83</f>
        <v>5534</v>
      </c>
      <c r="B82" s="405" t="str">
        <f>Données!B83</f>
        <v>Rueyres</v>
      </c>
      <c r="C82" s="403">
        <f>VPI!Q83</f>
        <v>73</v>
      </c>
      <c r="D82" s="408">
        <f>Données!Z83</f>
        <v>304</v>
      </c>
      <c r="E82" s="179">
        <f>VPI!R83</f>
        <v>13098.988310502282</v>
      </c>
      <c r="F82" s="316">
        <f>'Péréquation directe'!K89</f>
        <v>178213.78034417215</v>
      </c>
      <c r="G82" s="329">
        <f>PCS!I89</f>
        <v>227488.35821795237</v>
      </c>
      <c r="H82" s="345">
        <f>'Facture policière'!L83</f>
        <v>40024.363544629043</v>
      </c>
      <c r="I82" s="457">
        <f t="shared" si="1"/>
        <v>445726.50210675353</v>
      </c>
      <c r="J82" s="181"/>
    </row>
    <row r="83" spans="1:10" s="87" customFormat="1" x14ac:dyDescent="0.25">
      <c r="A83" s="401">
        <f>Données!A84</f>
        <v>5535</v>
      </c>
      <c r="B83" s="405" t="str">
        <f>Données!B84</f>
        <v>Saint-Barthélemy</v>
      </c>
      <c r="C83" s="403">
        <f>VPI!Q84</f>
        <v>75</v>
      </c>
      <c r="D83" s="408">
        <f>Données!Z84</f>
        <v>809</v>
      </c>
      <c r="E83" s="179">
        <f>VPI!R84</f>
        <v>25080.037866666662</v>
      </c>
      <c r="F83" s="316">
        <f>'Péréquation directe'!K90</f>
        <v>31557.173893533763</v>
      </c>
      <c r="G83" s="329">
        <f>PCS!I90</f>
        <v>379714.98574610299</v>
      </c>
      <c r="H83" s="345">
        <f>'Facture policière'!L84</f>
        <v>76906.00083392646</v>
      </c>
      <c r="I83" s="457">
        <f t="shared" si="1"/>
        <v>488178.16047356324</v>
      </c>
      <c r="J83" s="181"/>
    </row>
    <row r="84" spans="1:10" s="87" customFormat="1" x14ac:dyDescent="0.25">
      <c r="A84" s="401">
        <f>Données!A85</f>
        <v>5537</v>
      </c>
      <c r="B84" s="405" t="str">
        <f>Données!B85</f>
        <v>Villars-le-Terroir</v>
      </c>
      <c r="C84" s="403">
        <f>VPI!Q85</f>
        <v>76</v>
      </c>
      <c r="D84" s="408">
        <f>Données!Z85</f>
        <v>1316</v>
      </c>
      <c r="E84" s="179">
        <f>VPI!R85</f>
        <v>42917.111184210531</v>
      </c>
      <c r="F84" s="316">
        <f>'Péréquation directe'!K91</f>
        <v>79179.615649796324</v>
      </c>
      <c r="G84" s="329">
        <f>PCS!I91</f>
        <v>602378.93483354908</v>
      </c>
      <c r="H84" s="345">
        <f>'Facture policière'!L85</f>
        <v>131794.2641722624</v>
      </c>
      <c r="I84" s="457">
        <f t="shared" si="1"/>
        <v>813352.8146556078</v>
      </c>
      <c r="J84" s="181"/>
    </row>
    <row r="85" spans="1:10" s="87" customFormat="1" x14ac:dyDescent="0.25">
      <c r="A85" s="401">
        <f>Données!A86</f>
        <v>5539</v>
      </c>
      <c r="B85" s="405" t="str">
        <f>Données!B86</f>
        <v>Vuarrens</v>
      </c>
      <c r="C85" s="403">
        <f>VPI!Q86</f>
        <v>73.5</v>
      </c>
      <c r="D85" s="408">
        <f>Données!Z86</f>
        <v>1097</v>
      </c>
      <c r="E85" s="179">
        <f>VPI!R86</f>
        <v>34556.836734693868</v>
      </c>
      <c r="F85" s="316">
        <f>'Péréquation directe'!K92</f>
        <v>78677.087421498261</v>
      </c>
      <c r="G85" s="329">
        <f>PCS!I92</f>
        <v>564099.30689304799</v>
      </c>
      <c r="H85" s="345">
        <f>'Facture policière'!L86</f>
        <v>106030.07104591942</v>
      </c>
      <c r="I85" s="457">
        <f t="shared" si="1"/>
        <v>748806.46536046569</v>
      </c>
      <c r="J85" s="181"/>
    </row>
    <row r="86" spans="1:10" s="87" customFormat="1" x14ac:dyDescent="0.25">
      <c r="A86" s="401">
        <f>Données!A87</f>
        <v>5540</v>
      </c>
      <c r="B86" s="405" t="str">
        <f>Données!B87</f>
        <v>Montilliez</v>
      </c>
      <c r="C86" s="403">
        <f>VPI!Q87</f>
        <v>72.5</v>
      </c>
      <c r="D86" s="408">
        <f>Données!Z87</f>
        <v>1883</v>
      </c>
      <c r="E86" s="179">
        <f>VPI!R87</f>
        <v>63309.453137931036</v>
      </c>
      <c r="F86" s="316">
        <f>'Péréquation directe'!K93</f>
        <v>89628.087240702473</v>
      </c>
      <c r="G86" s="329">
        <f>PCS!I93</f>
        <v>952578.63797295908</v>
      </c>
      <c r="H86" s="345">
        <f>'Facture policière'!L87</f>
        <v>194151.22000904343</v>
      </c>
      <c r="I86" s="457">
        <f t="shared" si="1"/>
        <v>1236357.9452227049</v>
      </c>
      <c r="J86" s="181"/>
    </row>
    <row r="87" spans="1:10" s="87" customFormat="1" x14ac:dyDescent="0.25">
      <c r="A87" s="401">
        <f>Données!A88</f>
        <v>5541</v>
      </c>
      <c r="B87" s="405" t="str">
        <f>Données!B88</f>
        <v>Goumoëns</v>
      </c>
      <c r="C87" s="403">
        <f>VPI!Q88</f>
        <v>75.5</v>
      </c>
      <c r="D87" s="408">
        <f>Données!Z88</f>
        <v>1166</v>
      </c>
      <c r="E87" s="179">
        <f>VPI!R88</f>
        <v>41276.409536423838</v>
      </c>
      <c r="F87" s="316">
        <f>'Péréquation directe'!K94</f>
        <v>244413.06124932575</v>
      </c>
      <c r="G87" s="329">
        <f>PCS!I94</f>
        <v>603174.69885353022</v>
      </c>
      <c r="H87" s="345">
        <f>'Facture policière'!L88</f>
        <v>127262.55710965861</v>
      </c>
      <c r="I87" s="457">
        <f t="shared" si="1"/>
        <v>974850.31721251458</v>
      </c>
      <c r="J87" s="181"/>
    </row>
    <row r="88" spans="1:10" s="87" customFormat="1" x14ac:dyDescent="0.25">
      <c r="A88" s="401">
        <f>Données!A89</f>
        <v>5551</v>
      </c>
      <c r="B88" s="405" t="str">
        <f>Données!B89</f>
        <v>Bonvillars</v>
      </c>
      <c r="C88" s="403">
        <f>VPI!Q89</f>
        <v>55</v>
      </c>
      <c r="D88" s="408">
        <f>Données!Z89</f>
        <v>481</v>
      </c>
      <c r="E88" s="179">
        <f>VPI!R89</f>
        <v>18704.487454545451</v>
      </c>
      <c r="F88" s="316">
        <f>'Péréquation directe'!K95</f>
        <v>120925.64278869782</v>
      </c>
      <c r="G88" s="329">
        <f>PCS!I95</f>
        <v>292092.82369537128</v>
      </c>
      <c r="H88" s="345">
        <f>'Facture policière'!L89</f>
        <v>55728.782632211063</v>
      </c>
      <c r="I88" s="457">
        <f t="shared" si="1"/>
        <v>468747.24911628017</v>
      </c>
      <c r="J88" s="181"/>
    </row>
    <row r="89" spans="1:10" s="87" customFormat="1" x14ac:dyDescent="0.25">
      <c r="A89" s="401">
        <f>Données!A90</f>
        <v>5552</v>
      </c>
      <c r="B89" s="405" t="str">
        <f>Données!B90</f>
        <v>Bullet</v>
      </c>
      <c r="C89" s="403">
        <f>VPI!Q90</f>
        <v>71.5</v>
      </c>
      <c r="D89" s="408">
        <f>Données!Z90</f>
        <v>657</v>
      </c>
      <c r="E89" s="179">
        <f>VPI!R90</f>
        <v>19598.576923076926</v>
      </c>
      <c r="F89" s="316">
        <f>'Péréquation directe'!K96</f>
        <v>-157015.04909952777</v>
      </c>
      <c r="G89" s="329">
        <f>PCS!I96</f>
        <v>449795.43360071484</v>
      </c>
      <c r="H89" s="345">
        <f>'Facture policière'!L90</f>
        <v>59443.243842538985</v>
      </c>
      <c r="I89" s="457">
        <f t="shared" si="1"/>
        <v>352223.62834372604</v>
      </c>
      <c r="J89" s="181"/>
    </row>
    <row r="90" spans="1:10" s="87" customFormat="1" x14ac:dyDescent="0.25">
      <c r="A90" s="401">
        <f>Données!A91</f>
        <v>5553</v>
      </c>
      <c r="B90" s="405" t="str">
        <f>Données!B91</f>
        <v>Champagne</v>
      </c>
      <c r="C90" s="403">
        <f>VPI!Q91</f>
        <v>65</v>
      </c>
      <c r="D90" s="408">
        <f>Données!Z91</f>
        <v>1085</v>
      </c>
      <c r="E90" s="179">
        <f>VPI!R91</f>
        <v>40077.283076923086</v>
      </c>
      <c r="F90" s="316">
        <f>'Péréquation directe'!K97</f>
        <v>172882.63918939466</v>
      </c>
      <c r="G90" s="329">
        <f>PCS!I97</f>
        <v>632452.68731048016</v>
      </c>
      <c r="H90" s="345">
        <f>'Facture policière'!L91</f>
        <v>121427.6527961152</v>
      </c>
      <c r="I90" s="457">
        <f t="shared" si="1"/>
        <v>926762.97929598996</v>
      </c>
      <c r="J90" s="181"/>
    </row>
    <row r="91" spans="1:10" s="87" customFormat="1" x14ac:dyDescent="0.25">
      <c r="A91" s="401">
        <f>Données!A92</f>
        <v>5554</v>
      </c>
      <c r="B91" s="405" t="str">
        <f>Données!B92</f>
        <v>Concise</v>
      </c>
      <c r="C91" s="403">
        <f>VPI!Q92</f>
        <v>75</v>
      </c>
      <c r="D91" s="408">
        <f>Données!Z92</f>
        <v>1004</v>
      </c>
      <c r="E91" s="179">
        <f>VPI!R92</f>
        <v>31499.25106666666</v>
      </c>
      <c r="F91" s="316">
        <f>'Péréquation directe'!K98</f>
        <v>-141545.66955192899</v>
      </c>
      <c r="G91" s="329">
        <f>PCS!I98</f>
        <v>1075306.9487601181</v>
      </c>
      <c r="H91" s="345">
        <f>'Facture policière'!L92</f>
        <v>96598.639504429593</v>
      </c>
      <c r="I91" s="457">
        <f t="shared" si="1"/>
        <v>1030359.9187126188</v>
      </c>
      <c r="J91" s="181"/>
    </row>
    <row r="92" spans="1:10" s="87" customFormat="1" x14ac:dyDescent="0.25">
      <c r="A92" s="401">
        <f>Données!A93</f>
        <v>5555</v>
      </c>
      <c r="B92" s="405" t="str">
        <f>Données!B93</f>
        <v>Corcelles-près-Concise</v>
      </c>
      <c r="C92" s="403">
        <f>VPI!Q93</f>
        <v>69</v>
      </c>
      <c r="D92" s="408">
        <f>Données!Z93</f>
        <v>417</v>
      </c>
      <c r="E92" s="179">
        <f>VPI!R93</f>
        <v>13877.681159420288</v>
      </c>
      <c r="F92" s="316">
        <f>'Péréquation directe'!K99</f>
        <v>-111090.08608681412</v>
      </c>
      <c r="G92" s="329">
        <f>PCS!I99</f>
        <v>228999.32987409062</v>
      </c>
      <c r="H92" s="345">
        <f>'Facture policière'!L93</f>
        <v>42021.29135953998</v>
      </c>
      <c r="I92" s="457">
        <f t="shared" si="1"/>
        <v>159930.53514681649</v>
      </c>
      <c r="J92" s="181"/>
    </row>
    <row r="93" spans="1:10" s="87" customFormat="1" x14ac:dyDescent="0.25">
      <c r="A93" s="401">
        <f>Données!A94</f>
        <v>5556</v>
      </c>
      <c r="B93" s="405" t="str">
        <f>Données!B94</f>
        <v>Fiez</v>
      </c>
      <c r="C93" s="403">
        <f>VPI!Q94</f>
        <v>69</v>
      </c>
      <c r="D93" s="408">
        <f>Données!Z94</f>
        <v>442</v>
      </c>
      <c r="E93" s="179">
        <f>VPI!R94</f>
        <v>14574.59084541063</v>
      </c>
      <c r="F93" s="316">
        <f>'Péréquation directe'!K100</f>
        <v>24798.383892392827</v>
      </c>
      <c r="G93" s="329">
        <f>PCS!I100</f>
        <v>213968.46529231436</v>
      </c>
      <c r="H93" s="345">
        <f>'Facture policière'!L94</f>
        <v>44736.726425097033</v>
      </c>
      <c r="I93" s="457">
        <f t="shared" si="1"/>
        <v>283503.57560980425</v>
      </c>
      <c r="J93" s="181"/>
    </row>
    <row r="94" spans="1:10" s="87" customFormat="1" x14ac:dyDescent="0.25">
      <c r="A94" s="401">
        <f>Données!A95</f>
        <v>5557</v>
      </c>
      <c r="B94" s="405" t="str">
        <f>Données!B95</f>
        <v>Fontaines-sur-Grandson</v>
      </c>
      <c r="C94" s="403">
        <f>VPI!Q95</f>
        <v>69</v>
      </c>
      <c r="D94" s="408">
        <f>Données!Z95</f>
        <v>220</v>
      </c>
      <c r="E94" s="179">
        <f>VPI!R95</f>
        <v>4232.7078260869557</v>
      </c>
      <c r="F94" s="316">
        <f>'Péréquation directe'!K101</f>
        <v>-100439.70170387672</v>
      </c>
      <c r="G94" s="329">
        <f>PCS!I101</f>
        <v>60373.077808061229</v>
      </c>
      <c r="H94" s="345">
        <f>'Facture policière'!L95</f>
        <v>12598.837097825632</v>
      </c>
      <c r="I94" s="457">
        <f t="shared" si="1"/>
        <v>-27467.786797989862</v>
      </c>
      <c r="J94" s="181"/>
    </row>
    <row r="95" spans="1:10" s="87" customFormat="1" x14ac:dyDescent="0.25">
      <c r="A95" s="401">
        <f>Données!A96</f>
        <v>5559</v>
      </c>
      <c r="B95" s="405" t="str">
        <f>Données!B96</f>
        <v>Giez</v>
      </c>
      <c r="C95" s="403">
        <f>VPI!Q96</f>
        <v>66</v>
      </c>
      <c r="D95" s="408">
        <f>Données!Z96</f>
        <v>443</v>
      </c>
      <c r="E95" s="179">
        <f>VPI!R96</f>
        <v>23427.520303030306</v>
      </c>
      <c r="F95" s="316">
        <f>'Péréquation directe'!K102</f>
        <v>394480.06143632869</v>
      </c>
      <c r="G95" s="329">
        <f>PCS!I102</f>
        <v>420811.29355427809</v>
      </c>
      <c r="H95" s="345">
        <f>'Facture policière'!L96</f>
        <v>67900.883227010068</v>
      </c>
      <c r="I95" s="457">
        <f t="shared" si="1"/>
        <v>883192.2382176168</v>
      </c>
      <c r="J95" s="181"/>
    </row>
    <row r="96" spans="1:10" s="87" customFormat="1" x14ac:dyDescent="0.25">
      <c r="A96" s="401">
        <f>Données!A97</f>
        <v>5560</v>
      </c>
      <c r="B96" s="405" t="str">
        <f>Données!B97</f>
        <v>Grandevent</v>
      </c>
      <c r="C96" s="403">
        <f>VPI!Q97</f>
        <v>68</v>
      </c>
      <c r="D96" s="408">
        <f>Données!Z97</f>
        <v>238</v>
      </c>
      <c r="E96" s="179">
        <f>VPI!R97</f>
        <v>7003.3020588235295</v>
      </c>
      <c r="F96" s="316">
        <f>'Péréquation directe'!K103</f>
        <v>7727.2874209694855</v>
      </c>
      <c r="G96" s="329">
        <f>PCS!I103</f>
        <v>132775.34940299293</v>
      </c>
      <c r="H96" s="345">
        <f>'Facture policière'!L97</f>
        <v>21314.554374723535</v>
      </c>
      <c r="I96" s="457">
        <f t="shared" si="1"/>
        <v>161817.19119868596</v>
      </c>
      <c r="J96" s="181"/>
    </row>
    <row r="97" spans="1:10" s="87" customFormat="1" x14ac:dyDescent="0.25">
      <c r="A97" s="401">
        <f>Données!A98</f>
        <v>5561</v>
      </c>
      <c r="B97" s="405" t="str">
        <f>Données!B98</f>
        <v>Grandson</v>
      </c>
      <c r="C97" s="403">
        <f>VPI!Q98</f>
        <v>69</v>
      </c>
      <c r="D97" s="408">
        <f>Données!Z98</f>
        <v>3366</v>
      </c>
      <c r="E97" s="179">
        <f>VPI!R98</f>
        <v>114496.59724637681</v>
      </c>
      <c r="F97" s="316">
        <f>'Péréquation directe'!K104</f>
        <v>-737431.53370683175</v>
      </c>
      <c r="G97" s="329">
        <f>PCS!I104</f>
        <v>2091686.8807075201</v>
      </c>
      <c r="H97" s="345">
        <f>'Facture policière'!L98</f>
        <v>349604.56967079284</v>
      </c>
      <c r="I97" s="457">
        <f t="shared" si="1"/>
        <v>1703859.9166714812</v>
      </c>
      <c r="J97" s="181"/>
    </row>
    <row r="98" spans="1:10" s="87" customFormat="1" x14ac:dyDescent="0.25">
      <c r="A98" s="401">
        <f>Données!A99</f>
        <v>5562</v>
      </c>
      <c r="B98" s="405" t="str">
        <f>Données!B99</f>
        <v>Mauborget</v>
      </c>
      <c r="C98" s="403">
        <f>VPI!Q99</f>
        <v>70</v>
      </c>
      <c r="D98" s="408">
        <f>Données!Z99</f>
        <v>137</v>
      </c>
      <c r="E98" s="179">
        <f>VPI!R99</f>
        <v>6099.4266904761898</v>
      </c>
      <c r="F98" s="316">
        <f>'Péréquation directe'!K105</f>
        <v>83423.537954083993</v>
      </c>
      <c r="G98" s="329">
        <f>PCS!I105</f>
        <v>99456.67527077737</v>
      </c>
      <c r="H98" s="345">
        <f>'Facture policière'!L99</f>
        <v>18722.610569951426</v>
      </c>
      <c r="I98" s="457">
        <f t="shared" si="1"/>
        <v>201602.82379481278</v>
      </c>
      <c r="J98" s="181"/>
    </row>
    <row r="99" spans="1:10" s="87" customFormat="1" x14ac:dyDescent="0.25">
      <c r="A99" s="401">
        <f>Données!A100</f>
        <v>5563</v>
      </c>
      <c r="B99" s="405" t="str">
        <f>Données!B100</f>
        <v>Mutrux</v>
      </c>
      <c r="C99" s="403">
        <f>VPI!Q100</f>
        <v>80</v>
      </c>
      <c r="D99" s="408">
        <f>Données!Z100</f>
        <v>151</v>
      </c>
      <c r="E99" s="179">
        <f>VPI!R100</f>
        <v>4282.2106250000006</v>
      </c>
      <c r="F99" s="316">
        <f>'Péréquation directe'!K106</f>
        <v>-33675.228608976424</v>
      </c>
      <c r="G99" s="329">
        <f>PCS!I106</f>
        <v>93830.127993141519</v>
      </c>
      <c r="H99" s="345">
        <f>'Facture policière'!L100</f>
        <v>13252.208463559744</v>
      </c>
      <c r="I99" s="457">
        <f t="shared" si="1"/>
        <v>73407.107847724837</v>
      </c>
      <c r="J99" s="181"/>
    </row>
    <row r="100" spans="1:10" s="87" customFormat="1" x14ac:dyDescent="0.25">
      <c r="A100" s="401">
        <f>Données!A101</f>
        <v>5564</v>
      </c>
      <c r="B100" s="405" t="str">
        <f>Données!B101</f>
        <v>Novalles</v>
      </c>
      <c r="C100" s="403">
        <f>VPI!Q101</f>
        <v>76</v>
      </c>
      <c r="D100" s="408">
        <f>Données!Z101</f>
        <v>103</v>
      </c>
      <c r="E100" s="179">
        <f>VPI!R101</f>
        <v>2099.5443749999999</v>
      </c>
      <c r="F100" s="316">
        <f>'Péréquation directe'!K107</f>
        <v>-69456.310132981191</v>
      </c>
      <c r="G100" s="329">
        <f>PCS!I107</f>
        <v>28483.187224289744</v>
      </c>
      <c r="H100" s="345">
        <f>'Facture policière'!L101</f>
        <v>6396.7432385064812</v>
      </c>
      <c r="I100" s="457">
        <f t="shared" si="1"/>
        <v>-34576.379670184964</v>
      </c>
      <c r="J100" s="181"/>
    </row>
    <row r="101" spans="1:10" s="87" customFormat="1" x14ac:dyDescent="0.25">
      <c r="A101" s="401">
        <f>Données!A102</f>
        <v>5565</v>
      </c>
      <c r="B101" s="405" t="str">
        <f>Données!B102</f>
        <v>Onnens</v>
      </c>
      <c r="C101" s="403">
        <f>VPI!Q102</f>
        <v>63.5</v>
      </c>
      <c r="D101" s="408">
        <f>Données!Z102</f>
        <v>495</v>
      </c>
      <c r="E101" s="179">
        <f>VPI!R102</f>
        <v>22684.162047244088</v>
      </c>
      <c r="F101" s="316">
        <f>'Péréquation directe'!K108</f>
        <v>288573.86423174938</v>
      </c>
      <c r="G101" s="329">
        <f>PCS!I108</f>
        <v>344563.58912419493</v>
      </c>
      <c r="H101" s="345">
        <f>'Facture policière'!L102</f>
        <v>68308.230917162087</v>
      </c>
      <c r="I101" s="457">
        <f t="shared" si="1"/>
        <v>701445.68427310628</v>
      </c>
      <c r="J101" s="181"/>
    </row>
    <row r="102" spans="1:10" s="87" customFormat="1" x14ac:dyDescent="0.25">
      <c r="A102" s="401">
        <f>Données!A103</f>
        <v>5566</v>
      </c>
      <c r="B102" s="405" t="str">
        <f>Données!B103</f>
        <v>Provence</v>
      </c>
      <c r="C102" s="403">
        <f>VPI!Q103</f>
        <v>81</v>
      </c>
      <c r="D102" s="408">
        <f>Données!Z103</f>
        <v>403</v>
      </c>
      <c r="E102" s="179">
        <f>VPI!R103</f>
        <v>9377.2088888888902</v>
      </c>
      <c r="F102" s="316">
        <f>'Péréquation directe'!K109</f>
        <v>-526868.34524371475</v>
      </c>
      <c r="G102" s="329">
        <f>PCS!I109</f>
        <v>146591.13102718454</v>
      </c>
      <c r="H102" s="345">
        <f>'Facture policière'!L103</f>
        <v>28843.583464014686</v>
      </c>
      <c r="I102" s="457">
        <f t="shared" si="1"/>
        <v>-351433.63075251551</v>
      </c>
      <c r="J102" s="181"/>
    </row>
    <row r="103" spans="1:10" s="87" customFormat="1" x14ac:dyDescent="0.25">
      <c r="A103" s="401">
        <f>Données!A104</f>
        <v>5568</v>
      </c>
      <c r="B103" s="405" t="str">
        <f>Données!B104</f>
        <v>Sainte-Croix</v>
      </c>
      <c r="C103" s="403">
        <f>VPI!Q104</f>
        <v>70</v>
      </c>
      <c r="D103" s="408">
        <f>Données!Z104</f>
        <v>4948</v>
      </c>
      <c r="E103" s="179">
        <f>VPI!R104</f>
        <v>109152.09599999999</v>
      </c>
      <c r="F103" s="316">
        <f>'Péréquation directe'!K110</f>
        <v>-3856487.4321040679</v>
      </c>
      <c r="G103" s="329">
        <f>PCS!I110</f>
        <v>2637036.9130446548</v>
      </c>
      <c r="H103" s="345">
        <f>'Facture policière'!L104</f>
        <v>332077.25686367694</v>
      </c>
      <c r="I103" s="457">
        <f t="shared" si="1"/>
        <v>-887373.26219573617</v>
      </c>
      <c r="J103" s="181"/>
    </row>
    <row r="104" spans="1:10" s="87" customFormat="1" x14ac:dyDescent="0.25">
      <c r="A104" s="401">
        <f>Données!A105</f>
        <v>5571</v>
      </c>
      <c r="B104" s="405" t="str">
        <f>Données!B105</f>
        <v>Tévenon</v>
      </c>
      <c r="C104" s="403">
        <f>VPI!Q105</f>
        <v>71.5</v>
      </c>
      <c r="D104" s="408">
        <f>Données!Z105</f>
        <v>883</v>
      </c>
      <c r="E104" s="179">
        <f>VPI!R105</f>
        <v>25324.815594405594</v>
      </c>
      <c r="F104" s="316">
        <f>'Péréquation directe'!K111</f>
        <v>-194631.6746637685</v>
      </c>
      <c r="G104" s="329">
        <f>PCS!I111</f>
        <v>442748.87994676997</v>
      </c>
      <c r="H104" s="345">
        <f>'Facture policière'!L105</f>
        <v>76784.626638172122</v>
      </c>
      <c r="I104" s="457">
        <f t="shared" si="1"/>
        <v>324901.83192117361</v>
      </c>
      <c r="J104" s="181"/>
    </row>
    <row r="105" spans="1:10" s="87" customFormat="1" x14ac:dyDescent="0.25">
      <c r="A105" s="401">
        <f>Données!A106</f>
        <v>5581</v>
      </c>
      <c r="B105" s="405" t="str">
        <f>Données!B106</f>
        <v>Belmont-sur-Lausanne</v>
      </c>
      <c r="C105" s="403">
        <f>VPI!Q106</f>
        <v>72</v>
      </c>
      <c r="D105" s="408">
        <f>Données!Z106</f>
        <v>3871</v>
      </c>
      <c r="E105" s="179">
        <f>VPI!R106</f>
        <v>215428.66976851854</v>
      </c>
      <c r="F105" s="316">
        <f>'Péréquation directe'!K112</f>
        <v>2035851.0236766986</v>
      </c>
      <c r="G105" s="329">
        <f>PCS!I112</f>
        <v>3971884.0853790878</v>
      </c>
      <c r="H105" s="345">
        <f>'Facture policière'!L106</f>
        <v>264022.01368846698</v>
      </c>
      <c r="I105" s="457">
        <f t="shared" si="1"/>
        <v>6271757.1227442529</v>
      </c>
      <c r="J105" s="181"/>
    </row>
    <row r="106" spans="1:10" s="87" customFormat="1" x14ac:dyDescent="0.25">
      <c r="A106" s="401">
        <f>Données!A107</f>
        <v>5582</v>
      </c>
      <c r="B106" s="405" t="str">
        <f>Données!B107</f>
        <v>Cheseaux-sur-Lausanne</v>
      </c>
      <c r="C106" s="403">
        <f>VPI!Q107</f>
        <v>73</v>
      </c>
      <c r="D106" s="408">
        <f>Données!Z107</f>
        <v>4449</v>
      </c>
      <c r="E106" s="179">
        <f>VPI!R107</f>
        <v>167486.36602739722</v>
      </c>
      <c r="F106" s="316">
        <f>'Péréquation directe'!K113</f>
        <v>173477.35864412831</v>
      </c>
      <c r="G106" s="329">
        <f>PCS!I113</f>
        <v>3152508.3572977409</v>
      </c>
      <c r="H106" s="345">
        <f>'Facture policière'!L107</f>
        <v>511894.43818170991</v>
      </c>
      <c r="I106" s="457">
        <f t="shared" si="1"/>
        <v>3837880.1541235792</v>
      </c>
      <c r="J106" s="181"/>
    </row>
    <row r="107" spans="1:10" s="87" customFormat="1" x14ac:dyDescent="0.25">
      <c r="A107" s="401">
        <f>Données!A108</f>
        <v>5583</v>
      </c>
      <c r="B107" s="405" t="str">
        <f>Données!B108</f>
        <v>Crissier</v>
      </c>
      <c r="C107" s="403">
        <f>VPI!Q108</f>
        <v>63.5</v>
      </c>
      <c r="D107" s="408">
        <f>Données!Z108</f>
        <v>8974</v>
      </c>
      <c r="E107" s="179">
        <f>VPI!R108</f>
        <v>337339.7176377952</v>
      </c>
      <c r="F107" s="316">
        <f>'Péréquation directe'!K114</f>
        <v>-2253387.6443834351</v>
      </c>
      <c r="G107" s="329">
        <f>PCS!I114</f>
        <v>6391057.8188028848</v>
      </c>
      <c r="H107" s="345">
        <f>'Facture policière'!L108</f>
        <v>413432.02668210963</v>
      </c>
      <c r="I107" s="457">
        <f t="shared" si="1"/>
        <v>4551102.2011015592</v>
      </c>
      <c r="J107" s="181"/>
    </row>
    <row r="108" spans="1:10" s="87" customFormat="1" x14ac:dyDescent="0.25">
      <c r="A108" s="401">
        <f>Données!A109</f>
        <v>5584</v>
      </c>
      <c r="B108" s="405" t="str">
        <f>Données!B109</f>
        <v>Epalinges</v>
      </c>
      <c r="C108" s="403">
        <f>VPI!Q109</f>
        <v>64.5</v>
      </c>
      <c r="D108" s="408">
        <f>Données!Z109</f>
        <v>9813</v>
      </c>
      <c r="E108" s="179">
        <f>VPI!R109</f>
        <v>516682.33689922479</v>
      </c>
      <c r="F108" s="316">
        <f>'Péréquation directe'!K115</f>
        <v>882329.25988258794</v>
      </c>
      <c r="G108" s="329">
        <f>PCS!I115</f>
        <v>9037046.430936547</v>
      </c>
      <c r="H108" s="345">
        <f>'Facture policière'!L109</f>
        <v>1501311.3356994428</v>
      </c>
      <c r="I108" s="457">
        <f t="shared" si="1"/>
        <v>11420687.026518578</v>
      </c>
      <c r="J108" s="181"/>
    </row>
    <row r="109" spans="1:10" s="87" customFormat="1" x14ac:dyDescent="0.25">
      <c r="A109" s="401">
        <f>Données!A110</f>
        <v>5585</v>
      </c>
      <c r="B109" s="405" t="str">
        <f>Données!B110</f>
        <v>Jouxtens-Mézery</v>
      </c>
      <c r="C109" s="403">
        <f>VPI!Q110</f>
        <v>59</v>
      </c>
      <c r="D109" s="408">
        <f>Données!Z110</f>
        <v>1460</v>
      </c>
      <c r="E109" s="179">
        <f>VPI!R110</f>
        <v>191742.38983050847</v>
      </c>
      <c r="F109" s="316">
        <f>'Péréquation directe'!K116</f>
        <v>3401219.0902849464</v>
      </c>
      <c r="G109" s="329">
        <f>PCS!I116</f>
        <v>5767350.8450079691</v>
      </c>
      <c r="H109" s="345">
        <f>'Facture policière'!L110</f>
        <v>364148.25983686687</v>
      </c>
      <c r="I109" s="457">
        <f t="shared" si="1"/>
        <v>9532718.195129782</v>
      </c>
      <c r="J109" s="181"/>
    </row>
    <row r="110" spans="1:10" s="87" customFormat="1" x14ac:dyDescent="0.25">
      <c r="A110" s="401">
        <f>Données!A111</f>
        <v>5586</v>
      </c>
      <c r="B110" s="405" t="str">
        <f>Données!B111</f>
        <v>Lausanne</v>
      </c>
      <c r="C110" s="403">
        <f>VPI!Q111</f>
        <v>78.5</v>
      </c>
      <c r="D110" s="408">
        <f>Données!Z111</f>
        <v>140824</v>
      </c>
      <c r="E110" s="179">
        <f>VPI!R111</f>
        <v>6457900.2123142257</v>
      </c>
      <c r="F110" s="316">
        <f>'Péréquation directe'!K117</f>
        <v>-78726962.494388178</v>
      </c>
      <c r="G110" s="329">
        <f>PCS!I117</f>
        <v>106607357.99133149</v>
      </c>
      <c r="H110" s="345">
        <f>'Facture policière'!L111</f>
        <v>7914581.7503606146</v>
      </c>
      <c r="I110" s="457">
        <f t="shared" si="1"/>
        <v>35794977.247303925</v>
      </c>
      <c r="J110" s="181"/>
    </row>
    <row r="111" spans="1:10" s="87" customFormat="1" x14ac:dyDescent="0.25">
      <c r="A111" s="401">
        <f>Données!A112</f>
        <v>5587</v>
      </c>
      <c r="B111" s="405" t="str">
        <f>Données!B112</f>
        <v>Le Mont-sur-Lausanne</v>
      </c>
      <c r="C111" s="403">
        <f>VPI!Q112</f>
        <v>73.5</v>
      </c>
      <c r="D111" s="408">
        <f>Données!Z112</f>
        <v>9217</v>
      </c>
      <c r="E111" s="179">
        <f>VPI!R112</f>
        <v>494912.33501133788</v>
      </c>
      <c r="F111" s="316">
        <f>'Péréquation directe'!K118</f>
        <v>2638405.8282775274</v>
      </c>
      <c r="G111" s="329">
        <f>PCS!I118</f>
        <v>9760434.2681347169</v>
      </c>
      <c r="H111" s="345">
        <f>'Facture policière'!L112</f>
        <v>1421907.0783286509</v>
      </c>
      <c r="I111" s="457">
        <f t="shared" si="1"/>
        <v>13820747.174740896</v>
      </c>
      <c r="J111" s="181"/>
    </row>
    <row r="112" spans="1:10" s="87" customFormat="1" x14ac:dyDescent="0.25">
      <c r="A112" s="401">
        <f>Données!A113</f>
        <v>5588</v>
      </c>
      <c r="B112" s="405" t="str">
        <f>Données!B113</f>
        <v>Paudex</v>
      </c>
      <c r="C112" s="403">
        <f>VPI!Q113</f>
        <v>66.5</v>
      </c>
      <c r="D112" s="408">
        <f>Données!Z113</f>
        <v>1545</v>
      </c>
      <c r="E112" s="179">
        <f>VPI!R113</f>
        <v>140525.78356605806</v>
      </c>
      <c r="F112" s="316">
        <f>'Péréquation directe'!K119</f>
        <v>2383153.1895223544</v>
      </c>
      <c r="G112" s="329">
        <f>PCS!I119</f>
        <v>3402320.0676941257</v>
      </c>
      <c r="H112" s="345">
        <f>'Facture policière'!L113</f>
        <v>172223.59675769662</v>
      </c>
      <c r="I112" s="457">
        <f t="shared" si="1"/>
        <v>5957696.8539741766</v>
      </c>
      <c r="J112" s="181"/>
    </row>
    <row r="113" spans="1:10" s="87" customFormat="1" x14ac:dyDescent="0.25">
      <c r="A113" s="401">
        <f>Données!A114</f>
        <v>5589</v>
      </c>
      <c r="B113" s="405" t="str">
        <f>Données!B114</f>
        <v>Prilly</v>
      </c>
      <c r="C113" s="403">
        <f>VPI!Q114</f>
        <v>72.5</v>
      </c>
      <c r="D113" s="408">
        <f>Données!Z114</f>
        <v>12341</v>
      </c>
      <c r="E113" s="179">
        <f>VPI!R114</f>
        <v>419337.60911405843</v>
      </c>
      <c r="F113" s="316">
        <f>'Péréquation directe'!K120</f>
        <v>-6191841.9086043825</v>
      </c>
      <c r="G113" s="329">
        <f>PCS!I120</f>
        <v>6974227.6386853801</v>
      </c>
      <c r="H113" s="345">
        <f>'Facture policière'!L114</f>
        <v>513925.83954849298</v>
      </c>
      <c r="I113" s="457">
        <f t="shared" si="1"/>
        <v>1296311.5696294906</v>
      </c>
      <c r="J113" s="181"/>
    </row>
    <row r="114" spans="1:10" s="87" customFormat="1" x14ac:dyDescent="0.25">
      <c r="A114" s="401">
        <f>Données!A115</f>
        <v>5590</v>
      </c>
      <c r="B114" s="405" t="str">
        <f>Données!B115</f>
        <v>Pully</v>
      </c>
      <c r="C114" s="403">
        <f>VPI!Q115</f>
        <v>61</v>
      </c>
      <c r="D114" s="408">
        <f>Données!Z115</f>
        <v>18946</v>
      </c>
      <c r="E114" s="179">
        <f>VPI!R115</f>
        <v>1602221.7514051518</v>
      </c>
      <c r="F114" s="316">
        <f>'Péréquation directe'!K121</f>
        <v>14029836.619589906</v>
      </c>
      <c r="G114" s="329">
        <f>PCS!I121</f>
        <v>38213568.318354324</v>
      </c>
      <c r="H114" s="345">
        <f>'Facture policière'!L115</f>
        <v>1963628.2099127939</v>
      </c>
      <c r="I114" s="457">
        <f t="shared" si="1"/>
        <v>54207033.147857025</v>
      </c>
      <c r="J114" s="181"/>
    </row>
    <row r="115" spans="1:10" s="87" customFormat="1" x14ac:dyDescent="0.25">
      <c r="A115" s="401">
        <f>Données!A116</f>
        <v>5591</v>
      </c>
      <c r="B115" s="405" t="str">
        <f>Données!B116</f>
        <v>Renens</v>
      </c>
      <c r="C115" s="403">
        <f>VPI!Q116</f>
        <v>77</v>
      </c>
      <c r="D115" s="408">
        <f>Données!Z116</f>
        <v>20917</v>
      </c>
      <c r="E115" s="179">
        <f>VPI!R116</f>
        <v>569549.93361781072</v>
      </c>
      <c r="F115" s="316">
        <f>'Péréquation directe'!K122</f>
        <v>-21941314.144008733</v>
      </c>
      <c r="G115" s="329">
        <f>PCS!I122</f>
        <v>10353484.27677311</v>
      </c>
      <c r="H115" s="345">
        <f>'Facture policière'!L116</f>
        <v>698020.92976522562</v>
      </c>
      <c r="I115" s="457">
        <f t="shared" si="1"/>
        <v>-10889808.937470397</v>
      </c>
      <c r="J115" s="181"/>
    </row>
    <row r="116" spans="1:10" s="87" customFormat="1" x14ac:dyDescent="0.25">
      <c r="A116" s="401">
        <f>Données!A117</f>
        <v>5592</v>
      </c>
      <c r="B116" s="405" t="str">
        <f>Données!B117</f>
        <v>Romanel-sur-Lausanne</v>
      </c>
      <c r="C116" s="403">
        <f>VPI!Q117</f>
        <v>70.5</v>
      </c>
      <c r="D116" s="408">
        <f>Données!Z117</f>
        <v>3482</v>
      </c>
      <c r="E116" s="179">
        <f>VPI!R117</f>
        <v>121058.65858156027</v>
      </c>
      <c r="F116" s="316">
        <f>'Péréquation directe'!K123</f>
        <v>73685.247546372935</v>
      </c>
      <c r="G116" s="329">
        <f>PCS!I123</f>
        <v>2404382.1572910701</v>
      </c>
      <c r="H116" s="345">
        <f>'Facture policière'!L117</f>
        <v>368035.57538005139</v>
      </c>
      <c r="I116" s="457">
        <f t="shared" si="1"/>
        <v>2846102.9802174945</v>
      </c>
      <c r="J116" s="181"/>
    </row>
    <row r="117" spans="1:10" s="87" customFormat="1" x14ac:dyDescent="0.25">
      <c r="A117" s="401">
        <f>Données!A118</f>
        <v>5601</v>
      </c>
      <c r="B117" s="405" t="str">
        <f>Données!B118</f>
        <v>Chexbres</v>
      </c>
      <c r="C117" s="403">
        <f>VPI!Q118</f>
        <v>67.5</v>
      </c>
      <c r="D117" s="408">
        <f>Données!Z118</f>
        <v>2229</v>
      </c>
      <c r="E117" s="179">
        <f>VPI!R118</f>
        <v>105964.39288888889</v>
      </c>
      <c r="F117" s="316">
        <f>'Péréquation directe'!K124</f>
        <v>1166496.8636024119</v>
      </c>
      <c r="G117" s="329">
        <f>PCS!I124</f>
        <v>1628105.8998916007</v>
      </c>
      <c r="H117" s="345">
        <f>'Facture policière'!L118</f>
        <v>129866.33775282539</v>
      </c>
      <c r="I117" s="457">
        <f t="shared" si="1"/>
        <v>2924469.1012468385</v>
      </c>
      <c r="J117" s="181"/>
    </row>
    <row r="118" spans="1:10" s="87" customFormat="1" x14ac:dyDescent="0.25">
      <c r="A118" s="401">
        <f>Données!A119</f>
        <v>5604</v>
      </c>
      <c r="B118" s="405" t="str">
        <f>Données!B119</f>
        <v>Forel (Lavaux)</v>
      </c>
      <c r="C118" s="403">
        <f>VPI!Q119</f>
        <v>69</v>
      </c>
      <c r="D118" s="408">
        <f>Données!Z119</f>
        <v>2110</v>
      </c>
      <c r="E118" s="179">
        <f>VPI!R119</f>
        <v>75806.642898550723</v>
      </c>
      <c r="F118" s="316">
        <f>'Péréquation directe'!K125</f>
        <v>111432.11702481448</v>
      </c>
      <c r="G118" s="329">
        <f>PCS!I125</f>
        <v>1187688.3890948822</v>
      </c>
      <c r="H118" s="345">
        <f>'Facture policière'!L119</f>
        <v>231631.20009953302</v>
      </c>
      <c r="I118" s="457">
        <f t="shared" si="1"/>
        <v>1530751.7062192296</v>
      </c>
      <c r="J118" s="181"/>
    </row>
    <row r="119" spans="1:10" s="87" customFormat="1" x14ac:dyDescent="0.25">
      <c r="A119" s="401">
        <f>Données!A120</f>
        <v>5606</v>
      </c>
      <c r="B119" s="405" t="str">
        <f>Données!B120</f>
        <v>Lutry</v>
      </c>
      <c r="C119" s="403">
        <f>VPI!Q120</f>
        <v>54</v>
      </c>
      <c r="D119" s="408">
        <f>Données!Z120</f>
        <v>10704</v>
      </c>
      <c r="E119" s="179">
        <f>VPI!R120</f>
        <v>959386.53714285709</v>
      </c>
      <c r="F119" s="316">
        <f>'Péréquation directe'!K126</f>
        <v>10584651.489055082</v>
      </c>
      <c r="G119" s="329">
        <f>PCS!I126</f>
        <v>23646450.471558057</v>
      </c>
      <c r="H119" s="345">
        <f>'Facture policière'!L120</f>
        <v>1175791.3452941813</v>
      </c>
      <c r="I119" s="457">
        <f t="shared" si="1"/>
        <v>35406893.305907324</v>
      </c>
      <c r="J119" s="181"/>
    </row>
    <row r="120" spans="1:10" s="87" customFormat="1" x14ac:dyDescent="0.25">
      <c r="A120" s="401">
        <f>Données!A121</f>
        <v>5607</v>
      </c>
      <c r="B120" s="405" t="str">
        <f>Données!B121</f>
        <v>Puidoux</v>
      </c>
      <c r="C120" s="403">
        <f>VPI!Q121</f>
        <v>68.5</v>
      </c>
      <c r="D120" s="408">
        <f>Données!Z121</f>
        <v>2924</v>
      </c>
      <c r="E120" s="179">
        <f>VPI!R121</f>
        <v>111538.40092668995</v>
      </c>
      <c r="F120" s="316">
        <f>'Péréquation directe'!K127</f>
        <v>-179997.4334103791</v>
      </c>
      <c r="G120" s="329">
        <f>PCS!I127</f>
        <v>1974482.0953331469</v>
      </c>
      <c r="H120" s="345">
        <f>'Facture policière'!L121</f>
        <v>136697.65146811341</v>
      </c>
      <c r="I120" s="457">
        <f t="shared" si="1"/>
        <v>1931182.3133908813</v>
      </c>
      <c r="J120" s="181"/>
    </row>
    <row r="121" spans="1:10" s="87" customFormat="1" x14ac:dyDescent="0.25">
      <c r="A121" s="401">
        <f>Données!A122</f>
        <v>5609</v>
      </c>
      <c r="B121" s="405" t="str">
        <f>Données!B122</f>
        <v>Rivaz</v>
      </c>
      <c r="C121" s="403">
        <f>VPI!Q122</f>
        <v>62</v>
      </c>
      <c r="D121" s="408">
        <f>Données!Z122</f>
        <v>331</v>
      </c>
      <c r="E121" s="179">
        <f>VPI!R122</f>
        <v>14895.889354838711</v>
      </c>
      <c r="F121" s="316">
        <f>'Péréquation directe'!K128</f>
        <v>179143.98601391469</v>
      </c>
      <c r="G121" s="329">
        <f>PCS!I128</f>
        <v>208154.49053631039</v>
      </c>
      <c r="H121" s="345">
        <f>'Facture policière'!L122</f>
        <v>18255.892808376044</v>
      </c>
      <c r="I121" s="457">
        <f t="shared" si="1"/>
        <v>405554.36935860111</v>
      </c>
      <c r="J121" s="181"/>
    </row>
    <row r="122" spans="1:10" s="87" customFormat="1" x14ac:dyDescent="0.25">
      <c r="A122" s="401">
        <f>Données!A123</f>
        <v>5610</v>
      </c>
      <c r="B122" s="405" t="str">
        <f>Données!B123</f>
        <v>St-Saphorin (Lavaux)</v>
      </c>
      <c r="C122" s="403">
        <f>VPI!Q123</f>
        <v>72</v>
      </c>
      <c r="D122" s="408">
        <f>Données!Z123</f>
        <v>396</v>
      </c>
      <c r="E122" s="179">
        <f>VPI!R123</f>
        <v>23447.805208333331</v>
      </c>
      <c r="F122" s="316">
        <f>'Péréquation directe'!K129</f>
        <v>396884.83164969564</v>
      </c>
      <c r="G122" s="329">
        <f>PCS!I129</f>
        <v>431174.66803342046</v>
      </c>
      <c r="H122" s="345">
        <f>'Facture policière'!L123</f>
        <v>28736.828549009439</v>
      </c>
      <c r="I122" s="457">
        <f t="shared" si="1"/>
        <v>856796.3282321255</v>
      </c>
      <c r="J122" s="181"/>
    </row>
    <row r="123" spans="1:10" s="87" customFormat="1" x14ac:dyDescent="0.25">
      <c r="A123" s="401">
        <f>Données!A124</f>
        <v>5611</v>
      </c>
      <c r="B123" s="405" t="str">
        <f>Données!B124</f>
        <v>Savigny</v>
      </c>
      <c r="C123" s="403">
        <f>VPI!Q124</f>
        <v>69</v>
      </c>
      <c r="D123" s="408">
        <f>Données!Z124</f>
        <v>3370</v>
      </c>
      <c r="E123" s="179">
        <f>VPI!R124</f>
        <v>140961.75301932363</v>
      </c>
      <c r="F123" s="316">
        <f>'Péréquation directe'!K130</f>
        <v>642570.74742873805</v>
      </c>
      <c r="G123" s="329">
        <f>PCS!I130</f>
        <v>2234510.2768635089</v>
      </c>
      <c r="H123" s="345">
        <f>'Facture policière'!L124</f>
        <v>172757.90601691231</v>
      </c>
      <c r="I123" s="457">
        <f t="shared" si="1"/>
        <v>3049838.9303091592</v>
      </c>
      <c r="J123" s="181"/>
    </row>
    <row r="124" spans="1:10" s="87" customFormat="1" x14ac:dyDescent="0.25">
      <c r="A124" s="401">
        <f>Données!A125</f>
        <v>5613</v>
      </c>
      <c r="B124" s="405" t="str">
        <f>Données!B125</f>
        <v>Bourg-en-Lavaux</v>
      </c>
      <c r="C124" s="403">
        <f>VPI!Q125</f>
        <v>62.5</v>
      </c>
      <c r="D124" s="408">
        <f>Données!Z125</f>
        <v>5367</v>
      </c>
      <c r="E124" s="179">
        <f>VPI!R125</f>
        <v>357200.5696533334</v>
      </c>
      <c r="F124" s="316">
        <f>'Péréquation directe'!K131</f>
        <v>4775101.9505983936</v>
      </c>
      <c r="G124" s="329">
        <f>PCS!I131</f>
        <v>7108396.0947026862</v>
      </c>
      <c r="H124" s="345">
        <f>'Facture policière'!L125</f>
        <v>437772.80801054416</v>
      </c>
      <c r="I124" s="457">
        <f t="shared" si="1"/>
        <v>12321270.853311624</v>
      </c>
      <c r="J124" s="181"/>
    </row>
    <row r="125" spans="1:10" s="87" customFormat="1" x14ac:dyDescent="0.25">
      <c r="A125" s="401">
        <f>Données!A126</f>
        <v>5621</v>
      </c>
      <c r="B125" s="405" t="str">
        <f>Données!B126</f>
        <v>Aclens</v>
      </c>
      <c r="C125" s="403">
        <f>VPI!Q126</f>
        <v>62</v>
      </c>
      <c r="D125" s="408">
        <f>Données!Z126</f>
        <v>517</v>
      </c>
      <c r="E125" s="179">
        <f>VPI!R126</f>
        <v>32245.149105571847</v>
      </c>
      <c r="F125" s="316">
        <f>'Péréquation directe'!K132</f>
        <v>518773.17814660864</v>
      </c>
      <c r="G125" s="329">
        <f>PCS!I132</f>
        <v>732740.40348455356</v>
      </c>
      <c r="H125" s="345">
        <f>'Facture policière'!L126</f>
        <v>85253.697296317492</v>
      </c>
      <c r="I125" s="457">
        <f t="shared" si="1"/>
        <v>1336767.2789274796</v>
      </c>
      <c r="J125" s="181"/>
    </row>
    <row r="126" spans="1:10" s="87" customFormat="1" x14ac:dyDescent="0.25">
      <c r="A126" s="401">
        <f>Données!A127</f>
        <v>5622</v>
      </c>
      <c r="B126" s="405" t="str">
        <f>Données!B127</f>
        <v>Bremblens</v>
      </c>
      <c r="C126" s="403">
        <f>VPI!Q127</f>
        <v>68</v>
      </c>
      <c r="D126" s="408">
        <f>Données!Z127</f>
        <v>607</v>
      </c>
      <c r="E126" s="179">
        <f>VPI!R127</f>
        <v>28642.58897058824</v>
      </c>
      <c r="F126" s="316">
        <f>'Péréquation directe'!K133</f>
        <v>455433.81051594991</v>
      </c>
      <c r="G126" s="329">
        <f>PCS!I133</f>
        <v>477498.93911202159</v>
      </c>
      <c r="H126" s="345">
        <f>'Facture policière'!L127</f>
        <v>87718.291190473275</v>
      </c>
      <c r="I126" s="457">
        <f t="shared" si="1"/>
        <v>1020651.0408184448</v>
      </c>
      <c r="J126" s="181"/>
    </row>
    <row r="127" spans="1:10" s="87" customFormat="1" x14ac:dyDescent="0.25">
      <c r="A127" s="401">
        <f>Données!A128</f>
        <v>5623</v>
      </c>
      <c r="B127" s="405" t="str">
        <f>Données!B128</f>
        <v>Buchillon</v>
      </c>
      <c r="C127" s="403">
        <f>VPI!Q128</f>
        <v>52</v>
      </c>
      <c r="D127" s="408">
        <f>Données!Z128</f>
        <v>669</v>
      </c>
      <c r="E127" s="179">
        <f>VPI!R128</f>
        <v>89223.972115384619</v>
      </c>
      <c r="F127" s="316">
        <f>'Péréquation directe'!K134</f>
        <v>1633750.2793296759</v>
      </c>
      <c r="G127" s="329">
        <f>PCS!I134</f>
        <v>2448214.161846458</v>
      </c>
      <c r="H127" s="345">
        <f>'Facture policière'!L128</f>
        <v>109349.85028919287</v>
      </c>
      <c r="I127" s="457">
        <f t="shared" si="1"/>
        <v>4191314.2914653271</v>
      </c>
      <c r="J127" s="181"/>
    </row>
    <row r="128" spans="1:10" s="87" customFormat="1" x14ac:dyDescent="0.25">
      <c r="A128" s="401">
        <f>Données!A129</f>
        <v>5624</v>
      </c>
      <c r="B128" s="405" t="str">
        <f>Données!B129</f>
        <v>Bussigny</v>
      </c>
      <c r="C128" s="403">
        <f>VPI!Q129</f>
        <v>62.5</v>
      </c>
      <c r="D128" s="408">
        <f>Données!Z129</f>
        <v>10253</v>
      </c>
      <c r="E128" s="179">
        <f>VPI!R129</f>
        <v>441652.56160000002</v>
      </c>
      <c r="F128" s="316">
        <f>'Péréquation directe'!K135</f>
        <v>886277.04685214348</v>
      </c>
      <c r="G128" s="329">
        <f>PCS!I135</f>
        <v>7921178.3024115283</v>
      </c>
      <c r="H128" s="345">
        <f>'Facture policière'!L129</f>
        <v>541274.28252514696</v>
      </c>
      <c r="I128" s="457">
        <f t="shared" si="1"/>
        <v>9348729.6317888182</v>
      </c>
      <c r="J128" s="181"/>
    </row>
    <row r="129" spans="1:10" s="87" customFormat="1" x14ac:dyDescent="0.25">
      <c r="A129" s="401">
        <f>Données!A130</f>
        <v>5627</v>
      </c>
      <c r="B129" s="405" t="str">
        <f>Données!B130</f>
        <v>Chavannes-près-Renens</v>
      </c>
      <c r="C129" s="403">
        <f>VPI!Q130</f>
        <v>77.5</v>
      </c>
      <c r="D129" s="408">
        <f>Données!Z130</f>
        <v>8767</v>
      </c>
      <c r="E129" s="179">
        <f>VPI!R130</f>
        <v>194013.68774193546</v>
      </c>
      <c r="F129" s="316">
        <f>'Péréquation directe'!K136</f>
        <v>-6976933.8400132637</v>
      </c>
      <c r="G129" s="329">
        <f>PCS!I136</f>
        <v>3528160.2145293937</v>
      </c>
      <c r="H129" s="345">
        <f>'Facture policière'!L130</f>
        <v>237776.54374318934</v>
      </c>
      <c r="I129" s="457">
        <f t="shared" si="1"/>
        <v>-3210997.0817406806</v>
      </c>
      <c r="J129" s="181"/>
    </row>
    <row r="130" spans="1:10" s="87" customFormat="1" x14ac:dyDescent="0.25">
      <c r="A130" s="401">
        <f>Données!A131</f>
        <v>5628</v>
      </c>
      <c r="B130" s="405" t="str">
        <f>Données!B131</f>
        <v>Chigny</v>
      </c>
      <c r="C130" s="403">
        <f>VPI!Q131</f>
        <v>62</v>
      </c>
      <c r="D130" s="408">
        <f>Données!Z131</f>
        <v>405</v>
      </c>
      <c r="E130" s="179">
        <f>VPI!R131</f>
        <v>25790.655967741935</v>
      </c>
      <c r="F130" s="316">
        <f>'Péréquation directe'!K137</f>
        <v>444939.71216542693</v>
      </c>
      <c r="G130" s="329">
        <f>PCS!I137</f>
        <v>449206.04525669641</v>
      </c>
      <c r="H130" s="345">
        <f>'Facture policière'!L131</f>
        <v>67435.484145785173</v>
      </c>
      <c r="I130" s="457">
        <f t="shared" si="1"/>
        <v>961581.24156790855</v>
      </c>
      <c r="J130" s="181"/>
    </row>
    <row r="131" spans="1:10" s="87" customFormat="1" x14ac:dyDescent="0.25">
      <c r="A131" s="401">
        <f>Données!A132</f>
        <v>5629</v>
      </c>
      <c r="B131" s="405" t="str">
        <f>Données!B132</f>
        <v>Clarmont</v>
      </c>
      <c r="C131" s="403">
        <f>VPI!Q132</f>
        <v>73.5</v>
      </c>
      <c r="D131" s="408">
        <f>Données!Z132</f>
        <v>211</v>
      </c>
      <c r="E131" s="179">
        <f>VPI!R132</f>
        <v>9947.9383673469401</v>
      </c>
      <c r="F131" s="316">
        <f>'Péréquation directe'!K138</f>
        <v>112123.61552994358</v>
      </c>
      <c r="G131" s="329">
        <f>PCS!I138</f>
        <v>139842.61656236945</v>
      </c>
      <c r="H131" s="345">
        <f>'Facture policière'!L132</f>
        <v>30857.453890057921</v>
      </c>
      <c r="I131" s="457">
        <f t="shared" si="1"/>
        <v>282823.68598237098</v>
      </c>
      <c r="J131" s="181"/>
    </row>
    <row r="132" spans="1:10" s="87" customFormat="1" x14ac:dyDescent="0.25">
      <c r="A132" s="401">
        <f>Données!A133</f>
        <v>5631</v>
      </c>
      <c r="B132" s="405" t="str">
        <f>Données!B133</f>
        <v>Denens</v>
      </c>
      <c r="C132" s="403">
        <f>VPI!Q133</f>
        <v>68</v>
      </c>
      <c r="D132" s="408">
        <f>Données!Z133</f>
        <v>733</v>
      </c>
      <c r="E132" s="179">
        <f>VPI!R133</f>
        <v>43289.846911764696</v>
      </c>
      <c r="F132" s="316">
        <f>'Péréquation directe'!K139</f>
        <v>739970.70541158086</v>
      </c>
      <c r="G132" s="329">
        <f>PCS!I139</f>
        <v>938646.11776328483</v>
      </c>
      <c r="H132" s="345">
        <f>'Facture policière'!L133</f>
        <v>117897.61487643156</v>
      </c>
      <c r="I132" s="457">
        <f t="shared" si="1"/>
        <v>1796514.4380512973</v>
      </c>
      <c r="J132" s="181"/>
    </row>
    <row r="133" spans="1:10" s="87" customFormat="1" x14ac:dyDescent="0.25">
      <c r="A133" s="401">
        <f>Données!A134</f>
        <v>5632</v>
      </c>
      <c r="B133" s="405" t="str">
        <f>Données!B134</f>
        <v>Denges</v>
      </c>
      <c r="C133" s="403">
        <f>VPI!Q134</f>
        <v>62</v>
      </c>
      <c r="D133" s="408">
        <f>Données!Z134</f>
        <v>1744</v>
      </c>
      <c r="E133" s="179">
        <f>VPI!R134</f>
        <v>80504.673548387087</v>
      </c>
      <c r="F133" s="316">
        <f>'Péréquation directe'!K140</f>
        <v>1001301.6704553398</v>
      </c>
      <c r="G133" s="329">
        <f>PCS!I140</f>
        <v>1260400.0443813691</v>
      </c>
      <c r="H133" s="345">
        <f>'Facture policière'!L134</f>
        <v>246062.88117780964</v>
      </c>
      <c r="I133" s="457">
        <f t="shared" si="1"/>
        <v>2507764.5960145188</v>
      </c>
      <c r="J133" s="181"/>
    </row>
    <row r="134" spans="1:10" s="87" customFormat="1" x14ac:dyDescent="0.25">
      <c r="A134" s="401">
        <f>Données!A135</f>
        <v>5633</v>
      </c>
      <c r="B134" s="405" t="str">
        <f>Données!B135</f>
        <v>Echandens</v>
      </c>
      <c r="C134" s="403">
        <f>VPI!Q135</f>
        <v>60.5</v>
      </c>
      <c r="D134" s="408">
        <f>Données!Z135</f>
        <v>2775</v>
      </c>
      <c r="E134" s="179">
        <f>VPI!R135</f>
        <v>168819.8966942149</v>
      </c>
      <c r="F134" s="316">
        <f>'Péréquation directe'!K141</f>
        <v>1880574.0187200122</v>
      </c>
      <c r="G134" s="329">
        <f>PCS!I141</f>
        <v>2957283.5175579456</v>
      </c>
      <c r="H134" s="345">
        <f>'Facture policière'!L135</f>
        <v>452383.50542600569</v>
      </c>
      <c r="I134" s="457">
        <f t="shared" ref="I134:I197" si="2">SUM(F134:H134)</f>
        <v>5290241.0417039627</v>
      </c>
      <c r="J134" s="181"/>
    </row>
    <row r="135" spans="1:10" s="87" customFormat="1" x14ac:dyDescent="0.25">
      <c r="A135" s="401">
        <f>Données!A136</f>
        <v>5634</v>
      </c>
      <c r="B135" s="405" t="str">
        <f>Données!B136</f>
        <v>Echichens</v>
      </c>
      <c r="C135" s="403">
        <f>VPI!Q136</f>
        <v>66</v>
      </c>
      <c r="D135" s="408">
        <f>Données!Z136</f>
        <v>3142</v>
      </c>
      <c r="E135" s="179">
        <f>VPI!R136</f>
        <v>152560.86727272728</v>
      </c>
      <c r="F135" s="316">
        <f>'Péréquation directe'!K142</f>
        <v>1890780.9447009976</v>
      </c>
      <c r="G135" s="329">
        <f>PCS!I142</f>
        <v>2504312.1249401723</v>
      </c>
      <c r="H135" s="345">
        <f>'Facture policière'!L136</f>
        <v>464922.75516652659</v>
      </c>
      <c r="I135" s="457">
        <f t="shared" si="2"/>
        <v>4860015.824807697</v>
      </c>
      <c r="J135" s="181"/>
    </row>
    <row r="136" spans="1:10" s="87" customFormat="1" x14ac:dyDescent="0.25">
      <c r="A136" s="401">
        <f>Données!A137</f>
        <v>5635</v>
      </c>
      <c r="B136" s="405" t="str">
        <f>Données!B137</f>
        <v>Ecublens</v>
      </c>
      <c r="C136" s="403">
        <f>VPI!Q137</f>
        <v>62.5</v>
      </c>
      <c r="D136" s="408">
        <f>Données!Z137</f>
        <v>13214</v>
      </c>
      <c r="E136" s="179">
        <f>VPI!R137</f>
        <v>655936.21421333333</v>
      </c>
      <c r="F136" s="316">
        <f>'Péréquation directe'!K143</f>
        <v>1838645.3169634733</v>
      </c>
      <c r="G136" s="329">
        <f>PCS!I143</f>
        <v>10724969.54943428</v>
      </c>
      <c r="H136" s="345">
        <f>'Facture policière'!L137</f>
        <v>803893.00232824264</v>
      </c>
      <c r="I136" s="457">
        <f t="shared" si="2"/>
        <v>13367507.868725996</v>
      </c>
      <c r="J136" s="181"/>
    </row>
    <row r="137" spans="1:10" s="87" customFormat="1" x14ac:dyDescent="0.25">
      <c r="A137" s="401">
        <f>Données!A138</f>
        <v>5636</v>
      </c>
      <c r="B137" s="405" t="str">
        <f>Données!B138</f>
        <v>Etoy</v>
      </c>
      <c r="C137" s="403">
        <f>VPI!Q138</f>
        <v>60</v>
      </c>
      <c r="D137" s="408">
        <f>Données!Z138</f>
        <v>2918</v>
      </c>
      <c r="E137" s="179">
        <f>VPI!R138</f>
        <v>186941.23816666668</v>
      </c>
      <c r="F137" s="316">
        <f>'Péréquation directe'!K144</f>
        <v>2781933.9052754967</v>
      </c>
      <c r="G137" s="329">
        <f>PCS!I144</f>
        <v>4162841.4514440475</v>
      </c>
      <c r="H137" s="345">
        <f>'Facture policière'!L138</f>
        <v>487242.54852446332</v>
      </c>
      <c r="I137" s="457">
        <f t="shared" si="2"/>
        <v>7432017.9052440077</v>
      </c>
      <c r="J137" s="181"/>
    </row>
    <row r="138" spans="1:10" s="87" customFormat="1" x14ac:dyDescent="0.25">
      <c r="A138" s="401">
        <f>Données!A139</f>
        <v>5637</v>
      </c>
      <c r="B138" s="405" t="str">
        <f>Données!B139</f>
        <v>Lavigny</v>
      </c>
      <c r="C138" s="403">
        <f>VPI!Q139</f>
        <v>73</v>
      </c>
      <c r="D138" s="408">
        <f>Données!Z139</f>
        <v>1026</v>
      </c>
      <c r="E138" s="179">
        <f>VPI!R139</f>
        <v>37899.400821917814</v>
      </c>
      <c r="F138" s="316">
        <f>'Péréquation directe'!K145</f>
        <v>237478.75632515497</v>
      </c>
      <c r="G138" s="329">
        <f>PCS!I145</f>
        <v>724933.89778061898</v>
      </c>
      <c r="H138" s="345">
        <f>'Facture policière'!L139</f>
        <v>116633.46794357851</v>
      </c>
      <c r="I138" s="457">
        <f t="shared" si="2"/>
        <v>1079046.1220493524</v>
      </c>
      <c r="J138" s="181"/>
    </row>
    <row r="139" spans="1:10" s="87" customFormat="1" x14ac:dyDescent="0.25">
      <c r="A139" s="401">
        <f>Données!A140</f>
        <v>5638</v>
      </c>
      <c r="B139" s="405" t="str">
        <f>Données!B140</f>
        <v>Lonay</v>
      </c>
      <c r="C139" s="403">
        <f>VPI!Q140</f>
        <v>55</v>
      </c>
      <c r="D139" s="408">
        <f>Données!Z140</f>
        <v>2751</v>
      </c>
      <c r="E139" s="179">
        <f>VPI!R140</f>
        <v>174116.12454545454</v>
      </c>
      <c r="F139" s="316">
        <f>'Péréquation directe'!K146</f>
        <v>2225879.4458114272</v>
      </c>
      <c r="G139" s="329">
        <f>PCS!I146</f>
        <v>4987697.700979257</v>
      </c>
      <c r="H139" s="345">
        <f>'Facture policière'!L140</f>
        <v>456751.27974122413</v>
      </c>
      <c r="I139" s="457">
        <f t="shared" si="2"/>
        <v>7670328.4265319081</v>
      </c>
      <c r="J139" s="181"/>
    </row>
    <row r="140" spans="1:10" s="87" customFormat="1" x14ac:dyDescent="0.25">
      <c r="A140" s="401">
        <f>Données!A141</f>
        <v>5639</v>
      </c>
      <c r="B140" s="405" t="str">
        <f>Données!B141</f>
        <v>Lully</v>
      </c>
      <c r="C140" s="403">
        <f>VPI!Q141</f>
        <v>61</v>
      </c>
      <c r="D140" s="408">
        <f>Données!Z141</f>
        <v>828</v>
      </c>
      <c r="E140" s="179">
        <f>VPI!R141</f>
        <v>53706.334426229514</v>
      </c>
      <c r="F140" s="316">
        <f>'Péréquation directe'!K147</f>
        <v>928523.3566363228</v>
      </c>
      <c r="G140" s="329">
        <f>PCS!I147</f>
        <v>986625.34544502525</v>
      </c>
      <c r="H140" s="345">
        <f>'Facture policière'!L141</f>
        <v>139067.64934083301</v>
      </c>
      <c r="I140" s="457">
        <f t="shared" si="2"/>
        <v>2054216.3514221811</v>
      </c>
      <c r="J140" s="181"/>
    </row>
    <row r="141" spans="1:10" s="87" customFormat="1" x14ac:dyDescent="0.25">
      <c r="A141" s="401">
        <f>Données!A142</f>
        <v>5640</v>
      </c>
      <c r="B141" s="405" t="str">
        <f>Données!B142</f>
        <v>Lussy-sur-Morges</v>
      </c>
      <c r="C141" s="403">
        <f>VPI!Q142</f>
        <v>64.5</v>
      </c>
      <c r="D141" s="408">
        <f>Données!Z142</f>
        <v>740</v>
      </c>
      <c r="E141" s="179">
        <f>VPI!R142</f>
        <v>70525.081395348854</v>
      </c>
      <c r="F141" s="316">
        <f>'Péréquation directe'!K148</f>
        <v>1264110.7364945125</v>
      </c>
      <c r="G141" s="329">
        <f>PCS!I148</f>
        <v>2014595.6412449903</v>
      </c>
      <c r="H141" s="345">
        <f>'Facture policière'!L142</f>
        <v>86433.129005302355</v>
      </c>
      <c r="I141" s="457">
        <f t="shared" si="2"/>
        <v>3365139.5067448053</v>
      </c>
      <c r="J141" s="181"/>
    </row>
    <row r="142" spans="1:10" s="87" customFormat="1" x14ac:dyDescent="0.25">
      <c r="A142" s="401">
        <f>Données!A143</f>
        <v>5642</v>
      </c>
      <c r="B142" s="405" t="str">
        <f>Données!B143</f>
        <v>Morges</v>
      </c>
      <c r="C142" s="403">
        <f>VPI!Q143</f>
        <v>67</v>
      </c>
      <c r="D142" s="408">
        <f>Données!Z143</f>
        <v>16885</v>
      </c>
      <c r="E142" s="179">
        <f>VPI!R143</f>
        <v>838094.10597014928</v>
      </c>
      <c r="F142" s="316">
        <f>'Péréquation directe'!K149</f>
        <v>3090556.4287314378</v>
      </c>
      <c r="G142" s="329">
        <f>PCS!I149</f>
        <v>14154026.523068612</v>
      </c>
      <c r="H142" s="345">
        <f>'Facture policière'!L143</f>
        <v>1027139.4877777316</v>
      </c>
      <c r="I142" s="457">
        <f t="shared" si="2"/>
        <v>18271722.439577781</v>
      </c>
      <c r="J142" s="181"/>
    </row>
    <row r="143" spans="1:10" s="87" customFormat="1" x14ac:dyDescent="0.25">
      <c r="A143" s="401">
        <f>Données!A144</f>
        <v>5643</v>
      </c>
      <c r="B143" s="405" t="str">
        <f>Données!B144</f>
        <v>Préverenges</v>
      </c>
      <c r="C143" s="403">
        <f>VPI!Q144</f>
        <v>62.5</v>
      </c>
      <c r="D143" s="408">
        <f>Données!Z144</f>
        <v>5208</v>
      </c>
      <c r="E143" s="179">
        <f>VPI!R144</f>
        <v>257720.44144</v>
      </c>
      <c r="F143" s="316">
        <f>'Péréquation directe'!K150</f>
        <v>2955786.6836082847</v>
      </c>
      <c r="G143" s="329">
        <f>PCS!I150</f>
        <v>3874397.0156307993</v>
      </c>
      <c r="H143" s="345">
        <f>'Facture policière'!L144</f>
        <v>315853.36339301366</v>
      </c>
      <c r="I143" s="457">
        <f t="shared" si="2"/>
        <v>7146037.0626320979</v>
      </c>
      <c r="J143" s="181"/>
    </row>
    <row r="144" spans="1:10" s="87" customFormat="1" x14ac:dyDescent="0.25">
      <c r="A144" s="401">
        <f>Données!A145</f>
        <v>5645</v>
      </c>
      <c r="B144" s="405" t="str">
        <f>Données!B145</f>
        <v>Romanel-sur-Morges</v>
      </c>
      <c r="C144" s="403">
        <f>VPI!Q145</f>
        <v>56</v>
      </c>
      <c r="D144" s="408">
        <f>Données!Z145</f>
        <v>466</v>
      </c>
      <c r="E144" s="179">
        <f>VPI!R145</f>
        <v>26576.594107142857</v>
      </c>
      <c r="F144" s="316">
        <f>'Péréquation directe'!K151</f>
        <v>451929.43722952169</v>
      </c>
      <c r="G144" s="329">
        <f>PCS!I151</f>
        <v>498303.71248439729</v>
      </c>
      <c r="H144" s="345">
        <f>'Facture policière'!L145</f>
        <v>73794.919373117475</v>
      </c>
      <c r="I144" s="457">
        <f t="shared" si="2"/>
        <v>1024028.0690870365</v>
      </c>
      <c r="J144" s="181"/>
    </row>
    <row r="145" spans="1:10" s="87" customFormat="1" x14ac:dyDescent="0.25">
      <c r="A145" s="401">
        <f>Données!A146</f>
        <v>5646</v>
      </c>
      <c r="B145" s="405" t="str">
        <f>Données!B146</f>
        <v>Saint-Prex</v>
      </c>
      <c r="C145" s="403">
        <f>VPI!Q146</f>
        <v>59</v>
      </c>
      <c r="D145" s="408">
        <f>Données!Z146</f>
        <v>5866</v>
      </c>
      <c r="E145" s="179">
        <f>VPI!R146</f>
        <v>527362.62542372884</v>
      </c>
      <c r="F145" s="316">
        <f>'Péréquation directe'!K152</f>
        <v>7746462.1106970999</v>
      </c>
      <c r="G145" s="329">
        <f>PCS!I152</f>
        <v>13263641.734046079</v>
      </c>
      <c r="H145" s="345">
        <f>'Facture policière'!L146</f>
        <v>646317.60692771373</v>
      </c>
      <c r="I145" s="457">
        <f t="shared" si="2"/>
        <v>21656421.451670893</v>
      </c>
      <c r="J145" s="181"/>
    </row>
    <row r="146" spans="1:10" s="87" customFormat="1" x14ac:dyDescent="0.25">
      <c r="A146" s="401">
        <f>Données!A147</f>
        <v>5648</v>
      </c>
      <c r="B146" s="405" t="str">
        <f>Données!B147</f>
        <v>Saint-Sulpice</v>
      </c>
      <c r="C146" s="403">
        <f>VPI!Q147</f>
        <v>55</v>
      </c>
      <c r="D146" s="408">
        <f>Données!Z147</f>
        <v>4932</v>
      </c>
      <c r="E146" s="179">
        <f>VPI!R147</f>
        <v>394357.66704545449</v>
      </c>
      <c r="F146" s="316">
        <f>'Péréquation directe'!K153</f>
        <v>5753803.1808618996</v>
      </c>
      <c r="G146" s="329">
        <f>PCS!I153</f>
        <v>9074983.263803767</v>
      </c>
      <c r="H146" s="345">
        <f>'Facture policière'!L147</f>
        <v>483311.27643643942</v>
      </c>
      <c r="I146" s="457">
        <f t="shared" si="2"/>
        <v>15312097.721102105</v>
      </c>
      <c r="J146" s="181"/>
    </row>
    <row r="147" spans="1:10" s="87" customFormat="1" x14ac:dyDescent="0.25">
      <c r="A147" s="401">
        <f>Données!A148</f>
        <v>5649</v>
      </c>
      <c r="B147" s="405" t="str">
        <f>Données!B148</f>
        <v>Tolochenaz</v>
      </c>
      <c r="C147" s="403">
        <f>VPI!Q148</f>
        <v>64</v>
      </c>
      <c r="D147" s="408">
        <f>Données!Z148</f>
        <v>1886</v>
      </c>
      <c r="E147" s="179">
        <f>VPI!R148</f>
        <v>155562.29718749996</v>
      </c>
      <c r="F147" s="316">
        <f>'Péréquation directe'!K154</f>
        <v>2348254.4259970468</v>
      </c>
      <c r="G147" s="329">
        <f>PCS!I154</f>
        <v>3583426.1140697729</v>
      </c>
      <c r="H147" s="345">
        <f>'Facture policière'!L148</f>
        <v>190651.83386027423</v>
      </c>
      <c r="I147" s="457">
        <f t="shared" si="2"/>
        <v>6122332.373927094</v>
      </c>
      <c r="J147" s="181"/>
    </row>
    <row r="148" spans="1:10" s="87" customFormat="1" x14ac:dyDescent="0.25">
      <c r="A148" s="401">
        <f>Données!A149</f>
        <v>5650</v>
      </c>
      <c r="B148" s="405" t="str">
        <f>Données!B149</f>
        <v>Vaux-sur-Morges</v>
      </c>
      <c r="C148" s="403">
        <f>VPI!Q149</f>
        <v>56</v>
      </c>
      <c r="D148" s="408">
        <f>Données!Z149</f>
        <v>196</v>
      </c>
      <c r="E148" s="179">
        <f>VPI!R149</f>
        <v>83125.210178571419</v>
      </c>
      <c r="F148" s="316">
        <f>'Péréquation directe'!K155</f>
        <v>651909.58071471145</v>
      </c>
      <c r="G148" s="329">
        <f>PCS!I155</f>
        <v>3970032.8678567163</v>
      </c>
      <c r="H148" s="345">
        <f>'Facture policière'!L149</f>
        <v>119214.07837273617</v>
      </c>
      <c r="I148" s="457">
        <f t="shared" si="2"/>
        <v>4741156.5269441642</v>
      </c>
      <c r="J148" s="181"/>
    </row>
    <row r="149" spans="1:10" s="87" customFormat="1" x14ac:dyDescent="0.25">
      <c r="A149" s="401">
        <f>Données!A150</f>
        <v>5651</v>
      </c>
      <c r="B149" s="405" t="str">
        <f>Données!B150</f>
        <v>Villars-Sainte-Croix</v>
      </c>
      <c r="C149" s="403">
        <f>VPI!Q150</f>
        <v>60.5</v>
      </c>
      <c r="D149" s="408">
        <f>Données!Z150</f>
        <v>958</v>
      </c>
      <c r="E149" s="179">
        <f>VPI!R150</f>
        <v>57448.170743801653</v>
      </c>
      <c r="F149" s="316">
        <f>'Péréquation directe'!K156</f>
        <v>983885.66116076952</v>
      </c>
      <c r="G149" s="329">
        <f>PCS!I156</f>
        <v>1028821.0484503955</v>
      </c>
      <c r="H149" s="345">
        <f>'Facture policière'!L150</f>
        <v>70406.51431768664</v>
      </c>
      <c r="I149" s="457">
        <f t="shared" si="2"/>
        <v>2083113.2239288515</v>
      </c>
      <c r="J149" s="181"/>
    </row>
    <row r="150" spans="1:10" s="87" customFormat="1" x14ac:dyDescent="0.25">
      <c r="A150" s="401">
        <f>Données!A151</f>
        <v>5652</v>
      </c>
      <c r="B150" s="405" t="str">
        <f>Données!B151</f>
        <v>Villars-sous-Yens</v>
      </c>
      <c r="C150" s="403">
        <f>VPI!Q151</f>
        <v>76</v>
      </c>
      <c r="D150" s="408">
        <f>Données!Z151</f>
        <v>626</v>
      </c>
      <c r="E150" s="179">
        <f>VPI!R151</f>
        <v>25907.601491228066</v>
      </c>
      <c r="F150" s="316">
        <f>'Péréquation directe'!K157</f>
        <v>297961.78425226011</v>
      </c>
      <c r="G150" s="329">
        <f>PCS!I157</f>
        <v>359426.93793919554</v>
      </c>
      <c r="H150" s="345">
        <f>'Facture policière'!L151</f>
        <v>80472.720264003059</v>
      </c>
      <c r="I150" s="457">
        <f t="shared" si="2"/>
        <v>737861.44245545869</v>
      </c>
      <c r="J150" s="181"/>
    </row>
    <row r="151" spans="1:10" s="87" customFormat="1" x14ac:dyDescent="0.25">
      <c r="A151" s="401">
        <f>Données!A152</f>
        <v>5653</v>
      </c>
      <c r="B151" s="405" t="str">
        <f>Données!B152</f>
        <v>Vufflens-le-Château</v>
      </c>
      <c r="C151" s="403">
        <f>VPI!Q152</f>
        <v>58.5</v>
      </c>
      <c r="D151" s="408">
        <f>Données!Z152</f>
        <v>894</v>
      </c>
      <c r="E151" s="179">
        <f>VPI!R152</f>
        <v>67686.262735042736</v>
      </c>
      <c r="F151" s="316">
        <f>'Péréquation directe'!K158</f>
        <v>1189514.0271319186</v>
      </c>
      <c r="G151" s="329">
        <f>PCS!I158</f>
        <v>1431669.0912891356</v>
      </c>
      <c r="H151" s="345">
        <f>'Facture policière'!L152</f>
        <v>162039.5007229982</v>
      </c>
      <c r="I151" s="457">
        <f t="shared" si="2"/>
        <v>2783222.6191440527</v>
      </c>
      <c r="J151" s="181"/>
    </row>
    <row r="152" spans="1:10" s="87" customFormat="1" x14ac:dyDescent="0.25">
      <c r="A152" s="401">
        <f>Données!A153</f>
        <v>5654</v>
      </c>
      <c r="B152" s="405" t="str">
        <f>Données!B153</f>
        <v>Vullierens</v>
      </c>
      <c r="C152" s="403">
        <f>VPI!Q153</f>
        <v>76</v>
      </c>
      <c r="D152" s="408">
        <f>Données!Z153</f>
        <v>560</v>
      </c>
      <c r="E152" s="179">
        <f>VPI!R153</f>
        <v>20663.918947368424</v>
      </c>
      <c r="F152" s="316">
        <f>'Péréquation directe'!K159</f>
        <v>81248.851416697958</v>
      </c>
      <c r="G152" s="329">
        <f>PCS!I159</f>
        <v>348850.69620263245</v>
      </c>
      <c r="H152" s="345">
        <f>'Facture policière'!L153</f>
        <v>63654.018761548839</v>
      </c>
      <c r="I152" s="457">
        <f t="shared" si="2"/>
        <v>493753.56638087926</v>
      </c>
      <c r="J152" s="181"/>
    </row>
    <row r="153" spans="1:10" s="87" customFormat="1" x14ac:dyDescent="0.25">
      <c r="A153" s="401">
        <f>Données!A154</f>
        <v>5655</v>
      </c>
      <c r="B153" s="405" t="str">
        <f>Données!B154</f>
        <v>Yens</v>
      </c>
      <c r="C153" s="403">
        <f>VPI!Q154</f>
        <v>71.5</v>
      </c>
      <c r="D153" s="408">
        <f>Données!Z154</f>
        <v>1499</v>
      </c>
      <c r="E153" s="179">
        <f>VPI!R154</f>
        <v>73733.325734265731</v>
      </c>
      <c r="F153" s="316">
        <f>'Péréquation directe'!K160</f>
        <v>1112140.7347744782</v>
      </c>
      <c r="G153" s="329">
        <f>PCS!I160</f>
        <v>1041726.3864193198</v>
      </c>
      <c r="H153" s="345">
        <f>'Facture policière'!L154</f>
        <v>222970.42470975526</v>
      </c>
      <c r="I153" s="457">
        <f t="shared" si="2"/>
        <v>2376837.5459035537</v>
      </c>
      <c r="J153" s="181"/>
    </row>
    <row r="154" spans="1:10" s="87" customFormat="1" x14ac:dyDescent="0.25">
      <c r="A154" s="401">
        <f>Données!A155</f>
        <v>5656</v>
      </c>
      <c r="B154" s="405" t="str">
        <f>Données!B155</f>
        <v>Hautemorges</v>
      </c>
      <c r="C154" s="403">
        <f>VPI!Q155</f>
        <v>73.459999999999994</v>
      </c>
      <c r="D154" s="408">
        <f>Données!Z155</f>
        <v>4173</v>
      </c>
      <c r="E154" s="179">
        <f>VPI!R155</f>
        <v>172159.8076957982</v>
      </c>
      <c r="F154" s="316">
        <f>'Péréquation directe'!K161</f>
        <v>-712272.21560119698</v>
      </c>
      <c r="G154" s="329">
        <f>PCS!I161</f>
        <v>2978265.892174413</v>
      </c>
      <c r="H154" s="345">
        <f>'Facture policière'!L155</f>
        <v>531697.21268717013</v>
      </c>
      <c r="I154" s="457">
        <f t="shared" si="2"/>
        <v>2797690.8892603861</v>
      </c>
      <c r="J154" s="181"/>
    </row>
    <row r="155" spans="1:10" s="87" customFormat="1" x14ac:dyDescent="0.25">
      <c r="A155" s="401">
        <f>Données!A156</f>
        <v>5661</v>
      </c>
      <c r="B155" s="405" t="str">
        <f>Données!B156</f>
        <v>Boulens</v>
      </c>
      <c r="C155" s="403">
        <f>VPI!Q156</f>
        <v>71.5</v>
      </c>
      <c r="D155" s="408">
        <f>Données!Z156</f>
        <v>371</v>
      </c>
      <c r="E155" s="179">
        <f>VPI!R156</f>
        <v>11226.317902097902</v>
      </c>
      <c r="F155" s="316">
        <f>'Péréquation directe'!K162</f>
        <v>17288.928001929919</v>
      </c>
      <c r="G155" s="329">
        <f>PCS!I162</f>
        <v>172236.23042588582</v>
      </c>
      <c r="H155" s="345">
        <f>'Facture policière'!L156</f>
        <v>34498.786717299881</v>
      </c>
      <c r="I155" s="457">
        <f t="shared" si="2"/>
        <v>224023.94514511561</v>
      </c>
      <c r="J155" s="181"/>
    </row>
    <row r="156" spans="1:10" s="87" customFormat="1" x14ac:dyDescent="0.25">
      <c r="A156" s="401">
        <f>Données!A157</f>
        <v>5663</v>
      </c>
      <c r="B156" s="405" t="str">
        <f>Données!B157</f>
        <v>Bussy-sur-Moudon</v>
      </c>
      <c r="C156" s="403">
        <f>VPI!Q157</f>
        <v>78.5</v>
      </c>
      <c r="D156" s="408">
        <f>Données!Z157</f>
        <v>236</v>
      </c>
      <c r="E156" s="179">
        <f>VPI!R157</f>
        <v>5263.613630573248</v>
      </c>
      <c r="F156" s="316">
        <f>'Péréquation directe'!K163</f>
        <v>-88815.020484678578</v>
      </c>
      <c r="G156" s="329">
        <f>PCS!I163</f>
        <v>79443.016972359561</v>
      </c>
      <c r="H156" s="345">
        <f>'Facture policière'!L157</f>
        <v>16104.851946344575</v>
      </c>
      <c r="I156" s="457">
        <f t="shared" si="2"/>
        <v>6732.8484340255582</v>
      </c>
      <c r="J156" s="181"/>
    </row>
    <row r="157" spans="1:10" s="87" customFormat="1" x14ac:dyDescent="0.25">
      <c r="A157" s="401">
        <f>Données!A158</f>
        <v>5665</v>
      </c>
      <c r="B157" s="405" t="str">
        <f>Données!B158</f>
        <v>Chavannes-sur-Moudon</v>
      </c>
      <c r="C157" s="403">
        <f>VPI!Q158</f>
        <v>70</v>
      </c>
      <c r="D157" s="408">
        <f>Données!Z158</f>
        <v>222</v>
      </c>
      <c r="E157" s="179">
        <f>VPI!R158</f>
        <v>4920.7560000000012</v>
      </c>
      <c r="F157" s="316">
        <f>'Péréquation directe'!K164</f>
        <v>-48323.505347474696</v>
      </c>
      <c r="G157" s="329">
        <f>PCS!I164</f>
        <v>67816.36072919851</v>
      </c>
      <c r="H157" s="345">
        <f>'Facture policière'!L158</f>
        <v>15054.796633531983</v>
      </c>
      <c r="I157" s="457">
        <f t="shared" si="2"/>
        <v>34547.652015255793</v>
      </c>
      <c r="J157" s="181"/>
    </row>
    <row r="158" spans="1:10" s="87" customFormat="1" x14ac:dyDescent="0.25">
      <c r="A158" s="401">
        <f>Données!A159</f>
        <v>5669</v>
      </c>
      <c r="B158" s="405" t="str">
        <f>Données!B159</f>
        <v>Curtilles</v>
      </c>
      <c r="C158" s="403">
        <f>VPI!Q159</f>
        <v>73</v>
      </c>
      <c r="D158" s="408">
        <f>Données!Z159</f>
        <v>296</v>
      </c>
      <c r="E158" s="179">
        <f>VPI!R159</f>
        <v>9337.6116438356166</v>
      </c>
      <c r="F158" s="316">
        <f>'Péréquation directe'!K165</f>
        <v>38498.371716520516</v>
      </c>
      <c r="G158" s="329">
        <f>PCS!I165</f>
        <v>163376.99428772228</v>
      </c>
      <c r="H158" s="345">
        <f>'Facture policière'!L159</f>
        <v>28825.812438423738</v>
      </c>
      <c r="I158" s="457">
        <f t="shared" si="2"/>
        <v>230701.17844266654</v>
      </c>
      <c r="J158" s="181"/>
    </row>
    <row r="159" spans="1:10" s="87" customFormat="1" x14ac:dyDescent="0.25">
      <c r="A159" s="401">
        <f>Données!A160</f>
        <v>5671</v>
      </c>
      <c r="B159" s="405" t="str">
        <f>Données!B160</f>
        <v>Dompierre</v>
      </c>
      <c r="C159" s="403">
        <f>VPI!Q160</f>
        <v>78</v>
      </c>
      <c r="D159" s="408">
        <f>Données!Z160</f>
        <v>246</v>
      </c>
      <c r="E159" s="179">
        <f>VPI!R160</f>
        <v>6463.499743589743</v>
      </c>
      <c r="F159" s="316">
        <f>'Péréquation directe'!K166</f>
        <v>-36632.500977764517</v>
      </c>
      <c r="G159" s="329">
        <f>PCS!I166</f>
        <v>135458.80365421117</v>
      </c>
      <c r="H159" s="345">
        <f>'Facture policière'!L160</f>
        <v>19901.229729098974</v>
      </c>
      <c r="I159" s="457">
        <f t="shared" si="2"/>
        <v>118727.53240554561</v>
      </c>
      <c r="J159" s="181"/>
    </row>
    <row r="160" spans="1:10" s="87" customFormat="1" x14ac:dyDescent="0.25">
      <c r="A160" s="401">
        <f>Données!A161</f>
        <v>5673</v>
      </c>
      <c r="B160" s="405" t="str">
        <f>Données!B161</f>
        <v>Hermenches</v>
      </c>
      <c r="C160" s="403">
        <f>VPI!Q161</f>
        <v>73.5</v>
      </c>
      <c r="D160" s="408">
        <f>Données!Z161</f>
        <v>371</v>
      </c>
      <c r="E160" s="179">
        <f>VPI!R161</f>
        <v>10227.21768707483</v>
      </c>
      <c r="F160" s="316">
        <f>'Péréquation directe'!K167</f>
        <v>-232251.44683049878</v>
      </c>
      <c r="G160" s="329">
        <f>PCS!I167</f>
        <v>135116.8192156204</v>
      </c>
      <c r="H160" s="345">
        <f>'Facture policière'!L161</f>
        <v>31618.325680081289</v>
      </c>
      <c r="I160" s="457">
        <f t="shared" si="2"/>
        <v>-65516.301934797091</v>
      </c>
      <c r="J160" s="181"/>
    </row>
    <row r="161" spans="1:10" s="87" customFormat="1" x14ac:dyDescent="0.25">
      <c r="A161" s="401">
        <f>Données!A162</f>
        <v>5674</v>
      </c>
      <c r="B161" s="405" t="str">
        <f>Données!B162</f>
        <v>Lovatens</v>
      </c>
      <c r="C161" s="403">
        <f>VPI!Q162</f>
        <v>75</v>
      </c>
      <c r="D161" s="408">
        <f>Données!Z162</f>
        <v>146</v>
      </c>
      <c r="E161" s="179">
        <f>VPI!R162</f>
        <v>4222.7066666666669</v>
      </c>
      <c r="F161" s="316">
        <f>'Péréquation directe'!K168</f>
        <v>-25505.730189656024</v>
      </c>
      <c r="G161" s="329">
        <f>PCS!I168</f>
        <v>72616.645481532658</v>
      </c>
      <c r="H161" s="345">
        <f>'Facture policière'!L162</f>
        <v>12936.015612911804</v>
      </c>
      <c r="I161" s="457">
        <f t="shared" si="2"/>
        <v>60046.930904788438</v>
      </c>
      <c r="J161" s="181"/>
    </row>
    <row r="162" spans="1:10" s="87" customFormat="1" x14ac:dyDescent="0.25">
      <c r="A162" s="401">
        <f>Données!A163</f>
        <v>5675</v>
      </c>
      <c r="B162" s="405" t="str">
        <f>Données!B163</f>
        <v>Lucens</v>
      </c>
      <c r="C162" s="403">
        <f>VPI!Q163</f>
        <v>67.5</v>
      </c>
      <c r="D162" s="408">
        <f>Données!Z163</f>
        <v>4373</v>
      </c>
      <c r="E162" s="179">
        <f>VPI!R163</f>
        <v>105149.82705723906</v>
      </c>
      <c r="F162" s="316">
        <f>'Péréquation directe'!K169</f>
        <v>-1962125.6666088894</v>
      </c>
      <c r="G162" s="329">
        <f>PCS!I169</f>
        <v>1862302.8675629757</v>
      </c>
      <c r="H162" s="345">
        <f>'Facture policière'!L163</f>
        <v>317398.23045453045</v>
      </c>
      <c r="I162" s="457">
        <f t="shared" si="2"/>
        <v>217575.43140861683</v>
      </c>
      <c r="J162" s="181"/>
    </row>
    <row r="163" spans="1:10" s="87" customFormat="1" x14ac:dyDescent="0.25">
      <c r="A163" s="401">
        <f>Données!A164</f>
        <v>5678</v>
      </c>
      <c r="B163" s="405" t="str">
        <f>Données!B164</f>
        <v>Moudon</v>
      </c>
      <c r="C163" s="403">
        <f>VPI!Q164</f>
        <v>72.5</v>
      </c>
      <c r="D163" s="408">
        <f>Données!Z164</f>
        <v>6120</v>
      </c>
      <c r="E163" s="179">
        <f>VPI!R164</f>
        <v>124814.5703448276</v>
      </c>
      <c r="F163" s="316">
        <f>'Péréquation directe'!K170</f>
        <v>-4853922.8503409848</v>
      </c>
      <c r="G163" s="329">
        <f>PCS!I170</f>
        <v>2520124.7096513296</v>
      </c>
      <c r="H163" s="345">
        <f>'Facture policière'!L164</f>
        <v>376356.86813019629</v>
      </c>
      <c r="I163" s="457">
        <f t="shared" si="2"/>
        <v>-1957441.2725594589</v>
      </c>
      <c r="J163" s="181"/>
    </row>
    <row r="164" spans="1:10" s="87" customFormat="1" x14ac:dyDescent="0.25">
      <c r="A164" s="401">
        <f>Données!A165</f>
        <v>5680</v>
      </c>
      <c r="B164" s="405" t="str">
        <f>Données!B165</f>
        <v>Ogens</v>
      </c>
      <c r="C164" s="403">
        <f>VPI!Q165</f>
        <v>78</v>
      </c>
      <c r="D164" s="408">
        <f>Données!Z165</f>
        <v>321</v>
      </c>
      <c r="E164" s="179">
        <f>VPI!R165</f>
        <v>8501.7127777777787</v>
      </c>
      <c r="F164" s="316">
        <f>'Péréquation directe'!K171</f>
        <v>-63249.693666977575</v>
      </c>
      <c r="G164" s="329">
        <f>PCS!I171</f>
        <v>133037.78652910076</v>
      </c>
      <c r="H164" s="345">
        <f>'Facture policière'!L165</f>
        <v>26098.64523378895</v>
      </c>
      <c r="I164" s="457">
        <f t="shared" si="2"/>
        <v>95886.738095912136</v>
      </c>
      <c r="J164" s="181"/>
    </row>
    <row r="165" spans="1:10" s="87" customFormat="1" x14ac:dyDescent="0.25">
      <c r="A165" s="401">
        <f>Données!A166</f>
        <v>5683</v>
      </c>
      <c r="B165" s="405" t="str">
        <f>Données!B166</f>
        <v>Prévonloup</v>
      </c>
      <c r="C165" s="403">
        <f>VPI!Q166</f>
        <v>72.5</v>
      </c>
      <c r="D165" s="408">
        <f>Données!Z166</f>
        <v>215</v>
      </c>
      <c r="E165" s="179">
        <f>VPI!R166</f>
        <v>5386.3598620689654</v>
      </c>
      <c r="F165" s="316">
        <f>'Péréquation directe'!K172</f>
        <v>-27195.88289005938</v>
      </c>
      <c r="G165" s="329">
        <f>PCS!I172</f>
        <v>89833.371483877112</v>
      </c>
      <c r="H165" s="345">
        <f>'Facture policière'!L166</f>
        <v>16509.91342202407</v>
      </c>
      <c r="I165" s="457">
        <f t="shared" si="2"/>
        <v>79147.402015841799</v>
      </c>
      <c r="J165" s="181"/>
    </row>
    <row r="166" spans="1:10" s="87" customFormat="1" x14ac:dyDescent="0.25">
      <c r="A166" s="401">
        <f>Données!A167</f>
        <v>5684</v>
      </c>
      <c r="B166" s="405" t="str">
        <f>Données!B167</f>
        <v>Rossenges</v>
      </c>
      <c r="C166" s="403">
        <f>VPI!Q167</f>
        <v>75</v>
      </c>
      <c r="D166" s="408">
        <f>Données!Z167</f>
        <v>93</v>
      </c>
      <c r="E166" s="179">
        <f>VPI!R167</f>
        <v>3253.4312666666665</v>
      </c>
      <c r="F166" s="316">
        <f>'Péréquation directe'!K173</f>
        <v>23657.955354891325</v>
      </c>
      <c r="G166" s="329">
        <f>PCS!I173</f>
        <v>41308.037806500972</v>
      </c>
      <c r="H166" s="345">
        <f>'Facture policière'!L167</f>
        <v>10278.760015330063</v>
      </c>
      <c r="I166" s="457">
        <f t="shared" si="2"/>
        <v>75244.753176722355</v>
      </c>
      <c r="J166" s="181"/>
    </row>
    <row r="167" spans="1:10" s="87" customFormat="1" x14ac:dyDescent="0.25">
      <c r="A167" s="401">
        <f>Données!A168</f>
        <v>5688</v>
      </c>
      <c r="B167" s="405" t="str">
        <f>Données!B168</f>
        <v>Syens</v>
      </c>
      <c r="C167" s="403">
        <f>VPI!Q168</f>
        <v>65</v>
      </c>
      <c r="D167" s="408">
        <f>Données!Z168</f>
        <v>161</v>
      </c>
      <c r="E167" s="179">
        <f>VPI!R168</f>
        <v>6192.4015384615377</v>
      </c>
      <c r="F167" s="316">
        <f>'Péréquation directe'!K174</f>
        <v>48610.444715779042</v>
      </c>
      <c r="G167" s="329">
        <f>PCS!I174</f>
        <v>91613.539654184598</v>
      </c>
      <c r="H167" s="345">
        <f>'Facture policière'!L168</f>
        <v>19210.614112743726</v>
      </c>
      <c r="I167" s="457">
        <f t="shared" si="2"/>
        <v>159434.59848270737</v>
      </c>
      <c r="J167" s="181"/>
    </row>
    <row r="168" spans="1:10" s="87" customFormat="1" x14ac:dyDescent="0.25">
      <c r="A168" s="401">
        <f>Données!A169</f>
        <v>5690</v>
      </c>
      <c r="B168" s="405" t="str">
        <f>Données!B169</f>
        <v>Villars-le-Comte</v>
      </c>
      <c r="C168" s="403">
        <f>VPI!Q169</f>
        <v>70</v>
      </c>
      <c r="D168" s="408">
        <f>Données!Z169</f>
        <v>133</v>
      </c>
      <c r="E168" s="179">
        <f>VPI!R169</f>
        <v>3509.9673809523806</v>
      </c>
      <c r="F168" s="316">
        <f>'Péréquation directe'!K175</f>
        <v>-26559.110199863731</v>
      </c>
      <c r="G168" s="329">
        <f>PCS!I175</f>
        <v>54272.465425779337</v>
      </c>
      <c r="H168" s="345">
        <f>'Facture policière'!L169</f>
        <v>10696.258898322729</v>
      </c>
      <c r="I168" s="457">
        <f t="shared" si="2"/>
        <v>38409.614124238331</v>
      </c>
      <c r="J168" s="181"/>
    </row>
    <row r="169" spans="1:10" s="87" customFormat="1" x14ac:dyDescent="0.25">
      <c r="A169" s="401">
        <f>Données!A170</f>
        <v>5692</v>
      </c>
      <c r="B169" s="405" t="str">
        <f>Données!B170</f>
        <v>Vucherens</v>
      </c>
      <c r="C169" s="403">
        <f>VPI!Q170</f>
        <v>77</v>
      </c>
      <c r="D169" s="408">
        <f>Données!Z170</f>
        <v>623</v>
      </c>
      <c r="E169" s="179">
        <f>VPI!R170</f>
        <v>18792.58012987013</v>
      </c>
      <c r="F169" s="316">
        <f>'Péréquation directe'!K176</f>
        <v>-60420.414126373711</v>
      </c>
      <c r="G169" s="329">
        <f>PCS!I176</f>
        <v>338902.50030147051</v>
      </c>
      <c r="H169" s="345">
        <f>'Facture policière'!L170</f>
        <v>57977.500185642784</v>
      </c>
      <c r="I169" s="457">
        <f t="shared" si="2"/>
        <v>336459.5863607396</v>
      </c>
      <c r="J169" s="181"/>
    </row>
    <row r="170" spans="1:10" s="87" customFormat="1" x14ac:dyDescent="0.25">
      <c r="A170" s="401">
        <f>Données!A171</f>
        <v>5693</v>
      </c>
      <c r="B170" s="405" t="str">
        <f>Données!B171</f>
        <v>Montanaire</v>
      </c>
      <c r="C170" s="403">
        <f>VPI!Q171</f>
        <v>70</v>
      </c>
      <c r="D170" s="408">
        <f>Données!Z171</f>
        <v>2768</v>
      </c>
      <c r="E170" s="179">
        <f>VPI!R171</f>
        <v>75687.075428571436</v>
      </c>
      <c r="F170" s="316">
        <f>'Péréquation directe'!K177</f>
        <v>-917905.45609132829</v>
      </c>
      <c r="G170" s="329">
        <f>PCS!I177</f>
        <v>1222711.139557231</v>
      </c>
      <c r="H170" s="345">
        <f>'Facture policière'!L171</f>
        <v>231600.02186898998</v>
      </c>
      <c r="I170" s="457">
        <f t="shared" si="2"/>
        <v>536405.70533489273</v>
      </c>
      <c r="J170" s="181"/>
    </row>
    <row r="171" spans="1:10" s="87" customFormat="1" x14ac:dyDescent="0.25">
      <c r="A171" s="401">
        <f>Données!A172</f>
        <v>5701</v>
      </c>
      <c r="B171" s="405" t="str">
        <f>Données!B172</f>
        <v>Arnex-sur-Nyon</v>
      </c>
      <c r="C171" s="403">
        <f>VPI!Q172</f>
        <v>70</v>
      </c>
      <c r="D171" s="408">
        <f>Données!Z172</f>
        <v>226</v>
      </c>
      <c r="E171" s="179">
        <f>VPI!R172</f>
        <v>14488.632285714286</v>
      </c>
      <c r="F171" s="316">
        <f>'Péréquation directe'!K178</f>
        <v>250153.64647170465</v>
      </c>
      <c r="G171" s="329">
        <f>PCS!I178</f>
        <v>327260.19763276097</v>
      </c>
      <c r="H171" s="345">
        <f>'Facture policière'!L172</f>
        <v>37749.311578978995</v>
      </c>
      <c r="I171" s="457">
        <f t="shared" si="2"/>
        <v>615163.15568344458</v>
      </c>
      <c r="J171" s="181"/>
    </row>
    <row r="172" spans="1:10" s="87" customFormat="1" x14ac:dyDescent="0.25">
      <c r="A172" s="401">
        <f>Données!A173</f>
        <v>5702</v>
      </c>
      <c r="B172" s="405" t="str">
        <f>Données!B173</f>
        <v>Arzier-Le Muids</v>
      </c>
      <c r="C172" s="403">
        <f>VPI!Q173</f>
        <v>64</v>
      </c>
      <c r="D172" s="408">
        <f>Données!Z173</f>
        <v>2947</v>
      </c>
      <c r="E172" s="179">
        <f>VPI!R173</f>
        <v>174855.39411458338</v>
      </c>
      <c r="F172" s="316">
        <f>'Péréquation directe'!K179</f>
        <v>2070169.9959546316</v>
      </c>
      <c r="G172" s="329">
        <f>PCS!I179</f>
        <v>3440742.8944313042</v>
      </c>
      <c r="H172" s="345">
        <f>'Facture policière'!L173</f>
        <v>474995.96549460274</v>
      </c>
      <c r="I172" s="457">
        <f t="shared" si="2"/>
        <v>5985908.8558805389</v>
      </c>
      <c r="J172" s="181"/>
    </row>
    <row r="173" spans="1:10" s="87" customFormat="1" x14ac:dyDescent="0.25">
      <c r="A173" s="401">
        <f>Données!A174</f>
        <v>5703</v>
      </c>
      <c r="B173" s="405" t="str">
        <f>Données!B174</f>
        <v>Bassins</v>
      </c>
      <c r="C173" s="403">
        <f>VPI!Q174</f>
        <v>72.5</v>
      </c>
      <c r="D173" s="408">
        <f>Données!Z174</f>
        <v>1487</v>
      </c>
      <c r="E173" s="179">
        <f>VPI!R174</f>
        <v>66798.778167487675</v>
      </c>
      <c r="F173" s="316">
        <f>'Péréquation directe'!K180</f>
        <v>888774.91644670931</v>
      </c>
      <c r="G173" s="329">
        <f>PCS!I180</f>
        <v>1097016.3224055748</v>
      </c>
      <c r="H173" s="345">
        <f>'Facture policière'!L174</f>
        <v>206091.73528307187</v>
      </c>
      <c r="I173" s="457">
        <f t="shared" si="2"/>
        <v>2191882.974135356</v>
      </c>
      <c r="J173" s="181"/>
    </row>
    <row r="174" spans="1:10" s="87" customFormat="1" x14ac:dyDescent="0.25">
      <c r="A174" s="401">
        <f>Données!A175</f>
        <v>5704</v>
      </c>
      <c r="B174" s="405" t="str">
        <f>Données!B175</f>
        <v>Begnins</v>
      </c>
      <c r="C174" s="403">
        <f>VPI!Q175</f>
        <v>62.5</v>
      </c>
      <c r="D174" s="408">
        <f>Données!Z175</f>
        <v>1941</v>
      </c>
      <c r="E174" s="179">
        <f>VPI!R175</f>
        <v>146339.67776000002</v>
      </c>
      <c r="F174" s="316">
        <f>'Péréquation directe'!K181</f>
        <v>2352171.9715564642</v>
      </c>
      <c r="G174" s="329">
        <f>PCS!I181</f>
        <v>3103386.8490362512</v>
      </c>
      <c r="H174" s="345">
        <f>'Facture policière'!L175</f>
        <v>351054.74045785639</v>
      </c>
      <c r="I174" s="457">
        <f t="shared" si="2"/>
        <v>5806613.5610505715</v>
      </c>
      <c r="J174" s="181"/>
    </row>
    <row r="175" spans="1:10" s="87" customFormat="1" x14ac:dyDescent="0.25">
      <c r="A175" s="401">
        <f>Données!A176</f>
        <v>5705</v>
      </c>
      <c r="B175" s="405" t="str">
        <f>Données!B176</f>
        <v>Bogis-Bossey</v>
      </c>
      <c r="C175" s="403">
        <f>VPI!Q176</f>
        <v>74.5</v>
      </c>
      <c r="D175" s="408">
        <f>Données!Z176</f>
        <v>888</v>
      </c>
      <c r="E175" s="179">
        <f>VPI!R176</f>
        <v>51950.537852349</v>
      </c>
      <c r="F175" s="316">
        <f>'Péréquation directe'!K182</f>
        <v>886933.51011138258</v>
      </c>
      <c r="G175" s="329">
        <f>PCS!I182</f>
        <v>1092187.6754292534</v>
      </c>
      <c r="H175" s="345">
        <f>'Facture policière'!L176</f>
        <v>142223.55882502013</v>
      </c>
      <c r="I175" s="457">
        <f t="shared" si="2"/>
        <v>2121344.7443656563</v>
      </c>
      <c r="J175" s="181"/>
    </row>
    <row r="176" spans="1:10" s="87" customFormat="1" x14ac:dyDescent="0.25">
      <c r="A176" s="401">
        <f>Données!A177</f>
        <v>5706</v>
      </c>
      <c r="B176" s="405" t="str">
        <f>Données!B177</f>
        <v>Borex</v>
      </c>
      <c r="C176" s="403">
        <f>VPI!Q177</f>
        <v>57</v>
      </c>
      <c r="D176" s="408">
        <f>Données!Z177</f>
        <v>1165</v>
      </c>
      <c r="E176" s="179">
        <f>VPI!R177</f>
        <v>71207.729649122819</v>
      </c>
      <c r="F176" s="316">
        <f>'Péréquation directe'!K183</f>
        <v>1184115.4558307377</v>
      </c>
      <c r="G176" s="329">
        <f>PCS!I183</f>
        <v>1266250.2017405673</v>
      </c>
      <c r="H176" s="345">
        <f>'Facture policière'!L177</f>
        <v>190328.64462234807</v>
      </c>
      <c r="I176" s="457">
        <f t="shared" si="2"/>
        <v>2640694.3021936533</v>
      </c>
      <c r="J176" s="181"/>
    </row>
    <row r="177" spans="1:10" s="87" customFormat="1" x14ac:dyDescent="0.25">
      <c r="A177" s="401">
        <f>Données!A178</f>
        <v>5707</v>
      </c>
      <c r="B177" s="405" t="str">
        <f>Données!B178</f>
        <v>Chavannes-de-Bogis</v>
      </c>
      <c r="C177" s="403">
        <f>VPI!Q178</f>
        <v>58</v>
      </c>
      <c r="D177" s="408">
        <f>Données!Z178</f>
        <v>1330</v>
      </c>
      <c r="E177" s="179">
        <f>VPI!R178</f>
        <v>88004.58971264369</v>
      </c>
      <c r="F177" s="316">
        <f>'Péréquation directe'!K184</f>
        <v>1448317.618356437</v>
      </c>
      <c r="G177" s="329">
        <f>PCS!I184</f>
        <v>2101778.4955710694</v>
      </c>
      <c r="H177" s="345">
        <f>'Facture policière'!L178</f>
        <v>225510.62495451485</v>
      </c>
      <c r="I177" s="457">
        <f t="shared" si="2"/>
        <v>3775606.738882021</v>
      </c>
      <c r="J177" s="181"/>
    </row>
    <row r="178" spans="1:10" s="87" customFormat="1" x14ac:dyDescent="0.25">
      <c r="A178" s="401">
        <f>Données!A179</f>
        <v>5708</v>
      </c>
      <c r="B178" s="405" t="str">
        <f>Données!B179</f>
        <v>Chavannes-des-Bois</v>
      </c>
      <c r="C178" s="403">
        <f>VPI!Q179</f>
        <v>68</v>
      </c>
      <c r="D178" s="408">
        <f>Données!Z179</f>
        <v>1005</v>
      </c>
      <c r="E178" s="179">
        <f>VPI!R179</f>
        <v>66993.89235294117</v>
      </c>
      <c r="F178" s="316">
        <f>'Péréquation directe'!K185</f>
        <v>1160683.5537871371</v>
      </c>
      <c r="G178" s="329">
        <f>PCS!I185</f>
        <v>1314019.1157511114</v>
      </c>
      <c r="H178" s="345">
        <f>'Facture policière'!L179</f>
        <v>171010.29968167996</v>
      </c>
      <c r="I178" s="457">
        <f t="shared" si="2"/>
        <v>2645712.9692199281</v>
      </c>
      <c r="J178" s="181"/>
    </row>
    <row r="179" spans="1:10" s="87" customFormat="1" x14ac:dyDescent="0.25">
      <c r="A179" s="401">
        <f>Données!A180</f>
        <v>5709</v>
      </c>
      <c r="B179" s="405" t="str">
        <f>Données!B180</f>
        <v>Chéserex</v>
      </c>
      <c r="C179" s="403">
        <f>VPI!Q180</f>
        <v>57</v>
      </c>
      <c r="D179" s="408">
        <f>Données!Z180</f>
        <v>1263</v>
      </c>
      <c r="E179" s="179">
        <f>VPI!R180</f>
        <v>88341.005087719284</v>
      </c>
      <c r="F179" s="316">
        <f>'Péréquation directe'!K186</f>
        <v>1479007.9925588779</v>
      </c>
      <c r="G179" s="329">
        <f>PCS!I186</f>
        <v>2459878.1662190785</v>
      </c>
      <c r="H179" s="345">
        <f>'Facture policière'!L180</f>
        <v>219995.93245452153</v>
      </c>
      <c r="I179" s="457">
        <f t="shared" si="2"/>
        <v>4158882.0912324777</v>
      </c>
      <c r="J179" s="181"/>
    </row>
    <row r="180" spans="1:10" s="87" customFormat="1" x14ac:dyDescent="0.25">
      <c r="A180" s="401">
        <f>Données!A181</f>
        <v>5710</v>
      </c>
      <c r="B180" s="405" t="str">
        <f>Données!B181</f>
        <v>Coinsins</v>
      </c>
      <c r="C180" s="403">
        <f>VPI!Q181</f>
        <v>51</v>
      </c>
      <c r="D180" s="408">
        <f>Données!Z181</f>
        <v>508</v>
      </c>
      <c r="E180" s="179">
        <f>VPI!R181</f>
        <v>43388.780196078442</v>
      </c>
      <c r="F180" s="316">
        <f>'Péréquation directe'!K187</f>
        <v>770908.3823976334</v>
      </c>
      <c r="G180" s="329">
        <f>PCS!I187</f>
        <v>945465.3338893404</v>
      </c>
      <c r="H180" s="345">
        <f>'Facture policière'!L181</f>
        <v>98114.787577018433</v>
      </c>
      <c r="I180" s="457">
        <f t="shared" si="2"/>
        <v>1814488.5038639922</v>
      </c>
      <c r="J180" s="181"/>
    </row>
    <row r="181" spans="1:10" s="87" customFormat="1" x14ac:dyDescent="0.25">
      <c r="A181" s="401">
        <f>Données!A182</f>
        <v>5711</v>
      </c>
      <c r="B181" s="405" t="str">
        <f>Données!B182</f>
        <v>Commugny</v>
      </c>
      <c r="C181" s="403">
        <f>VPI!Q182</f>
        <v>55.5</v>
      </c>
      <c r="D181" s="408">
        <f>Données!Z182</f>
        <v>3001</v>
      </c>
      <c r="E181" s="179">
        <f>VPI!R182</f>
        <v>286267.46263340261</v>
      </c>
      <c r="F181" s="316">
        <f>'Péréquation directe'!K188</f>
        <v>4666613.3896833761</v>
      </c>
      <c r="G181" s="329">
        <f>PCS!I188</f>
        <v>7340786.5537320245</v>
      </c>
      <c r="H181" s="345">
        <f>'Facture policière'!L182</f>
        <v>616315.76665424136</v>
      </c>
      <c r="I181" s="457">
        <f t="shared" si="2"/>
        <v>12623715.710069641</v>
      </c>
      <c r="J181" s="181"/>
    </row>
    <row r="182" spans="1:10" s="87" customFormat="1" x14ac:dyDescent="0.25">
      <c r="A182" s="401">
        <f>Données!A183</f>
        <v>5712</v>
      </c>
      <c r="B182" s="405" t="str">
        <f>Données!B183</f>
        <v>Coppet</v>
      </c>
      <c r="C182" s="403">
        <f>VPI!Q183</f>
        <v>53</v>
      </c>
      <c r="D182" s="408">
        <f>Données!Z183</f>
        <v>3211</v>
      </c>
      <c r="E182" s="179">
        <f>VPI!R183</f>
        <v>333743.32396226411</v>
      </c>
      <c r="F182" s="316">
        <f>'Péréquation directe'!K189</f>
        <v>5473476.8586755395</v>
      </c>
      <c r="G182" s="329">
        <f>PCS!I189</f>
        <v>8684081.9619715903</v>
      </c>
      <c r="H182" s="345">
        <f>'Facture policière'!L183</f>
        <v>693077.6975496962</v>
      </c>
      <c r="I182" s="457">
        <f t="shared" si="2"/>
        <v>14850636.518196827</v>
      </c>
      <c r="J182" s="181"/>
    </row>
    <row r="183" spans="1:10" s="87" customFormat="1" x14ac:dyDescent="0.25">
      <c r="A183" s="401">
        <f>Données!A184</f>
        <v>5713</v>
      </c>
      <c r="B183" s="405" t="str">
        <f>Données!B184</f>
        <v>Crans</v>
      </c>
      <c r="C183" s="403">
        <f>VPI!Q184</f>
        <v>56</v>
      </c>
      <c r="D183" s="408">
        <f>Données!Z184</f>
        <v>2373</v>
      </c>
      <c r="E183" s="179">
        <f>VPI!R184</f>
        <v>302501.76750000002</v>
      </c>
      <c r="F183" s="316">
        <f>'Péréquation directe'!K190</f>
        <v>5206610.6048297286</v>
      </c>
      <c r="G183" s="329">
        <f>PCS!I190</f>
        <v>9698249.7027778067</v>
      </c>
      <c r="H183" s="345">
        <f>'Facture policière'!L184</f>
        <v>370735.82585590362</v>
      </c>
      <c r="I183" s="457">
        <f t="shared" si="2"/>
        <v>15275596.133463439</v>
      </c>
      <c r="J183" s="181"/>
    </row>
    <row r="184" spans="1:10" s="87" customFormat="1" x14ac:dyDescent="0.25">
      <c r="A184" s="401">
        <f>Données!A185</f>
        <v>5714</v>
      </c>
      <c r="B184" s="405" t="str">
        <f>Données!B185</f>
        <v>Crassier</v>
      </c>
      <c r="C184" s="403">
        <f>VPI!Q185</f>
        <v>68</v>
      </c>
      <c r="D184" s="408">
        <f>Données!Z185</f>
        <v>1228</v>
      </c>
      <c r="E184" s="179">
        <f>VPI!R185</f>
        <v>62133.653235294114</v>
      </c>
      <c r="F184" s="316">
        <f>'Péréquation directe'!K191</f>
        <v>986424.76870320085</v>
      </c>
      <c r="G184" s="329">
        <f>PCS!I191</f>
        <v>1184412.4008903641</v>
      </c>
      <c r="H184" s="345">
        <f>'Facture policière'!L185</f>
        <v>184780.90818217432</v>
      </c>
      <c r="I184" s="457">
        <f t="shared" si="2"/>
        <v>2355618.0777757396</v>
      </c>
      <c r="J184" s="181"/>
    </row>
    <row r="185" spans="1:10" s="87" customFormat="1" x14ac:dyDescent="0.25">
      <c r="A185" s="401">
        <f>Données!A186</f>
        <v>5715</v>
      </c>
      <c r="B185" s="405" t="str">
        <f>Données!B186</f>
        <v>Duillier</v>
      </c>
      <c r="C185" s="403">
        <f>VPI!Q186</f>
        <v>66</v>
      </c>
      <c r="D185" s="408">
        <f>Données!Z186</f>
        <v>1146</v>
      </c>
      <c r="E185" s="179">
        <f>VPI!R186</f>
        <v>70392.808484848487</v>
      </c>
      <c r="F185" s="316">
        <f>'Péréquation directe'!K192</f>
        <v>1175269.4198254973</v>
      </c>
      <c r="G185" s="329">
        <f>PCS!I192</f>
        <v>1590381.8467500771</v>
      </c>
      <c r="H185" s="345">
        <f>'Facture policière'!L186</f>
        <v>187649.11641327868</v>
      </c>
      <c r="I185" s="457">
        <f t="shared" si="2"/>
        <v>2953300.3829888529</v>
      </c>
      <c r="J185" s="181"/>
    </row>
    <row r="186" spans="1:10" s="87" customFormat="1" x14ac:dyDescent="0.25">
      <c r="A186" s="401">
        <f>Données!A187</f>
        <v>5716</v>
      </c>
      <c r="B186" s="405" t="str">
        <f>Données!B187</f>
        <v>Eysins</v>
      </c>
      <c r="C186" s="403">
        <f>VPI!Q187</f>
        <v>59.5</v>
      </c>
      <c r="D186" s="408">
        <f>Données!Z187</f>
        <v>1736</v>
      </c>
      <c r="E186" s="179">
        <f>VPI!R187</f>
        <v>203469.72924369748</v>
      </c>
      <c r="F186" s="316">
        <f>'Péréquation directe'!K193</f>
        <v>3527589.892114813</v>
      </c>
      <c r="G186" s="329">
        <f>PCS!I193</f>
        <v>5542312.600666591</v>
      </c>
      <c r="H186" s="345">
        <f>'Facture policière'!L187</f>
        <v>402936.55338272633</v>
      </c>
      <c r="I186" s="457">
        <f t="shared" si="2"/>
        <v>9472839.0461641308</v>
      </c>
      <c r="J186" s="181"/>
    </row>
    <row r="187" spans="1:10" s="87" customFormat="1" x14ac:dyDescent="0.25">
      <c r="A187" s="401">
        <f>Données!A188</f>
        <v>5717</v>
      </c>
      <c r="B187" s="405" t="str">
        <f>Données!B188</f>
        <v>Founex</v>
      </c>
      <c r="C187" s="403">
        <f>VPI!Q188</f>
        <v>57</v>
      </c>
      <c r="D187" s="408">
        <f>Données!Z188</f>
        <v>3822</v>
      </c>
      <c r="E187" s="179">
        <f>VPI!R188</f>
        <v>390717.85842105263</v>
      </c>
      <c r="F187" s="316">
        <f>'Péréquation directe'!K194</f>
        <v>6256501.8393951571</v>
      </c>
      <c r="G187" s="329">
        <f>PCS!I194</f>
        <v>9993562.9606426451</v>
      </c>
      <c r="H187" s="345">
        <f>'Facture policière'!L188</f>
        <v>816954.36508257617</v>
      </c>
      <c r="I187" s="457">
        <f t="shared" si="2"/>
        <v>17067019.165120378</v>
      </c>
      <c r="J187" s="181"/>
    </row>
    <row r="188" spans="1:10" s="87" customFormat="1" x14ac:dyDescent="0.25">
      <c r="A188" s="401">
        <f>Données!A189</f>
        <v>5718</v>
      </c>
      <c r="B188" s="405" t="str">
        <f>Données!B189</f>
        <v>Genolier</v>
      </c>
      <c r="C188" s="403">
        <f>VPI!Q189</f>
        <v>55</v>
      </c>
      <c r="D188" s="408">
        <f>Données!Z189</f>
        <v>2022</v>
      </c>
      <c r="E188" s="179">
        <f>VPI!R189</f>
        <v>192258.25363636363</v>
      </c>
      <c r="F188" s="316">
        <f>'Péréquation directe'!K195</f>
        <v>3208131.562874224</v>
      </c>
      <c r="G188" s="329">
        <f>PCS!I195</f>
        <v>4849248.4945777934</v>
      </c>
      <c r="H188" s="345">
        <f>'Facture policière'!L189</f>
        <v>414496.44497947051</v>
      </c>
      <c r="I188" s="457">
        <f t="shared" si="2"/>
        <v>8471876.5024314877</v>
      </c>
      <c r="J188" s="181"/>
    </row>
    <row r="189" spans="1:10" s="87" customFormat="1" x14ac:dyDescent="0.25">
      <c r="A189" s="401">
        <f>Données!A190</f>
        <v>5719</v>
      </c>
      <c r="B189" s="405" t="str">
        <f>Données!B190</f>
        <v>Gingins</v>
      </c>
      <c r="C189" s="403">
        <f>VPI!Q190</f>
        <v>60</v>
      </c>
      <c r="D189" s="408">
        <f>Données!Z190</f>
        <v>1265</v>
      </c>
      <c r="E189" s="179">
        <f>VPI!R190</f>
        <v>151290.43366666668</v>
      </c>
      <c r="F189" s="316">
        <f>'Péréquation directe'!K196</f>
        <v>2691829.9724605773</v>
      </c>
      <c r="G189" s="329">
        <f>PCS!I196</f>
        <v>4423680.3893012656</v>
      </c>
      <c r="H189" s="345">
        <f>'Facture policière'!L190</f>
        <v>297321.52545083215</v>
      </c>
      <c r="I189" s="457">
        <f t="shared" si="2"/>
        <v>7412831.8872126751</v>
      </c>
      <c r="J189" s="181"/>
    </row>
    <row r="190" spans="1:10" s="87" customFormat="1" x14ac:dyDescent="0.25">
      <c r="A190" s="401">
        <f>Données!A191</f>
        <v>5720</v>
      </c>
      <c r="B190" s="405" t="str">
        <f>Données!B191</f>
        <v>Givrins</v>
      </c>
      <c r="C190" s="403">
        <f>VPI!Q191</f>
        <v>67</v>
      </c>
      <c r="D190" s="408">
        <f>Données!Z191</f>
        <v>1010</v>
      </c>
      <c r="E190" s="179">
        <f>VPI!R191</f>
        <v>74789.584809286913</v>
      </c>
      <c r="F190" s="316">
        <f>'Péréquation directe'!K197</f>
        <v>1263365.6861134847</v>
      </c>
      <c r="G190" s="329">
        <f>PCS!I197</f>
        <v>1700725.9398383356</v>
      </c>
      <c r="H190" s="345">
        <f>'Facture policière'!L191</f>
        <v>181006.7466889284</v>
      </c>
      <c r="I190" s="457">
        <f t="shared" si="2"/>
        <v>3145098.3726407485</v>
      </c>
      <c r="J190" s="181"/>
    </row>
    <row r="191" spans="1:10" s="87" customFormat="1" x14ac:dyDescent="0.25">
      <c r="A191" s="401">
        <f>Données!A192</f>
        <v>5721</v>
      </c>
      <c r="B191" s="405" t="str">
        <f>Données!B192</f>
        <v>Gland</v>
      </c>
      <c r="C191" s="403">
        <f>VPI!Q192</f>
        <v>61</v>
      </c>
      <c r="D191" s="408">
        <f>Données!Z192</f>
        <v>13306</v>
      </c>
      <c r="E191" s="179">
        <f>VPI!R192</f>
        <v>722641.89508196723</v>
      </c>
      <c r="F191" s="316">
        <f>'Péréquation directe'!K198</f>
        <v>5589999.8818843039</v>
      </c>
      <c r="G191" s="329">
        <f>PCS!I198</f>
        <v>12736075.047987727</v>
      </c>
      <c r="H191" s="345">
        <f>'Facture policière'!L192</f>
        <v>2062728.0605417013</v>
      </c>
      <c r="I191" s="457">
        <f t="shared" si="2"/>
        <v>20388802.990413733</v>
      </c>
      <c r="J191" s="181"/>
    </row>
    <row r="192" spans="1:10" s="87" customFormat="1" x14ac:dyDescent="0.25">
      <c r="A192" s="401">
        <f>Données!A193</f>
        <v>5722</v>
      </c>
      <c r="B192" s="405" t="str">
        <f>Données!B193</f>
        <v>Grens</v>
      </c>
      <c r="C192" s="403">
        <f>VPI!Q193</f>
        <v>62</v>
      </c>
      <c r="D192" s="408">
        <f>Données!Z193</f>
        <v>401</v>
      </c>
      <c r="E192" s="179">
        <f>VPI!R193</f>
        <v>22316.235806451619</v>
      </c>
      <c r="F192" s="316">
        <f>'Péréquation directe'!K199</f>
        <v>378475.63711961469</v>
      </c>
      <c r="G192" s="329">
        <f>PCS!I199</f>
        <v>334099.34624086408</v>
      </c>
      <c r="H192" s="345">
        <f>'Facture policière'!L193</f>
        <v>62823.503312122848</v>
      </c>
      <c r="I192" s="457">
        <f t="shared" si="2"/>
        <v>775398.48667260166</v>
      </c>
      <c r="J192" s="181"/>
    </row>
    <row r="193" spans="1:10" s="87" customFormat="1" x14ac:dyDescent="0.25">
      <c r="A193" s="401">
        <f>Données!A194</f>
        <v>5723</v>
      </c>
      <c r="B193" s="405" t="str">
        <f>Données!B194</f>
        <v>Mies</v>
      </c>
      <c r="C193" s="403">
        <f>VPI!Q194</f>
        <v>52</v>
      </c>
      <c r="D193" s="408">
        <f>Données!Z194</f>
        <v>2195</v>
      </c>
      <c r="E193" s="179">
        <f>VPI!R194</f>
        <v>245963.39999999997</v>
      </c>
      <c r="F193" s="316">
        <f>'Péréquation directe'!K200</f>
        <v>4180964.7121144384</v>
      </c>
      <c r="G193" s="329">
        <f>PCS!I200</f>
        <v>7526943.9791155178</v>
      </c>
      <c r="H193" s="345">
        <f>'Facture policière'!L194</f>
        <v>495619.6598678442</v>
      </c>
      <c r="I193" s="457">
        <f t="shared" si="2"/>
        <v>12203528.3510978</v>
      </c>
      <c r="J193" s="181"/>
    </row>
    <row r="194" spans="1:10" s="87" customFormat="1" x14ac:dyDescent="0.25">
      <c r="A194" s="401">
        <f>Données!A195</f>
        <v>5724</v>
      </c>
      <c r="B194" s="405" t="str">
        <f>Données!B195</f>
        <v>Nyon</v>
      </c>
      <c r="C194" s="403">
        <f>VPI!Q195</f>
        <v>61</v>
      </c>
      <c r="D194" s="408">
        <f>Données!Z195</f>
        <v>22124</v>
      </c>
      <c r="E194" s="179">
        <f>VPI!R195</f>
        <v>1461398.290765027</v>
      </c>
      <c r="F194" s="316">
        <f>'Péréquation directe'!K201</f>
        <v>9547599.6798585206</v>
      </c>
      <c r="G194" s="329">
        <f>PCS!I201</f>
        <v>31381864.113869101</v>
      </c>
      <c r="H194" s="345">
        <f>'Facture policière'!L195</f>
        <v>1791039.7903085912</v>
      </c>
      <c r="I194" s="457">
        <f t="shared" si="2"/>
        <v>42720503.584036216</v>
      </c>
      <c r="J194" s="181"/>
    </row>
    <row r="195" spans="1:10" s="87" customFormat="1" x14ac:dyDescent="0.25">
      <c r="A195" s="401">
        <f>Données!A196</f>
        <v>5725</v>
      </c>
      <c r="B195" s="405" t="str">
        <f>Données!B196</f>
        <v>Prangins</v>
      </c>
      <c r="C195" s="403">
        <f>VPI!Q196</f>
        <v>55</v>
      </c>
      <c r="D195" s="408">
        <f>Données!Z196</f>
        <v>4060</v>
      </c>
      <c r="E195" s="179">
        <f>VPI!R196</f>
        <v>354965.57820779225</v>
      </c>
      <c r="F195" s="316">
        <f>'Péréquation directe'!K202</f>
        <v>5444435.3109970074</v>
      </c>
      <c r="G195" s="329">
        <f>PCS!I202</f>
        <v>8335519.0344723566</v>
      </c>
      <c r="H195" s="345">
        <f>'Facture policière'!L196</f>
        <v>435033.67889341072</v>
      </c>
      <c r="I195" s="457">
        <f t="shared" si="2"/>
        <v>14214988.024362775</v>
      </c>
      <c r="J195" s="181"/>
    </row>
    <row r="196" spans="1:10" s="87" customFormat="1" x14ac:dyDescent="0.25">
      <c r="A196" s="401">
        <f>Données!A197</f>
        <v>5726</v>
      </c>
      <c r="B196" s="405" t="str">
        <f>Données!B197</f>
        <v>La Rippe</v>
      </c>
      <c r="C196" s="403">
        <f>VPI!Q197</f>
        <v>64</v>
      </c>
      <c r="D196" s="408">
        <f>Données!Z197</f>
        <v>1165</v>
      </c>
      <c r="E196" s="179">
        <f>VPI!R197</f>
        <v>70364.194375000006</v>
      </c>
      <c r="F196" s="316">
        <f>'Péréquation directe'!K203</f>
        <v>1167853.7100401109</v>
      </c>
      <c r="G196" s="329">
        <f>PCS!I203</f>
        <v>1347521.867077868</v>
      </c>
      <c r="H196" s="345">
        <f>'Facture policière'!L197</f>
        <v>189294.83662487741</v>
      </c>
      <c r="I196" s="457">
        <f t="shared" si="2"/>
        <v>2704670.4137428561</v>
      </c>
      <c r="J196" s="181"/>
    </row>
    <row r="197" spans="1:10" s="87" customFormat="1" x14ac:dyDescent="0.25">
      <c r="A197" s="401">
        <f>Données!A198</f>
        <v>5727</v>
      </c>
      <c r="B197" s="405" t="str">
        <f>Données!B198</f>
        <v>Saint-Cergue</v>
      </c>
      <c r="C197" s="403">
        <f>VPI!Q198</f>
        <v>66</v>
      </c>
      <c r="D197" s="408">
        <f>Données!Z198</f>
        <v>2755</v>
      </c>
      <c r="E197" s="179">
        <f>VPI!R198</f>
        <v>106171.3535858586</v>
      </c>
      <c r="F197" s="316">
        <f>'Péréquation directe'!K204</f>
        <v>361955.81352110114</v>
      </c>
      <c r="G197" s="329">
        <f>PCS!I204</f>
        <v>2084592.765307324</v>
      </c>
      <c r="H197" s="345">
        <f>'Facture policière'!L198</f>
        <v>325873.08231457224</v>
      </c>
      <c r="I197" s="457">
        <f t="shared" si="2"/>
        <v>2772421.6611429974</v>
      </c>
      <c r="J197" s="181"/>
    </row>
    <row r="198" spans="1:10" s="87" customFormat="1" x14ac:dyDescent="0.25">
      <c r="A198" s="401">
        <f>Données!A199</f>
        <v>5728</v>
      </c>
      <c r="B198" s="405" t="str">
        <f>Données!B199</f>
        <v>Signy-Avenex</v>
      </c>
      <c r="C198" s="403">
        <f>VPI!Q199</f>
        <v>58</v>
      </c>
      <c r="D198" s="408">
        <f>Données!Z199</f>
        <v>584</v>
      </c>
      <c r="E198" s="179">
        <f>VPI!R199</f>
        <v>56428.273965517248</v>
      </c>
      <c r="F198" s="316">
        <f>'Péréquation directe'!K205</f>
        <v>1012479.0332583964</v>
      </c>
      <c r="G198" s="329">
        <f>PCS!I205</f>
        <v>1441811.8477463061</v>
      </c>
      <c r="H198" s="345">
        <f>'Facture policière'!L199</f>
        <v>120818.70015900172</v>
      </c>
      <c r="I198" s="457">
        <f t="shared" ref="I198:I261" si="3">SUM(F198:H198)</f>
        <v>2575109.5811637039</v>
      </c>
      <c r="J198" s="181"/>
    </row>
    <row r="199" spans="1:10" s="87" customFormat="1" x14ac:dyDescent="0.25">
      <c r="A199" s="401">
        <f>Données!A200</f>
        <v>5729</v>
      </c>
      <c r="B199" s="405" t="str">
        <f>Données!B200</f>
        <v>Tannay</v>
      </c>
      <c r="C199" s="403">
        <f>VPI!Q200</f>
        <v>60.5</v>
      </c>
      <c r="D199" s="408">
        <f>Données!Z200</f>
        <v>1644</v>
      </c>
      <c r="E199" s="179">
        <f>VPI!R200</f>
        <v>161668.92523415975</v>
      </c>
      <c r="F199" s="316">
        <f>'Péréquation directe'!K206</f>
        <v>2754987.0057688584</v>
      </c>
      <c r="G199" s="329">
        <f>PCS!I206</f>
        <v>4381037.3001325913</v>
      </c>
      <c r="H199" s="345">
        <f>'Facture policière'!L200</f>
        <v>343568.36111671978</v>
      </c>
      <c r="I199" s="457">
        <f t="shared" si="3"/>
        <v>7479592.6670181686</v>
      </c>
      <c r="J199" s="181"/>
    </row>
    <row r="200" spans="1:10" s="87" customFormat="1" x14ac:dyDescent="0.25">
      <c r="A200" s="401">
        <f>Données!A201</f>
        <v>5730</v>
      </c>
      <c r="B200" s="405" t="str">
        <f>Données!B201</f>
        <v>Trélex</v>
      </c>
      <c r="C200" s="403">
        <f>VPI!Q201</f>
        <v>55.5</v>
      </c>
      <c r="D200" s="408">
        <f>Données!Z201</f>
        <v>1439</v>
      </c>
      <c r="E200" s="179">
        <f>VPI!R201</f>
        <v>125084.29905905908</v>
      </c>
      <c r="F200" s="316">
        <f>'Péréquation directe'!K207</f>
        <v>2123765.2851780467</v>
      </c>
      <c r="G200" s="329">
        <f>PCS!I207</f>
        <v>3348076.5163261089</v>
      </c>
      <c r="H200" s="345">
        <f>'Facture policière'!L201</f>
        <v>280596.66854379355</v>
      </c>
      <c r="I200" s="457">
        <f t="shared" si="3"/>
        <v>5752438.4700479489</v>
      </c>
      <c r="J200" s="181"/>
    </row>
    <row r="201" spans="1:10" s="87" customFormat="1" x14ac:dyDescent="0.25">
      <c r="A201" s="401">
        <f>Données!A202</f>
        <v>5731</v>
      </c>
      <c r="B201" s="405" t="str">
        <f>Données!B202</f>
        <v>Le Vaud</v>
      </c>
      <c r="C201" s="403">
        <f>VPI!Q202</f>
        <v>74</v>
      </c>
      <c r="D201" s="408">
        <f>Données!Z202</f>
        <v>1387</v>
      </c>
      <c r="E201" s="179">
        <f>VPI!R202</f>
        <v>69594.777477477473</v>
      </c>
      <c r="F201" s="316">
        <f>'Péréquation directe'!K208</f>
        <v>918099.08112231502</v>
      </c>
      <c r="G201" s="329">
        <f>PCS!I208</f>
        <v>1065282.6838268621</v>
      </c>
      <c r="H201" s="345">
        <f>'Facture policière'!L202</f>
        <v>207990.55443968144</v>
      </c>
      <c r="I201" s="457">
        <f t="shared" si="3"/>
        <v>2191372.3193888585</v>
      </c>
      <c r="J201" s="181"/>
    </row>
    <row r="202" spans="1:10" s="87" customFormat="1" x14ac:dyDescent="0.25">
      <c r="A202" s="401">
        <f>Données!A203</f>
        <v>5732</v>
      </c>
      <c r="B202" s="405" t="str">
        <f>Données!B203</f>
        <v>Vich</v>
      </c>
      <c r="C202" s="403">
        <f>VPI!Q203</f>
        <v>63</v>
      </c>
      <c r="D202" s="408">
        <f>Données!Z203</f>
        <v>1157</v>
      </c>
      <c r="E202" s="179">
        <f>VPI!R203</f>
        <v>86531.798253968242</v>
      </c>
      <c r="F202" s="316">
        <f>'Péréquation directe'!K209</f>
        <v>1482424.3133255143</v>
      </c>
      <c r="G202" s="329">
        <f>PCS!I209</f>
        <v>1769335.5162759984</v>
      </c>
      <c r="H202" s="345">
        <f>'Facture policière'!L203</f>
        <v>208401.59878353216</v>
      </c>
      <c r="I202" s="457">
        <f t="shared" si="3"/>
        <v>3460161.4283850449</v>
      </c>
      <c r="J202" s="181"/>
    </row>
    <row r="203" spans="1:10" s="87" customFormat="1" x14ac:dyDescent="0.25">
      <c r="A203" s="401">
        <f>Données!A204</f>
        <v>5741</v>
      </c>
      <c r="B203" s="405" t="str">
        <f>Données!B204</f>
        <v>L'Abergement</v>
      </c>
      <c r="C203" s="403">
        <f>VPI!Q204</f>
        <v>81</v>
      </c>
      <c r="D203" s="408">
        <f>Données!Z204</f>
        <v>254</v>
      </c>
      <c r="E203" s="179">
        <f>VPI!R204</f>
        <v>8987.1447119341574</v>
      </c>
      <c r="F203" s="316">
        <f>'Péréquation directe'!K210</f>
        <v>-51818.610346845555</v>
      </c>
      <c r="G203" s="329">
        <f>PCS!I210</f>
        <v>145440.56956753242</v>
      </c>
      <c r="H203" s="345">
        <f>'Facture policière'!L204</f>
        <v>27929.48377189906</v>
      </c>
      <c r="I203" s="457">
        <f t="shared" si="3"/>
        <v>121551.44299258593</v>
      </c>
      <c r="J203" s="181"/>
    </row>
    <row r="204" spans="1:10" s="87" customFormat="1" x14ac:dyDescent="0.25">
      <c r="A204" s="401">
        <f>Données!A205</f>
        <v>5742</v>
      </c>
      <c r="B204" s="405" t="str">
        <f>Données!B205</f>
        <v>Agiez</v>
      </c>
      <c r="C204" s="403">
        <f>VPI!Q205</f>
        <v>76</v>
      </c>
      <c r="D204" s="408">
        <f>Données!Z205</f>
        <v>375</v>
      </c>
      <c r="E204" s="179">
        <f>VPI!R205</f>
        <v>10159.753552631579</v>
      </c>
      <c r="F204" s="316">
        <f>'Péréquation directe'!K211</f>
        <v>-84733.203645879345</v>
      </c>
      <c r="G204" s="329">
        <f>PCS!I211</f>
        <v>131257.51825389126</v>
      </c>
      <c r="H204" s="345">
        <f>'Facture policière'!L205</f>
        <v>31183.606400958928</v>
      </c>
      <c r="I204" s="457">
        <f t="shared" si="3"/>
        <v>77707.92100897085</v>
      </c>
      <c r="J204" s="181"/>
    </row>
    <row r="205" spans="1:10" s="87" customFormat="1" x14ac:dyDescent="0.25">
      <c r="A205" s="401">
        <f>Données!A206</f>
        <v>5743</v>
      </c>
      <c r="B205" s="405" t="str">
        <f>Données!B206</f>
        <v>Arnex-sur-Orbe</v>
      </c>
      <c r="C205" s="403">
        <f>VPI!Q206</f>
        <v>71</v>
      </c>
      <c r="D205" s="408">
        <f>Données!Z206</f>
        <v>665</v>
      </c>
      <c r="E205" s="179">
        <f>VPI!R206</f>
        <v>18533.004577464792</v>
      </c>
      <c r="F205" s="316">
        <f>'Péréquation directe'!K212</f>
        <v>-97670.903346397623</v>
      </c>
      <c r="G205" s="329">
        <f>PCS!I212</f>
        <v>282508.69166413613</v>
      </c>
      <c r="H205" s="345">
        <f>'Facture policière'!L206</f>
        <v>57308.795771266821</v>
      </c>
      <c r="I205" s="457">
        <f t="shared" si="3"/>
        <v>242146.58408900534</v>
      </c>
      <c r="J205" s="181"/>
    </row>
    <row r="206" spans="1:10" s="87" customFormat="1" x14ac:dyDescent="0.25">
      <c r="A206" s="401">
        <f>Données!A207</f>
        <v>5744</v>
      </c>
      <c r="B206" s="405" t="str">
        <f>Données!B207</f>
        <v>Ballaigues</v>
      </c>
      <c r="C206" s="403">
        <f>VPI!Q207</f>
        <v>65</v>
      </c>
      <c r="D206" s="408">
        <f>Données!Z207</f>
        <v>1173</v>
      </c>
      <c r="E206" s="179">
        <f>VPI!R207</f>
        <v>49180.794769230772</v>
      </c>
      <c r="F206" s="316">
        <f>'Péréquation directe'!K213</f>
        <v>241657.78564453707</v>
      </c>
      <c r="G206" s="329">
        <f>PCS!I213</f>
        <v>1220265.1755654498</v>
      </c>
      <c r="H206" s="345">
        <f>'Facture policière'!L207</f>
        <v>152760.36123395211</v>
      </c>
      <c r="I206" s="457">
        <f t="shared" si="3"/>
        <v>1614683.3224439388</v>
      </c>
      <c r="J206" s="181"/>
    </row>
    <row r="207" spans="1:10" s="87" customFormat="1" x14ac:dyDescent="0.25">
      <c r="A207" s="401">
        <f>Données!A208</f>
        <v>5745</v>
      </c>
      <c r="B207" s="405" t="str">
        <f>Données!B208</f>
        <v>Baulmes</v>
      </c>
      <c r="C207" s="403">
        <f>VPI!Q208</f>
        <v>76.5</v>
      </c>
      <c r="D207" s="408">
        <f>Données!Z208</f>
        <v>1126</v>
      </c>
      <c r="E207" s="179">
        <f>VPI!R208</f>
        <v>28469.206405228757</v>
      </c>
      <c r="F207" s="316">
        <f>'Péréquation directe'!K214</f>
        <v>-658916.39251209446</v>
      </c>
      <c r="G207" s="329">
        <f>PCS!I214</f>
        <v>531511.23219356278</v>
      </c>
      <c r="H207" s="345">
        <f>'Facture policière'!L208</f>
        <v>88019.165686920169</v>
      </c>
      <c r="I207" s="457">
        <f t="shared" si="3"/>
        <v>-39385.994631611509</v>
      </c>
      <c r="J207" s="181"/>
    </row>
    <row r="208" spans="1:10" s="87" customFormat="1" x14ac:dyDescent="0.25">
      <c r="A208" s="401">
        <f>Données!A209</f>
        <v>5746</v>
      </c>
      <c r="B208" s="405" t="str">
        <f>Données!B209</f>
        <v>Bavois</v>
      </c>
      <c r="C208" s="403">
        <f>VPI!Q209</f>
        <v>73</v>
      </c>
      <c r="D208" s="408">
        <f>Données!Z209</f>
        <v>978</v>
      </c>
      <c r="E208" s="179">
        <f>VPI!R209</f>
        <v>27466.739977168949</v>
      </c>
      <c r="F208" s="316">
        <f>'Péréquation directe'!K215</f>
        <v>-200110.83478235698</v>
      </c>
      <c r="G208" s="329">
        <f>PCS!I215</f>
        <v>518674.46598236018</v>
      </c>
      <c r="H208" s="345">
        <f>'Facture policière'!L209</f>
        <v>83017.799266625851</v>
      </c>
      <c r="I208" s="457">
        <f t="shared" si="3"/>
        <v>401581.43046662904</v>
      </c>
      <c r="J208" s="181"/>
    </row>
    <row r="209" spans="1:10" s="87" customFormat="1" x14ac:dyDescent="0.25">
      <c r="A209" s="401">
        <f>Données!A210</f>
        <v>5747</v>
      </c>
      <c r="B209" s="405" t="str">
        <f>Données!B210</f>
        <v>Bofflens</v>
      </c>
      <c r="C209" s="403">
        <f>VPI!Q210</f>
        <v>69</v>
      </c>
      <c r="D209" s="408">
        <f>Données!Z210</f>
        <v>206</v>
      </c>
      <c r="E209" s="179">
        <f>VPI!R210</f>
        <v>5807.8631884057959</v>
      </c>
      <c r="F209" s="316">
        <f>'Péréquation directe'!K216</f>
        <v>-15402.527122783082</v>
      </c>
      <c r="G209" s="329">
        <f>PCS!I216</f>
        <v>73921.828295590822</v>
      </c>
      <c r="H209" s="345">
        <f>'Facture policière'!L210</f>
        <v>17791.062362134482</v>
      </c>
      <c r="I209" s="457">
        <f t="shared" si="3"/>
        <v>76310.363534942226</v>
      </c>
      <c r="J209" s="181"/>
    </row>
    <row r="210" spans="1:10" s="87" customFormat="1" x14ac:dyDescent="0.25">
      <c r="A210" s="401">
        <f>Données!A211</f>
        <v>5748</v>
      </c>
      <c r="B210" s="405" t="str">
        <f>Données!B211</f>
        <v>Bretonnières</v>
      </c>
      <c r="C210" s="403">
        <f>VPI!Q211</f>
        <v>70.5</v>
      </c>
      <c r="D210" s="408">
        <f>Données!Z211</f>
        <v>266</v>
      </c>
      <c r="E210" s="179">
        <f>VPI!R211</f>
        <v>6643.1211820330973</v>
      </c>
      <c r="F210" s="316">
        <f>'Péréquation directe'!K217</f>
        <v>-85163.618243439298</v>
      </c>
      <c r="G210" s="329">
        <f>PCS!I217</f>
        <v>101233.27905040931</v>
      </c>
      <c r="H210" s="345">
        <f>'Facture policière'!L211</f>
        <v>20318.878977044118</v>
      </c>
      <c r="I210" s="457">
        <f t="shared" si="3"/>
        <v>36388.539784014138</v>
      </c>
      <c r="J210" s="181"/>
    </row>
    <row r="211" spans="1:10" s="87" customFormat="1" x14ac:dyDescent="0.25">
      <c r="A211" s="401">
        <f>Données!A212</f>
        <v>5749</v>
      </c>
      <c r="B211" s="405" t="str">
        <f>Données!B212</f>
        <v>Chavornay</v>
      </c>
      <c r="C211" s="403">
        <f>VPI!Q212</f>
        <v>70.5</v>
      </c>
      <c r="D211" s="408">
        <f>Données!Z212</f>
        <v>5366</v>
      </c>
      <c r="E211" s="179">
        <f>VPI!R212</f>
        <v>153319.43815602834</v>
      </c>
      <c r="F211" s="316">
        <f>'Péréquation directe'!K218</f>
        <v>-1851484.7319870447</v>
      </c>
      <c r="G211" s="329">
        <f>PCS!I218</f>
        <v>2422668.8411779185</v>
      </c>
      <c r="H211" s="345">
        <f>'Facture policière'!L212</f>
        <v>467575.17285337136</v>
      </c>
      <c r="I211" s="457">
        <f t="shared" si="3"/>
        <v>1038759.2820442452</v>
      </c>
      <c r="J211" s="181"/>
    </row>
    <row r="212" spans="1:10" s="87" customFormat="1" x14ac:dyDescent="0.25">
      <c r="A212" s="401">
        <f>Données!A213</f>
        <v>5750</v>
      </c>
      <c r="B212" s="405" t="str">
        <f>Données!B213</f>
        <v>Les Clées</v>
      </c>
      <c r="C212" s="403">
        <f>VPI!Q213</f>
        <v>80</v>
      </c>
      <c r="D212" s="408">
        <f>Données!Z213</f>
        <v>182</v>
      </c>
      <c r="E212" s="179">
        <f>VPI!R213</f>
        <v>4819.7572916666668</v>
      </c>
      <c r="F212" s="316">
        <f>'Péréquation directe'!K219</f>
        <v>-76124.880026615239</v>
      </c>
      <c r="G212" s="329">
        <f>PCS!I219</f>
        <v>83752.269312148506</v>
      </c>
      <c r="H212" s="345">
        <f>'Facture policière'!L213</f>
        <v>14960.688533314587</v>
      </c>
      <c r="I212" s="457">
        <f t="shared" si="3"/>
        <v>22588.077818847854</v>
      </c>
      <c r="J212" s="181"/>
    </row>
    <row r="213" spans="1:10" s="87" customFormat="1" x14ac:dyDescent="0.25">
      <c r="A213" s="401">
        <f>Données!A214</f>
        <v>5752</v>
      </c>
      <c r="B213" s="405" t="str">
        <f>Données!B214</f>
        <v>Croy</v>
      </c>
      <c r="C213" s="403">
        <f>VPI!Q214</f>
        <v>74</v>
      </c>
      <c r="D213" s="408">
        <f>Données!Z214</f>
        <v>390</v>
      </c>
      <c r="E213" s="179">
        <f>VPI!R214</f>
        <v>9670.8161776061788</v>
      </c>
      <c r="F213" s="316">
        <f>'Péréquation directe'!K220</f>
        <v>-61272.345083996886</v>
      </c>
      <c r="G213" s="329">
        <f>PCS!I220</f>
        <v>141985.75747207197</v>
      </c>
      <c r="H213" s="345">
        <f>'Facture policière'!L214</f>
        <v>29510.495784644307</v>
      </c>
      <c r="I213" s="457">
        <f t="shared" si="3"/>
        <v>110223.90817271938</v>
      </c>
      <c r="J213" s="181"/>
    </row>
    <row r="214" spans="1:10" s="87" customFormat="1" x14ac:dyDescent="0.25">
      <c r="A214" s="401">
        <f>Données!A215</f>
        <v>5754</v>
      </c>
      <c r="B214" s="405" t="str">
        <f>Données!B215</f>
        <v>Juriens</v>
      </c>
      <c r="C214" s="403">
        <f>VPI!Q215</f>
        <v>79</v>
      </c>
      <c r="D214" s="408">
        <f>Données!Z215</f>
        <v>348</v>
      </c>
      <c r="E214" s="179">
        <f>VPI!R215</f>
        <v>9073.5155696202528</v>
      </c>
      <c r="F214" s="316">
        <f>'Péréquation directe'!K221</f>
        <v>-98797.875795339263</v>
      </c>
      <c r="G214" s="329">
        <f>PCS!I221</f>
        <v>180304.12466733859</v>
      </c>
      <c r="H214" s="345">
        <f>'Facture policière'!L215</f>
        <v>28112.117864690546</v>
      </c>
      <c r="I214" s="457">
        <f t="shared" si="3"/>
        <v>109618.36673668987</v>
      </c>
      <c r="J214" s="181"/>
    </row>
    <row r="215" spans="1:10" s="87" customFormat="1" x14ac:dyDescent="0.25">
      <c r="A215" s="401">
        <f>Données!A216</f>
        <v>5755</v>
      </c>
      <c r="B215" s="405" t="str">
        <f>Données!B216</f>
        <v>Lignerolle</v>
      </c>
      <c r="C215" s="403">
        <f>VPI!Q216</f>
        <v>78.5</v>
      </c>
      <c r="D215" s="408">
        <f>Données!Z216</f>
        <v>409</v>
      </c>
      <c r="E215" s="179">
        <f>VPI!R216</f>
        <v>10745.60797088262</v>
      </c>
      <c r="F215" s="316">
        <f>'Péréquation directe'!K222</f>
        <v>-354506.86157448567</v>
      </c>
      <c r="G215" s="329">
        <f>PCS!I222</f>
        <v>173091.01652818295</v>
      </c>
      <c r="H215" s="345">
        <f>'Facture policière'!L216</f>
        <v>32914.210067690809</v>
      </c>
      <c r="I215" s="457">
        <f t="shared" si="3"/>
        <v>-148501.6349786119</v>
      </c>
      <c r="J215" s="181"/>
    </row>
    <row r="216" spans="1:10" s="87" customFormat="1" x14ac:dyDescent="0.25">
      <c r="A216" s="401">
        <f>Données!A217</f>
        <v>5756</v>
      </c>
      <c r="B216" s="405" t="str">
        <f>Données!B217</f>
        <v>Montcherand</v>
      </c>
      <c r="C216" s="403">
        <f>VPI!Q217</f>
        <v>72</v>
      </c>
      <c r="D216" s="408">
        <f>Données!Z217</f>
        <v>502</v>
      </c>
      <c r="E216" s="179">
        <f>VPI!R217</f>
        <v>17738.051111111108</v>
      </c>
      <c r="F216" s="316">
        <f>'Péréquation directe'!K223</f>
        <v>111121.93126265172</v>
      </c>
      <c r="G216" s="329">
        <f>PCS!I223</f>
        <v>255184.86784178327</v>
      </c>
      <c r="H216" s="345">
        <f>'Facture policière'!L217</f>
        <v>54813.017992379682</v>
      </c>
      <c r="I216" s="457">
        <f t="shared" si="3"/>
        <v>421119.81709681469</v>
      </c>
      <c r="J216" s="181"/>
    </row>
    <row r="217" spans="1:10" s="87" customFormat="1" x14ac:dyDescent="0.25">
      <c r="A217" s="401">
        <f>Données!A218</f>
        <v>5757</v>
      </c>
      <c r="B217" s="405" t="str">
        <f>Données!B218</f>
        <v>Orbe</v>
      </c>
      <c r="C217" s="403">
        <f>VPI!Q218</f>
        <v>75.5</v>
      </c>
      <c r="D217" s="408">
        <f>Données!Z218</f>
        <v>7570</v>
      </c>
      <c r="E217" s="179">
        <f>VPI!R218</f>
        <v>216123.53284768213</v>
      </c>
      <c r="F217" s="316">
        <f>'Péréquation directe'!K224</f>
        <v>-4641328.5828185789</v>
      </c>
      <c r="G217" s="329">
        <f>PCS!I224</f>
        <v>4409747.6739591584</v>
      </c>
      <c r="H217" s="345">
        <f>'Facture policière'!L218</f>
        <v>656904.727503328</v>
      </c>
      <c r="I217" s="457">
        <f t="shared" si="3"/>
        <v>425323.81864390743</v>
      </c>
      <c r="J217" s="181"/>
    </row>
    <row r="218" spans="1:10" s="87" customFormat="1" x14ac:dyDescent="0.25">
      <c r="A218" s="401">
        <f>Données!A219</f>
        <v>5758</v>
      </c>
      <c r="B218" s="405" t="str">
        <f>Données!B219</f>
        <v>La Praz</v>
      </c>
      <c r="C218" s="403">
        <f>VPI!Q219</f>
        <v>83</v>
      </c>
      <c r="D218" s="408">
        <f>Données!Z219</f>
        <v>182</v>
      </c>
      <c r="E218" s="179">
        <f>VPI!R219</f>
        <v>4771.6656626506028</v>
      </c>
      <c r="F218" s="316">
        <f>'Péréquation directe'!K225</f>
        <v>-80249.918456341562</v>
      </c>
      <c r="G218" s="329">
        <f>PCS!I225</f>
        <v>82471.386413366257</v>
      </c>
      <c r="H218" s="345">
        <f>'Facture policière'!L219</f>
        <v>14682.803579716598</v>
      </c>
      <c r="I218" s="457">
        <f t="shared" si="3"/>
        <v>16904.271536741293</v>
      </c>
      <c r="J218" s="181"/>
    </row>
    <row r="219" spans="1:10" s="87" customFormat="1" x14ac:dyDescent="0.25">
      <c r="A219" s="401">
        <f>Données!A220</f>
        <v>5759</v>
      </c>
      <c r="B219" s="405" t="str">
        <f>Données!B220</f>
        <v>Premier</v>
      </c>
      <c r="C219" s="403">
        <f>VPI!Q220</f>
        <v>79.5</v>
      </c>
      <c r="D219" s="408">
        <f>Données!Z220</f>
        <v>232</v>
      </c>
      <c r="E219" s="179">
        <f>VPI!R220</f>
        <v>5899.9776100628924</v>
      </c>
      <c r="F219" s="316">
        <f>'Péréquation directe'!K226</f>
        <v>-120850.02383250708</v>
      </c>
      <c r="G219" s="329">
        <f>PCS!I226</f>
        <v>76233.798051924707</v>
      </c>
      <c r="H219" s="345">
        <f>'Facture policière'!L220</f>
        <v>18218.523333292254</v>
      </c>
      <c r="I219" s="457">
        <f t="shared" si="3"/>
        <v>-26397.702447290121</v>
      </c>
      <c r="J219" s="181"/>
    </row>
    <row r="220" spans="1:10" s="87" customFormat="1" x14ac:dyDescent="0.25">
      <c r="A220" s="401">
        <f>Données!A221</f>
        <v>5760</v>
      </c>
      <c r="B220" s="405" t="str">
        <f>Données!B221</f>
        <v>Rances</v>
      </c>
      <c r="C220" s="403">
        <f>VPI!Q221</f>
        <v>76.5</v>
      </c>
      <c r="D220" s="408">
        <f>Données!Z221</f>
        <v>512</v>
      </c>
      <c r="E220" s="179">
        <f>VPI!R221</f>
        <v>14480.898997821349</v>
      </c>
      <c r="F220" s="316">
        <f>'Péréquation directe'!K227</f>
        <v>-149632.93346877035</v>
      </c>
      <c r="G220" s="329">
        <f>PCS!I227</f>
        <v>240173.337336611</v>
      </c>
      <c r="H220" s="345">
        <f>'Facture policière'!L221</f>
        <v>44562.80958363734</v>
      </c>
      <c r="I220" s="457">
        <f t="shared" si="3"/>
        <v>135103.21345147799</v>
      </c>
      <c r="J220" s="181"/>
    </row>
    <row r="221" spans="1:10" s="87" customFormat="1" x14ac:dyDescent="0.25">
      <c r="A221" s="401">
        <f>Données!A222</f>
        <v>5761</v>
      </c>
      <c r="B221" s="405" t="str">
        <f>Données!B222</f>
        <v>Romainmôtier-Envy</v>
      </c>
      <c r="C221" s="403">
        <f>VPI!Q222</f>
        <v>81</v>
      </c>
      <c r="D221" s="408">
        <f>Données!Z222</f>
        <v>551</v>
      </c>
      <c r="E221" s="179">
        <f>VPI!R222</f>
        <v>12913.442693602694</v>
      </c>
      <c r="F221" s="316">
        <f>'Péréquation directe'!K228</f>
        <v>-347113.98273447738</v>
      </c>
      <c r="G221" s="329">
        <f>PCS!I228</f>
        <v>259331.819946353</v>
      </c>
      <c r="H221" s="345">
        <f>'Facture policière'!L222</f>
        <v>39397.144069626971</v>
      </c>
      <c r="I221" s="457">
        <f t="shared" si="3"/>
        <v>-48385.018718497406</v>
      </c>
      <c r="J221" s="181"/>
    </row>
    <row r="222" spans="1:10" s="87" customFormat="1" x14ac:dyDescent="0.25">
      <c r="A222" s="401">
        <f>Données!A223</f>
        <v>5762</v>
      </c>
      <c r="B222" s="405" t="str">
        <f>Données!B223</f>
        <v>Sergey</v>
      </c>
      <c r="C222" s="403">
        <f>VPI!Q223</f>
        <v>78</v>
      </c>
      <c r="D222" s="408">
        <f>Données!Z223</f>
        <v>141</v>
      </c>
      <c r="E222" s="179">
        <f>VPI!R223</f>
        <v>3849.5166666666673</v>
      </c>
      <c r="F222" s="316">
        <f>'Péréquation directe'!K229</f>
        <v>-41121.648242260941</v>
      </c>
      <c r="G222" s="329">
        <f>PCS!I229</f>
        <v>52526.011406400794</v>
      </c>
      <c r="H222" s="345">
        <f>'Facture policière'!L223</f>
        <v>11865.261679992695</v>
      </c>
      <c r="I222" s="457">
        <f t="shared" si="3"/>
        <v>23269.624844132548</v>
      </c>
      <c r="J222" s="181"/>
    </row>
    <row r="223" spans="1:10" s="87" customFormat="1" x14ac:dyDescent="0.25">
      <c r="A223" s="401">
        <f>Données!A224</f>
        <v>5763</v>
      </c>
      <c r="B223" s="405" t="str">
        <f>Données!B224</f>
        <v>Valeyres-sous-Rances</v>
      </c>
      <c r="C223" s="403">
        <f>VPI!Q224</f>
        <v>68</v>
      </c>
      <c r="D223" s="408">
        <f>Données!Z224</f>
        <v>614</v>
      </c>
      <c r="E223" s="179">
        <f>VPI!R224</f>
        <v>22662.54088235294</v>
      </c>
      <c r="F223" s="316">
        <f>'Péréquation directe'!K230</f>
        <v>161178.00951584929</v>
      </c>
      <c r="G223" s="329">
        <f>PCS!I230</f>
        <v>311245.45037044259</v>
      </c>
      <c r="H223" s="345">
        <f>'Facture policière'!L224</f>
        <v>70212.380433711296</v>
      </c>
      <c r="I223" s="457">
        <f t="shared" si="3"/>
        <v>542635.84032000322</v>
      </c>
      <c r="J223" s="181"/>
    </row>
    <row r="224" spans="1:10" s="87" customFormat="1" x14ac:dyDescent="0.25">
      <c r="A224" s="401">
        <f>Données!A225</f>
        <v>5764</v>
      </c>
      <c r="B224" s="405" t="str">
        <f>Données!B225</f>
        <v>Vallorbe</v>
      </c>
      <c r="C224" s="403">
        <f>VPI!Q225</f>
        <v>71.5</v>
      </c>
      <c r="D224" s="408">
        <f>Données!Z225</f>
        <v>3924</v>
      </c>
      <c r="E224" s="179">
        <f>VPI!R225</f>
        <v>83671.674265734255</v>
      </c>
      <c r="F224" s="316">
        <f>'Péréquation directe'!K231</f>
        <v>-4008155.2149030995</v>
      </c>
      <c r="G224" s="329">
        <f>PCS!I231</f>
        <v>1953848.5141976869</v>
      </c>
      <c r="H224" s="345">
        <f>'Facture policière'!L225</f>
        <v>255621.61544677641</v>
      </c>
      <c r="I224" s="457">
        <f t="shared" si="3"/>
        <v>-1798685.0852586362</v>
      </c>
      <c r="J224" s="181"/>
    </row>
    <row r="225" spans="1:10" s="87" customFormat="1" x14ac:dyDescent="0.25">
      <c r="A225" s="401">
        <f>Données!A226</f>
        <v>5765</v>
      </c>
      <c r="B225" s="405" t="str">
        <f>Données!B226</f>
        <v>Vaulion</v>
      </c>
      <c r="C225" s="403">
        <f>VPI!Q226</f>
        <v>81</v>
      </c>
      <c r="D225" s="408">
        <f>Données!Z226</f>
        <v>492</v>
      </c>
      <c r="E225" s="179">
        <f>VPI!R226</f>
        <v>10278.622098765432</v>
      </c>
      <c r="F225" s="316">
        <f>'Péréquation directe'!K232</f>
        <v>-346581.79823417251</v>
      </c>
      <c r="G225" s="329">
        <f>PCS!I232</f>
        <v>180420.14872282406</v>
      </c>
      <c r="H225" s="345">
        <f>'Facture policière'!L226</f>
        <v>31543.809125553009</v>
      </c>
      <c r="I225" s="457">
        <f t="shared" si="3"/>
        <v>-134617.84038579545</v>
      </c>
      <c r="J225" s="181"/>
    </row>
    <row r="226" spans="1:10" s="87" customFormat="1" x14ac:dyDescent="0.25">
      <c r="A226" s="401">
        <f>Données!A227</f>
        <v>5766</v>
      </c>
      <c r="B226" s="405" t="str">
        <f>Données!B227</f>
        <v>Vuiteboeuf</v>
      </c>
      <c r="C226" s="403">
        <f>VPI!Q227</f>
        <v>75</v>
      </c>
      <c r="D226" s="408">
        <f>Données!Z227</f>
        <v>591</v>
      </c>
      <c r="E226" s="179">
        <f>VPI!R227</f>
        <v>15553.757238095239</v>
      </c>
      <c r="F226" s="316">
        <f>'Péréquation directe'!K233</f>
        <v>-124274.86855427141</v>
      </c>
      <c r="G226" s="329">
        <f>PCS!I233</f>
        <v>249379.60653320947</v>
      </c>
      <c r="H226" s="345">
        <f>'Facture policière'!L227</f>
        <v>47906.566531586883</v>
      </c>
      <c r="I226" s="457">
        <f t="shared" si="3"/>
        <v>173011.30451052496</v>
      </c>
      <c r="J226" s="181"/>
    </row>
    <row r="227" spans="1:10" s="87" customFormat="1" x14ac:dyDescent="0.25">
      <c r="A227" s="401">
        <f>Données!A228</f>
        <v>5785</v>
      </c>
      <c r="B227" s="405" t="str">
        <f>Données!B228</f>
        <v>Corcelles-le-Jorat</v>
      </c>
      <c r="C227" s="403">
        <f>VPI!Q228</f>
        <v>77</v>
      </c>
      <c r="D227" s="408">
        <f>Données!Z228</f>
        <v>489</v>
      </c>
      <c r="E227" s="179">
        <f>VPI!R228</f>
        <v>14579.038701298701</v>
      </c>
      <c r="F227" s="316">
        <f>'Péréquation directe'!K234</f>
        <v>-53708.909008317161</v>
      </c>
      <c r="G227" s="329">
        <f>PCS!I234</f>
        <v>223058.96365355139</v>
      </c>
      <c r="H227" s="345">
        <f>'Facture policière'!L228</f>
        <v>45015.35147827625</v>
      </c>
      <c r="I227" s="457">
        <f t="shared" si="3"/>
        <v>214365.40612351047</v>
      </c>
      <c r="J227" s="181"/>
    </row>
    <row r="228" spans="1:10" s="87" customFormat="1" x14ac:dyDescent="0.25">
      <c r="A228" s="401">
        <f>Données!A229</f>
        <v>5790</v>
      </c>
      <c r="B228" s="405" t="str">
        <f>Données!B229</f>
        <v>Maracon</v>
      </c>
      <c r="C228" s="403">
        <f>VPI!Q229</f>
        <v>74.5</v>
      </c>
      <c r="D228" s="408">
        <f>Données!Z229</f>
        <v>547</v>
      </c>
      <c r="E228" s="179">
        <f>VPI!R229</f>
        <v>15171.684832214765</v>
      </c>
      <c r="F228" s="316">
        <f>'Péréquation directe'!K235</f>
        <v>-131420.0432532627</v>
      </c>
      <c r="G228" s="329">
        <f>PCS!I235</f>
        <v>225800.97967737494</v>
      </c>
      <c r="H228" s="345">
        <f>'Facture policière'!L229</f>
        <v>46229.007579699843</v>
      </c>
      <c r="I228" s="457">
        <f t="shared" si="3"/>
        <v>140609.9440038121</v>
      </c>
      <c r="J228" s="181"/>
    </row>
    <row r="229" spans="1:10" s="87" customFormat="1" x14ac:dyDescent="0.25">
      <c r="A229" s="401">
        <f>Données!A230</f>
        <v>5792</v>
      </c>
      <c r="B229" s="405" t="str">
        <f>Données!B230</f>
        <v>Montpreveyres</v>
      </c>
      <c r="C229" s="403">
        <f>VPI!Q230</f>
        <v>75.5</v>
      </c>
      <c r="D229" s="408">
        <f>Données!Z230</f>
        <v>662</v>
      </c>
      <c r="E229" s="179">
        <f>VPI!R230</f>
        <v>20162.237880794706</v>
      </c>
      <c r="F229" s="316">
        <f>'Péréquation directe'!K236</f>
        <v>-106061.18370923621</v>
      </c>
      <c r="G229" s="329">
        <f>PCS!I236</f>
        <v>343506.97182051413</v>
      </c>
      <c r="H229" s="345">
        <f>'Facture policière'!L230</f>
        <v>61766.945834036334</v>
      </c>
      <c r="I229" s="457">
        <f t="shared" si="3"/>
        <v>299212.73394531425</v>
      </c>
      <c r="J229" s="181"/>
    </row>
    <row r="230" spans="1:10" s="87" customFormat="1" x14ac:dyDescent="0.25">
      <c r="A230" s="401">
        <f>Données!A231</f>
        <v>5798</v>
      </c>
      <c r="B230" s="405" t="str">
        <f>Données!B231</f>
        <v>Ropraz</v>
      </c>
      <c r="C230" s="403">
        <f>VPI!Q231</f>
        <v>77.5</v>
      </c>
      <c r="D230" s="408">
        <f>Données!Z231</f>
        <v>534</v>
      </c>
      <c r="E230" s="179">
        <f>VPI!R231</f>
        <v>17442.468645161291</v>
      </c>
      <c r="F230" s="316">
        <f>'Péréquation directe'!K237</f>
        <v>19963.865466569318</v>
      </c>
      <c r="G230" s="329">
        <f>PCS!I237</f>
        <v>290480.97804450162</v>
      </c>
      <c r="H230" s="345">
        <f>'Facture policière'!L231</f>
        <v>53686.36869193161</v>
      </c>
      <c r="I230" s="457">
        <f t="shared" si="3"/>
        <v>364131.21220300253</v>
      </c>
      <c r="J230" s="181"/>
    </row>
    <row r="231" spans="1:10" s="87" customFormat="1" x14ac:dyDescent="0.25">
      <c r="A231" s="401">
        <f>Données!A232</f>
        <v>5799</v>
      </c>
      <c r="B231" s="405" t="str">
        <f>Données!B232</f>
        <v>Servion</v>
      </c>
      <c r="C231" s="403">
        <f>VPI!Q232</f>
        <v>69</v>
      </c>
      <c r="D231" s="408">
        <f>Données!Z232</f>
        <v>2107</v>
      </c>
      <c r="E231" s="179">
        <f>VPI!R232</f>
        <v>71741.835797101463</v>
      </c>
      <c r="F231" s="316">
        <f>'Péréquation directe'!K238</f>
        <v>-39922.435181027977</v>
      </c>
      <c r="G231" s="329">
        <f>PCS!I238</f>
        <v>1160029.7915861816</v>
      </c>
      <c r="H231" s="345">
        <f>'Facture policière'!L232</f>
        <v>218735.56102816836</v>
      </c>
      <c r="I231" s="457">
        <f t="shared" si="3"/>
        <v>1338842.9174333219</v>
      </c>
      <c r="J231" s="181"/>
    </row>
    <row r="232" spans="1:10" s="87" customFormat="1" x14ac:dyDescent="0.25">
      <c r="A232" s="401">
        <f>Données!A233</f>
        <v>5803</v>
      </c>
      <c r="B232" s="405" t="str">
        <f>Données!B233</f>
        <v>Vulliens</v>
      </c>
      <c r="C232" s="403">
        <f>VPI!Q233</f>
        <v>76</v>
      </c>
      <c r="D232" s="408">
        <f>Données!Z233</f>
        <v>631</v>
      </c>
      <c r="E232" s="179">
        <f>VPI!R233</f>
        <v>17996.04157894737</v>
      </c>
      <c r="F232" s="316">
        <f>'Péréquation directe'!K239</f>
        <v>-75852.145151898207</v>
      </c>
      <c r="G232" s="329">
        <f>PCS!I239</f>
        <v>282527.04103986936</v>
      </c>
      <c r="H232" s="345">
        <f>'Facture policière'!L233</f>
        <v>55326.131033583719</v>
      </c>
      <c r="I232" s="457">
        <f t="shared" si="3"/>
        <v>262001.02692155488</v>
      </c>
      <c r="J232" s="181"/>
    </row>
    <row r="233" spans="1:10" s="87" customFormat="1" x14ac:dyDescent="0.25">
      <c r="A233" s="401">
        <f>Données!A234</f>
        <v>5804</v>
      </c>
      <c r="B233" s="405" t="str">
        <f>Données!B234</f>
        <v>Jorat-Menthue</v>
      </c>
      <c r="C233" s="403">
        <f>VPI!Q234</f>
        <v>70.5</v>
      </c>
      <c r="D233" s="408">
        <f>Données!Z234</f>
        <v>1603</v>
      </c>
      <c r="E233" s="179">
        <f>VPI!R234</f>
        <v>46853.078156028365</v>
      </c>
      <c r="F233" s="316">
        <f>'Péréquation directe'!K240</f>
        <v>-570366.19169226696</v>
      </c>
      <c r="G233" s="329">
        <f>PCS!I240</f>
        <v>680670.81006519753</v>
      </c>
      <c r="H233" s="345">
        <f>'Facture policière'!L234</f>
        <v>143239.57668701609</v>
      </c>
      <c r="I233" s="457">
        <f t="shared" si="3"/>
        <v>253544.19505994665</v>
      </c>
      <c r="J233" s="181"/>
    </row>
    <row r="234" spans="1:10" s="87" customFormat="1" x14ac:dyDescent="0.25">
      <c r="A234" s="401">
        <f>Données!A235</f>
        <v>5805</v>
      </c>
      <c r="B234" s="405" t="str">
        <f>Données!B235</f>
        <v>Oron</v>
      </c>
      <c r="C234" s="403">
        <f>VPI!Q235</f>
        <v>69.19</v>
      </c>
      <c r="D234" s="408">
        <f>Données!Z235</f>
        <v>6100</v>
      </c>
      <c r="E234" s="179">
        <f>VPI!R235</f>
        <v>175444.22906111775</v>
      </c>
      <c r="F234" s="316">
        <f>'Péréquation directe'!K241</f>
        <v>-2393155.5008758963</v>
      </c>
      <c r="G234" s="329">
        <f>PCS!I241</f>
        <v>2561862.7988433857</v>
      </c>
      <c r="H234" s="345">
        <f>'Facture policière'!L235</f>
        <v>532902.31668594922</v>
      </c>
      <c r="I234" s="457">
        <f t="shared" si="3"/>
        <v>701609.61465343856</v>
      </c>
      <c r="J234" s="181"/>
    </row>
    <row r="235" spans="1:10" s="87" customFormat="1" x14ac:dyDescent="0.25">
      <c r="A235" s="401">
        <f>Données!A236</f>
        <v>5806</v>
      </c>
      <c r="B235" s="405" t="str">
        <f>Données!B236</f>
        <v>Jorat-Mézières</v>
      </c>
      <c r="C235" s="403">
        <f>VPI!Q236</f>
        <v>73</v>
      </c>
      <c r="D235" s="408">
        <f>Données!Z236</f>
        <v>3095</v>
      </c>
      <c r="E235" s="179">
        <f>VPI!R236</f>
        <v>102069.34178082191</v>
      </c>
      <c r="F235" s="316">
        <f>'Péréquation directe'!K242</f>
        <v>-328121.44505386148</v>
      </c>
      <c r="G235" s="329">
        <f>PCS!I242</f>
        <v>1791074.6635852938</v>
      </c>
      <c r="H235" s="345">
        <f>'Facture policière'!L236</f>
        <v>313999.88119048486</v>
      </c>
      <c r="I235" s="457">
        <f t="shared" si="3"/>
        <v>1776953.0997219172</v>
      </c>
      <c r="J235" s="181"/>
    </row>
    <row r="236" spans="1:10" s="87" customFormat="1" x14ac:dyDescent="0.25">
      <c r="A236" s="401">
        <f>Données!A237</f>
        <v>5812</v>
      </c>
      <c r="B236" s="405" t="str">
        <f>Données!B237</f>
        <v>Champtauroz</v>
      </c>
      <c r="C236" s="403">
        <f>VPI!Q237</f>
        <v>77</v>
      </c>
      <c r="D236" s="408">
        <f>Données!Z237</f>
        <v>169</v>
      </c>
      <c r="E236" s="179">
        <f>VPI!R237</f>
        <v>3351.3333766233759</v>
      </c>
      <c r="F236" s="316">
        <f>'Péréquation directe'!K243</f>
        <v>-90009.807400711768</v>
      </c>
      <c r="G236" s="329">
        <f>PCS!I243</f>
        <v>49656.72745539801</v>
      </c>
      <c r="H236" s="345">
        <f>'Facture policière'!L237</f>
        <v>10299.88144622869</v>
      </c>
      <c r="I236" s="457">
        <f t="shared" si="3"/>
        <v>-30053.198499085069</v>
      </c>
      <c r="J236" s="181"/>
    </row>
    <row r="237" spans="1:10" s="87" customFormat="1" x14ac:dyDescent="0.25">
      <c r="A237" s="401">
        <f>Données!A238</f>
        <v>5813</v>
      </c>
      <c r="B237" s="405" t="str">
        <f>Données!B238</f>
        <v>Chevroux</v>
      </c>
      <c r="C237" s="403">
        <f>VPI!Q238</f>
        <v>68.5</v>
      </c>
      <c r="D237" s="408">
        <f>Données!Z238</f>
        <v>506</v>
      </c>
      <c r="E237" s="179">
        <f>VPI!R238</f>
        <v>15275.291313868614</v>
      </c>
      <c r="F237" s="316">
        <f>'Péréquation directe'!K244</f>
        <v>-283555.77906541486</v>
      </c>
      <c r="G237" s="329">
        <f>PCS!I244</f>
        <v>270111.51636788249</v>
      </c>
      <c r="H237" s="345">
        <f>'Facture policière'!L238</f>
        <v>46401.431960590286</v>
      </c>
      <c r="I237" s="457">
        <f t="shared" si="3"/>
        <v>32957.16926305792</v>
      </c>
      <c r="J237" s="181"/>
    </row>
    <row r="238" spans="1:10" s="87" customFormat="1" x14ac:dyDescent="0.25">
      <c r="A238" s="401">
        <f>Données!A239</f>
        <v>5816</v>
      </c>
      <c r="B238" s="405" t="str">
        <f>Données!B239</f>
        <v>Corcelles-près-Payerne</v>
      </c>
      <c r="C238" s="403">
        <f>VPI!Q239</f>
        <v>68.5</v>
      </c>
      <c r="D238" s="408">
        <f>Données!Z239</f>
        <v>2722</v>
      </c>
      <c r="E238" s="179">
        <f>VPI!R239</f>
        <v>65640.914577685078</v>
      </c>
      <c r="F238" s="316">
        <f>'Péréquation directe'!K245</f>
        <v>-1078088.6747237588</v>
      </c>
      <c r="G238" s="329">
        <f>PCS!I245</f>
        <v>969008.35063929367</v>
      </c>
      <c r="H238" s="345">
        <f>'Facture policière'!L239</f>
        <v>199628.19891884999</v>
      </c>
      <c r="I238" s="457">
        <f t="shared" si="3"/>
        <v>90547.874834384827</v>
      </c>
      <c r="J238" s="181"/>
    </row>
    <row r="239" spans="1:10" s="87" customFormat="1" x14ac:dyDescent="0.25">
      <c r="A239" s="401">
        <f>Données!A240</f>
        <v>5817</v>
      </c>
      <c r="B239" s="405" t="str">
        <f>Données!B240</f>
        <v>Grandcour</v>
      </c>
      <c r="C239" s="403">
        <f>VPI!Q240</f>
        <v>73.5</v>
      </c>
      <c r="D239" s="408">
        <f>Données!Z240</f>
        <v>987</v>
      </c>
      <c r="E239" s="179">
        <f>VPI!R240</f>
        <v>24621.518775510202</v>
      </c>
      <c r="F239" s="316">
        <f>'Péréquation directe'!K246</f>
        <v>-300440.26871419483</v>
      </c>
      <c r="G239" s="329">
        <f>PCS!I246</f>
        <v>335493.04363135609</v>
      </c>
      <c r="H239" s="345">
        <f>'Facture policière'!L240</f>
        <v>75604.130687555356</v>
      </c>
      <c r="I239" s="457">
        <f t="shared" si="3"/>
        <v>110656.90560471662</v>
      </c>
      <c r="J239" s="181"/>
    </row>
    <row r="240" spans="1:10" s="87" customFormat="1" x14ac:dyDescent="0.25">
      <c r="A240" s="401">
        <f>Données!A241</f>
        <v>5819</v>
      </c>
      <c r="B240" s="405" t="str">
        <f>Données!B241</f>
        <v>Henniez</v>
      </c>
      <c r="C240" s="403">
        <f>VPI!Q241</f>
        <v>69</v>
      </c>
      <c r="D240" s="408">
        <f>Données!Z241</f>
        <v>407</v>
      </c>
      <c r="E240" s="179">
        <f>VPI!R241</f>
        <v>10100.670434782607</v>
      </c>
      <c r="F240" s="316">
        <f>'Péréquation directe'!K247</f>
        <v>-169288.76716851167</v>
      </c>
      <c r="G240" s="329">
        <f>PCS!I247</f>
        <v>161427.47405314824</v>
      </c>
      <c r="H240" s="345">
        <f>'Facture policière'!L241</f>
        <v>29853.878733354883</v>
      </c>
      <c r="I240" s="457">
        <f t="shared" si="3"/>
        <v>21992.585617991455</v>
      </c>
      <c r="J240" s="181"/>
    </row>
    <row r="241" spans="1:10" s="87" customFormat="1" x14ac:dyDescent="0.25">
      <c r="A241" s="401">
        <f>Données!A242</f>
        <v>5821</v>
      </c>
      <c r="B241" s="405" t="str">
        <f>Données!B242</f>
        <v>Missy</v>
      </c>
      <c r="C241" s="403">
        <f>VPI!Q242</f>
        <v>72</v>
      </c>
      <c r="D241" s="408">
        <f>Données!Z242</f>
        <v>366</v>
      </c>
      <c r="E241" s="179">
        <f>VPI!R242</f>
        <v>8044.3988888888889</v>
      </c>
      <c r="F241" s="316">
        <f>'Péréquation directe'!K248</f>
        <v>-115903.27929838846</v>
      </c>
      <c r="G241" s="329">
        <f>PCS!I248</f>
        <v>114430.68157897716</v>
      </c>
      <c r="H241" s="345">
        <f>'Facture policière'!L242</f>
        <v>24384.440852777243</v>
      </c>
      <c r="I241" s="457">
        <f t="shared" si="3"/>
        <v>22911.84313336595</v>
      </c>
      <c r="J241" s="181"/>
    </row>
    <row r="242" spans="1:10" s="87" customFormat="1" x14ac:dyDescent="0.25">
      <c r="A242" s="401">
        <f>Données!A243</f>
        <v>5822</v>
      </c>
      <c r="B242" s="405" t="str">
        <f>Données!B243</f>
        <v>Payerne</v>
      </c>
      <c r="C242" s="403">
        <f>VPI!Q243</f>
        <v>73</v>
      </c>
      <c r="D242" s="408">
        <f>Données!Z243</f>
        <v>10258</v>
      </c>
      <c r="E242" s="179">
        <f>VPI!R243</f>
        <v>239936.5750684932</v>
      </c>
      <c r="F242" s="316">
        <f>'Péréquation directe'!K249</f>
        <v>-7727068.789490331</v>
      </c>
      <c r="G242" s="329">
        <f>PCS!I249</f>
        <v>4186783.8893533442</v>
      </c>
      <c r="H242" s="345">
        <f>'Facture policière'!L243</f>
        <v>726210.86823412497</v>
      </c>
      <c r="I242" s="457">
        <f t="shared" si="3"/>
        <v>-2814074.0319028618</v>
      </c>
      <c r="J242" s="181"/>
    </row>
    <row r="243" spans="1:10" s="87" customFormat="1" x14ac:dyDescent="0.25">
      <c r="A243" s="401">
        <f>Données!A244</f>
        <v>5827</v>
      </c>
      <c r="B243" s="405" t="str">
        <f>Données!B244</f>
        <v>Trey</v>
      </c>
      <c r="C243" s="403">
        <f>VPI!Q244</f>
        <v>78</v>
      </c>
      <c r="D243" s="408">
        <f>Données!Z244</f>
        <v>321</v>
      </c>
      <c r="E243" s="179">
        <f>VPI!R244</f>
        <v>7747.1149999999998</v>
      </c>
      <c r="F243" s="316">
        <f>'Péréquation directe'!K250</f>
        <v>-111816.51295670352</v>
      </c>
      <c r="G243" s="329">
        <f>PCS!I250</f>
        <v>156054.63922201883</v>
      </c>
      <c r="H243" s="345">
        <f>'Facture policière'!L244</f>
        <v>23838.606248106185</v>
      </c>
      <c r="I243" s="457">
        <f t="shared" si="3"/>
        <v>68076.732513421492</v>
      </c>
      <c r="J243" s="181"/>
    </row>
    <row r="244" spans="1:10" s="87" customFormat="1" x14ac:dyDescent="0.25">
      <c r="A244" s="401">
        <f>Données!A245</f>
        <v>5828</v>
      </c>
      <c r="B244" s="405" t="str">
        <f>Données!B245</f>
        <v>Treytorrens (Payerne)</v>
      </c>
      <c r="C244" s="403">
        <f>VPI!Q245</f>
        <v>82.5</v>
      </c>
      <c r="D244" s="408">
        <f>Données!Z245</f>
        <v>110</v>
      </c>
      <c r="E244" s="179">
        <f>VPI!R245</f>
        <v>2899.2098989898991</v>
      </c>
      <c r="F244" s="316">
        <f>'Péréquation directe'!K251</f>
        <v>-45403.471216835351</v>
      </c>
      <c r="G244" s="329">
        <f>PCS!I251</f>
        <v>43647.598914216585</v>
      </c>
      <c r="H244" s="345">
        <f>'Facture policière'!L245</f>
        <v>8950.8561851211616</v>
      </c>
      <c r="I244" s="457">
        <f t="shared" si="3"/>
        <v>7194.9838825023962</v>
      </c>
      <c r="J244" s="181"/>
    </row>
    <row r="245" spans="1:10" s="87" customFormat="1" x14ac:dyDescent="0.25">
      <c r="A245" s="401">
        <f>Données!A246</f>
        <v>5830</v>
      </c>
      <c r="B245" s="405" t="str">
        <f>Données!B246</f>
        <v>Villarzel</v>
      </c>
      <c r="C245" s="403">
        <f>VPI!Q246</f>
        <v>75</v>
      </c>
      <c r="D245" s="408">
        <f>Données!Z246</f>
        <v>500</v>
      </c>
      <c r="E245" s="179">
        <f>VPI!R246</f>
        <v>12409.471600000001</v>
      </c>
      <c r="F245" s="316">
        <f>'Péréquation directe'!K252</f>
        <v>-215934.7628770828</v>
      </c>
      <c r="G245" s="329">
        <f>PCS!I252</f>
        <v>222266.0596393611</v>
      </c>
      <c r="H245" s="345">
        <f>'Facture policière'!L246</f>
        <v>38384.474067718256</v>
      </c>
      <c r="I245" s="457">
        <f t="shared" si="3"/>
        <v>44715.77082999656</v>
      </c>
      <c r="J245" s="181"/>
    </row>
    <row r="246" spans="1:10" s="87" customFormat="1" x14ac:dyDescent="0.25">
      <c r="A246" s="401">
        <f>Données!A247</f>
        <v>5831</v>
      </c>
      <c r="B246" s="405" t="str">
        <f>Données!B247</f>
        <v>Valbroye</v>
      </c>
      <c r="C246" s="403">
        <f>VPI!Q247</f>
        <v>70.5</v>
      </c>
      <c r="D246" s="408">
        <f>Données!Z247</f>
        <v>3349</v>
      </c>
      <c r="E246" s="179">
        <f>VPI!R247</f>
        <v>81061.421607565018</v>
      </c>
      <c r="F246" s="316">
        <f>'Péréquation directe'!K253</f>
        <v>-2018761.8243944873</v>
      </c>
      <c r="G246" s="329">
        <f>PCS!I253</f>
        <v>1461524.4661836002</v>
      </c>
      <c r="H246" s="345">
        <f>'Facture policière'!L247</f>
        <v>246605.27875409415</v>
      </c>
      <c r="I246" s="457">
        <f t="shared" si="3"/>
        <v>-310632.07945679291</v>
      </c>
      <c r="J246" s="181"/>
    </row>
    <row r="247" spans="1:10" s="87" customFormat="1" x14ac:dyDescent="0.25">
      <c r="A247" s="401">
        <f>Données!A248</f>
        <v>5841</v>
      </c>
      <c r="B247" s="405" t="str">
        <f>Données!B248</f>
        <v>Château-d'Oex</v>
      </c>
      <c r="C247" s="403">
        <f>VPI!Q248</f>
        <v>81.5</v>
      </c>
      <c r="D247" s="408">
        <f>Données!Z248</f>
        <v>3549</v>
      </c>
      <c r="E247" s="179">
        <f>VPI!R248</f>
        <v>110850.82306748466</v>
      </c>
      <c r="F247" s="316">
        <f>'Péréquation directe'!K254</f>
        <v>-2974464.1222294006</v>
      </c>
      <c r="G247" s="329">
        <f>PCS!I254</f>
        <v>2301853.3438852439</v>
      </c>
      <c r="H247" s="345">
        <f>'Facture policière'!L248</f>
        <v>331855.35206262412</v>
      </c>
      <c r="I247" s="457">
        <f t="shared" si="3"/>
        <v>-340755.42628153256</v>
      </c>
      <c r="J247" s="181"/>
    </row>
    <row r="248" spans="1:10" s="87" customFormat="1" x14ac:dyDescent="0.25">
      <c r="A248" s="401">
        <f>Données!A249</f>
        <v>5842</v>
      </c>
      <c r="B248" s="405" t="str">
        <f>Données!B249</f>
        <v>Rossinière</v>
      </c>
      <c r="C248" s="403">
        <f>VPI!Q249</f>
        <v>81</v>
      </c>
      <c r="D248" s="408">
        <f>Données!Z249</f>
        <v>534</v>
      </c>
      <c r="E248" s="179">
        <f>VPI!R249</f>
        <v>14941.466090534977</v>
      </c>
      <c r="F248" s="316">
        <f>'Péréquation directe'!K255</f>
        <v>-396554.21806992788</v>
      </c>
      <c r="G248" s="329">
        <f>PCS!I255</f>
        <v>233289.39243676543</v>
      </c>
      <c r="H248" s="345">
        <f>'Facture policière'!L249</f>
        <v>45810.356764366385</v>
      </c>
      <c r="I248" s="457">
        <f t="shared" si="3"/>
        <v>-117454.46886879607</v>
      </c>
      <c r="J248" s="181"/>
    </row>
    <row r="249" spans="1:10" s="87" customFormat="1" x14ac:dyDescent="0.25">
      <c r="A249" s="401">
        <f>Données!A250</f>
        <v>5843</v>
      </c>
      <c r="B249" s="405" t="str">
        <f>Données!B250</f>
        <v>Rougemont</v>
      </c>
      <c r="C249" s="403">
        <f>VPI!Q250</f>
        <v>74</v>
      </c>
      <c r="D249" s="408">
        <f>Données!Z250</f>
        <v>862</v>
      </c>
      <c r="E249" s="179">
        <f>VPI!R250</f>
        <v>97082.778783783782</v>
      </c>
      <c r="F249" s="316">
        <f>'Péréquation directe'!K256</f>
        <v>1760351.3723426193</v>
      </c>
      <c r="G249" s="329">
        <f>PCS!I256</f>
        <v>3937660.1961858952</v>
      </c>
      <c r="H249" s="345">
        <f>'Facture policière'!L250</f>
        <v>195236.06393539478</v>
      </c>
      <c r="I249" s="457">
        <f t="shared" si="3"/>
        <v>5893247.6324639088</v>
      </c>
      <c r="J249" s="181"/>
    </row>
    <row r="250" spans="1:10" s="87" customFormat="1" x14ac:dyDescent="0.25">
      <c r="A250" s="401">
        <f>Données!A251</f>
        <v>5851</v>
      </c>
      <c r="B250" s="405" t="str">
        <f>Données!B251</f>
        <v>Allaman</v>
      </c>
      <c r="C250" s="403">
        <f>VPI!Q251</f>
        <v>60</v>
      </c>
      <c r="D250" s="408">
        <f>Données!Z251</f>
        <v>430</v>
      </c>
      <c r="E250" s="179">
        <f>VPI!R251</f>
        <v>24871.551151515156</v>
      </c>
      <c r="F250" s="316">
        <f>'Péréquation directe'!K257</f>
        <v>406496.08350971102</v>
      </c>
      <c r="G250" s="329">
        <f>PCS!I257</f>
        <v>421441.63681910693</v>
      </c>
      <c r="H250" s="345">
        <f>'Facture policière'!L251</f>
        <v>68520.624761903571</v>
      </c>
      <c r="I250" s="457">
        <f t="shared" si="3"/>
        <v>896458.3450907215</v>
      </c>
      <c r="J250" s="181"/>
    </row>
    <row r="251" spans="1:10" s="87" customFormat="1" x14ac:dyDescent="0.25">
      <c r="A251" s="401">
        <f>Données!A252</f>
        <v>5852</v>
      </c>
      <c r="B251" s="405" t="str">
        <f>Données!B252</f>
        <v>Bursinel</v>
      </c>
      <c r="C251" s="403">
        <f>VPI!Q252</f>
        <v>62</v>
      </c>
      <c r="D251" s="408">
        <f>Données!Z252</f>
        <v>515</v>
      </c>
      <c r="E251" s="179">
        <f>VPI!R252</f>
        <v>34636.180913978496</v>
      </c>
      <c r="F251" s="316">
        <f>'Péréquation directe'!K258</f>
        <v>601271.84929187922</v>
      </c>
      <c r="G251" s="329">
        <f>PCS!I258</f>
        <v>764833.56828180421</v>
      </c>
      <c r="H251" s="345">
        <f>'Facture policière'!L252</f>
        <v>88007.139023368116</v>
      </c>
      <c r="I251" s="457">
        <f t="shared" si="3"/>
        <v>1454112.5565970514</v>
      </c>
      <c r="J251" s="181"/>
    </row>
    <row r="252" spans="1:10" s="87" customFormat="1" x14ac:dyDescent="0.25">
      <c r="A252" s="401">
        <f>Données!A253</f>
        <v>5853</v>
      </c>
      <c r="B252" s="405" t="str">
        <f>Données!B253</f>
        <v>Bursins</v>
      </c>
      <c r="C252" s="403">
        <f>VPI!Q253</f>
        <v>71</v>
      </c>
      <c r="D252" s="408">
        <f>Données!Z253</f>
        <v>773</v>
      </c>
      <c r="E252" s="179">
        <f>VPI!R253</f>
        <v>44484.29464788732</v>
      </c>
      <c r="F252" s="316">
        <f>'Péréquation directe'!K259</f>
        <v>750692.87711079326</v>
      </c>
      <c r="G252" s="329">
        <f>PCS!I259</f>
        <v>956323.74019361963</v>
      </c>
      <c r="H252" s="345">
        <f>'Facture policière'!L253</f>
        <v>122899.99169004557</v>
      </c>
      <c r="I252" s="457">
        <f t="shared" si="3"/>
        <v>1829916.6089944583</v>
      </c>
      <c r="J252" s="181"/>
    </row>
    <row r="253" spans="1:10" s="87" customFormat="1" x14ac:dyDescent="0.25">
      <c r="A253" s="401">
        <f>Données!A254</f>
        <v>5854</v>
      </c>
      <c r="B253" s="405" t="str">
        <f>Données!B254</f>
        <v>Burtigny</v>
      </c>
      <c r="C253" s="403">
        <f>VPI!Q254</f>
        <v>80</v>
      </c>
      <c r="D253" s="408">
        <f>Données!Z254</f>
        <v>416</v>
      </c>
      <c r="E253" s="179">
        <f>VPI!R254</f>
        <v>15255.605208333331</v>
      </c>
      <c r="F253" s="316">
        <f>'Péréquation directe'!K260</f>
        <v>40237.190121784108</v>
      </c>
      <c r="G253" s="329">
        <f>PCS!I260</f>
        <v>229051.80659945004</v>
      </c>
      <c r="H253" s="345">
        <f>'Facture policière'!L254</f>
        <v>47246.677012282737</v>
      </c>
      <c r="I253" s="457">
        <f t="shared" si="3"/>
        <v>316535.67373351689</v>
      </c>
      <c r="J253" s="181"/>
    </row>
    <row r="254" spans="1:10" s="87" customFormat="1" x14ac:dyDescent="0.25">
      <c r="A254" s="401">
        <f>Données!A255</f>
        <v>5855</v>
      </c>
      <c r="B254" s="405" t="str">
        <f>Données!B255</f>
        <v>Dully</v>
      </c>
      <c r="C254" s="403">
        <f>VPI!Q255</f>
        <v>49</v>
      </c>
      <c r="D254" s="408">
        <f>Données!Z255</f>
        <v>634</v>
      </c>
      <c r="E254" s="179">
        <f>VPI!R255</f>
        <v>93677.895510204093</v>
      </c>
      <c r="F254" s="316">
        <f>'Péréquation directe'!K261</f>
        <v>1724129.2438680988</v>
      </c>
      <c r="G254" s="329">
        <f>PCS!I261</f>
        <v>2833305.9292807733</v>
      </c>
      <c r="H254" s="345">
        <f>'Facture policière'!L255</f>
        <v>170893.69114594522</v>
      </c>
      <c r="I254" s="457">
        <f t="shared" si="3"/>
        <v>4728328.8642948177</v>
      </c>
      <c r="J254" s="181"/>
    </row>
    <row r="255" spans="1:10" s="87" customFormat="1" x14ac:dyDescent="0.25">
      <c r="A255" s="401">
        <f>Données!A256</f>
        <v>5856</v>
      </c>
      <c r="B255" s="405" t="str">
        <f>Données!B256</f>
        <v>Essertines-sur-Rolle</v>
      </c>
      <c r="C255" s="403">
        <f>VPI!Q256</f>
        <v>66.5</v>
      </c>
      <c r="D255" s="408">
        <f>Données!Z256</f>
        <v>753</v>
      </c>
      <c r="E255" s="179">
        <f>VPI!R256</f>
        <v>42059.84630422209</v>
      </c>
      <c r="F255" s="316">
        <f>'Péréquation directe'!K262</f>
        <v>713678.16468356922</v>
      </c>
      <c r="G255" s="329">
        <f>PCS!I262</f>
        <v>848229.23121430178</v>
      </c>
      <c r="H255" s="345">
        <f>'Facture policière'!L256</f>
        <v>118159.41942579669</v>
      </c>
      <c r="I255" s="457">
        <f t="shared" si="3"/>
        <v>1680066.8153236676</v>
      </c>
      <c r="J255" s="181"/>
    </row>
    <row r="256" spans="1:10" s="87" customFormat="1" x14ac:dyDescent="0.25">
      <c r="A256" s="401">
        <f>Données!A257</f>
        <v>5857</v>
      </c>
      <c r="B256" s="405" t="str">
        <f>Données!B257</f>
        <v>Gilly</v>
      </c>
      <c r="C256" s="403">
        <f>VPI!Q257</f>
        <v>64.5</v>
      </c>
      <c r="D256" s="408">
        <f>Données!Z257</f>
        <v>1438</v>
      </c>
      <c r="E256" s="179">
        <f>VPI!R257</f>
        <v>88865.056589147294</v>
      </c>
      <c r="F256" s="316">
        <f>'Péréquation directe'!K263</f>
        <v>1425888.8716300852</v>
      </c>
      <c r="G256" s="329">
        <f>PCS!I263</f>
        <v>1670941.1488937777</v>
      </c>
      <c r="H256" s="345">
        <f>'Facture policière'!L257</f>
        <v>236119.14048949513</v>
      </c>
      <c r="I256" s="457">
        <f t="shared" si="3"/>
        <v>3332949.1610133583</v>
      </c>
      <c r="J256" s="181"/>
    </row>
    <row r="257" spans="1:10" s="87" customFormat="1" x14ac:dyDescent="0.25">
      <c r="A257" s="401">
        <f>Données!A258</f>
        <v>5858</v>
      </c>
      <c r="B257" s="405" t="str">
        <f>Données!B258</f>
        <v>Luins</v>
      </c>
      <c r="C257" s="403">
        <f>VPI!Q258</f>
        <v>58.5</v>
      </c>
      <c r="D257" s="408">
        <f>Données!Z258</f>
        <v>630</v>
      </c>
      <c r="E257" s="179">
        <f>VPI!R258</f>
        <v>38252.553447293445</v>
      </c>
      <c r="F257" s="316">
        <f>'Péréquation directe'!K264</f>
        <v>656150.814332054</v>
      </c>
      <c r="G257" s="329">
        <f>PCS!I264</f>
        <v>645899.4336912951</v>
      </c>
      <c r="H257" s="345">
        <f>'Facture policière'!L258</f>
        <v>102612.43626358578</v>
      </c>
      <c r="I257" s="457">
        <f t="shared" si="3"/>
        <v>1404662.6842869348</v>
      </c>
      <c r="J257" s="181"/>
    </row>
    <row r="258" spans="1:10" s="87" customFormat="1" x14ac:dyDescent="0.25">
      <c r="A258" s="401">
        <f>Données!A259</f>
        <v>5859</v>
      </c>
      <c r="B258" s="405" t="str">
        <f>Données!B259</f>
        <v>Mont-sur-Rolle</v>
      </c>
      <c r="C258" s="403">
        <f>VPI!Q259</f>
        <v>63.5</v>
      </c>
      <c r="D258" s="408">
        <f>Données!Z259</f>
        <v>2739</v>
      </c>
      <c r="E258" s="179">
        <f>VPI!R259</f>
        <v>160904.56204724411</v>
      </c>
      <c r="F258" s="316">
        <f>'Péréquation directe'!K265</f>
        <v>2344663.5181369772</v>
      </c>
      <c r="G258" s="329">
        <f>PCS!I265</f>
        <v>3312026.0109268888</v>
      </c>
      <c r="H258" s="345">
        <f>'Facture policière'!L259</f>
        <v>439498.08960375242</v>
      </c>
      <c r="I258" s="457">
        <f t="shared" si="3"/>
        <v>6096187.6186676184</v>
      </c>
      <c r="J258" s="181"/>
    </row>
    <row r="259" spans="1:10" s="87" customFormat="1" x14ac:dyDescent="0.25">
      <c r="A259" s="401">
        <f>Données!A260</f>
        <v>5860</v>
      </c>
      <c r="B259" s="405" t="str">
        <f>Données!B260</f>
        <v>Perroy</v>
      </c>
      <c r="C259" s="403">
        <f>VPI!Q260</f>
        <v>58.5</v>
      </c>
      <c r="D259" s="408">
        <f>Données!Z260</f>
        <v>1514</v>
      </c>
      <c r="E259" s="179">
        <f>VPI!R260</f>
        <v>124238.0950558843</v>
      </c>
      <c r="F259" s="316">
        <f>'Péréquation directe'!K266</f>
        <v>2080357.0209759763</v>
      </c>
      <c r="G259" s="329">
        <f>PCS!I266</f>
        <v>3001520.867550618</v>
      </c>
      <c r="H259" s="345">
        <f>'Facture policière'!L260</f>
        <v>286194.28202683514</v>
      </c>
      <c r="I259" s="457">
        <f t="shared" si="3"/>
        <v>5368072.1705534291</v>
      </c>
      <c r="J259" s="181"/>
    </row>
    <row r="260" spans="1:10" s="87" customFormat="1" x14ac:dyDescent="0.25">
      <c r="A260" s="401">
        <f>Données!A261</f>
        <v>5861</v>
      </c>
      <c r="B260" s="405" t="str">
        <f>Données!B261</f>
        <v>Rolle</v>
      </c>
      <c r="C260" s="403">
        <f>VPI!Q261</f>
        <v>59.5</v>
      </c>
      <c r="D260" s="408">
        <f>Données!Z261</f>
        <v>6291</v>
      </c>
      <c r="E260" s="179">
        <f>VPI!R261</f>
        <v>872601.81815126061</v>
      </c>
      <c r="F260" s="316">
        <f>'Péréquation directe'!K267</f>
        <v>14138803.798109893</v>
      </c>
      <c r="G260" s="329">
        <f>PCS!I267</f>
        <v>26180814.215301841</v>
      </c>
      <c r="H260" s="345">
        <f>'Facture policière'!L261</f>
        <v>1625948.9406142095</v>
      </c>
      <c r="I260" s="457">
        <f t="shared" si="3"/>
        <v>41945566.954025939</v>
      </c>
      <c r="J260" s="181"/>
    </row>
    <row r="261" spans="1:10" s="87" customFormat="1" x14ac:dyDescent="0.25">
      <c r="A261" s="401">
        <f>Données!A262</f>
        <v>5862</v>
      </c>
      <c r="B261" s="405" t="str">
        <f>Données!B262</f>
        <v>Tartegnin</v>
      </c>
      <c r="C261" s="403">
        <f>VPI!Q262</f>
        <v>79</v>
      </c>
      <c r="D261" s="408">
        <f>Données!Z262</f>
        <v>241</v>
      </c>
      <c r="E261" s="179">
        <f>VPI!R262</f>
        <v>7890.9322784810111</v>
      </c>
      <c r="F261" s="316">
        <f>'Péréquation directe'!K268</f>
        <v>29753.464069259629</v>
      </c>
      <c r="G261" s="329">
        <f>PCS!I268</f>
        <v>118224.47277195574</v>
      </c>
      <c r="H261" s="345">
        <f>'Facture policière'!L262</f>
        <v>24180.835346454493</v>
      </c>
      <c r="I261" s="457">
        <f t="shared" si="3"/>
        <v>172158.77218766985</v>
      </c>
      <c r="J261" s="181"/>
    </row>
    <row r="262" spans="1:10" s="87" customFormat="1" x14ac:dyDescent="0.25">
      <c r="A262" s="401">
        <f>Données!A263</f>
        <v>5863</v>
      </c>
      <c r="B262" s="405" t="str">
        <f>Données!B263</f>
        <v>Vinzel</v>
      </c>
      <c r="C262" s="403">
        <f>VPI!Q263</f>
        <v>67</v>
      </c>
      <c r="D262" s="408">
        <f>Données!Z263</f>
        <v>369</v>
      </c>
      <c r="E262" s="179">
        <f>VPI!R263</f>
        <v>21422.979701492532</v>
      </c>
      <c r="F262" s="316">
        <f>'Péréquation directe'!K269</f>
        <v>365384.14149827173</v>
      </c>
      <c r="G262" s="329">
        <f>PCS!I269</f>
        <v>428036.87843637058</v>
      </c>
      <c r="H262" s="345">
        <f>'Facture policière'!L263</f>
        <v>58897.957165640481</v>
      </c>
      <c r="I262" s="457">
        <f t="shared" ref="I262:I304" si="4">SUM(F262:H262)</f>
        <v>852318.97710028279</v>
      </c>
      <c r="J262" s="181"/>
    </row>
    <row r="263" spans="1:10" s="87" customFormat="1" x14ac:dyDescent="0.25">
      <c r="A263" s="401">
        <f>Données!A264</f>
        <v>5871</v>
      </c>
      <c r="B263" s="405" t="str">
        <f>Données!B264</f>
        <v>L'Abbaye</v>
      </c>
      <c r="C263" s="403">
        <f>VPI!Q264</f>
        <v>77.650000000000006</v>
      </c>
      <c r="D263" s="408">
        <f>Données!Z264</f>
        <v>1521</v>
      </c>
      <c r="E263" s="179">
        <f>VPI!R264</f>
        <v>52131.58544752092</v>
      </c>
      <c r="F263" s="316">
        <f>'Péréquation directe'!K270</f>
        <v>-229315.35488185822</v>
      </c>
      <c r="G263" s="329">
        <f>PCS!I270</f>
        <v>1147874.983284181</v>
      </c>
      <c r="H263" s="345">
        <f>'Facture policière'!L264</f>
        <v>160989.13624952454</v>
      </c>
      <c r="I263" s="457">
        <f t="shared" si="4"/>
        <v>1079548.7646518473</v>
      </c>
      <c r="J263" s="181"/>
    </row>
    <row r="264" spans="1:10" s="87" customFormat="1" x14ac:dyDescent="0.25">
      <c r="A264" s="401">
        <f>Données!A265</f>
        <v>5872</v>
      </c>
      <c r="B264" s="405" t="str">
        <f>Données!B265</f>
        <v>Le Chenit</v>
      </c>
      <c r="C264" s="403">
        <f>VPI!Q265</f>
        <v>66.989999999999995</v>
      </c>
      <c r="D264" s="408">
        <f>Données!Z265</f>
        <v>4569</v>
      </c>
      <c r="E264" s="179">
        <f>VPI!R265</f>
        <v>198940.06926406932</v>
      </c>
      <c r="F264" s="316">
        <f>'Péréquation directe'!K271</f>
        <v>97008.648478407878</v>
      </c>
      <c r="G264" s="329">
        <f>PCS!I271</f>
        <v>5389877.3161661765</v>
      </c>
      <c r="H264" s="345">
        <f>'Facture policière'!L265</f>
        <v>616800.53128233063</v>
      </c>
      <c r="I264" s="457">
        <f t="shared" si="4"/>
        <v>6103686.4959269157</v>
      </c>
      <c r="J264" s="181"/>
    </row>
    <row r="265" spans="1:10" s="87" customFormat="1" x14ac:dyDescent="0.25">
      <c r="A265" s="401">
        <f>Données!A266</f>
        <v>5873</v>
      </c>
      <c r="B265" s="405" t="str">
        <f>Données!B266</f>
        <v>Le Lieu</v>
      </c>
      <c r="C265" s="403">
        <f>VPI!Q266</f>
        <v>70</v>
      </c>
      <c r="D265" s="408">
        <f>Données!Z266</f>
        <v>881</v>
      </c>
      <c r="E265" s="179">
        <f>VPI!R266</f>
        <v>31463.219535714288</v>
      </c>
      <c r="F265" s="316">
        <f>'Péréquation directe'!K272</f>
        <v>-421301.19241071458</v>
      </c>
      <c r="G265" s="329">
        <f>PCS!I272</f>
        <v>772414.46003883705</v>
      </c>
      <c r="H265" s="345">
        <f>'Facture policière'!L266</f>
        <v>97237.6443584238</v>
      </c>
      <c r="I265" s="457">
        <f t="shared" si="4"/>
        <v>448350.91198654624</v>
      </c>
      <c r="J265" s="181"/>
    </row>
    <row r="266" spans="1:10" s="87" customFormat="1" x14ac:dyDescent="0.25">
      <c r="A266" s="401">
        <f>Données!A267</f>
        <v>5882</v>
      </c>
      <c r="B266" s="405" t="str">
        <f>Données!B267</f>
        <v>Chardonne</v>
      </c>
      <c r="C266" s="403">
        <f>VPI!Q267</f>
        <v>68</v>
      </c>
      <c r="D266" s="408">
        <f>Données!Z267</f>
        <v>3078</v>
      </c>
      <c r="E266" s="179">
        <f>VPI!R267</f>
        <v>186940.3105882353</v>
      </c>
      <c r="F266" s="316">
        <f>'Péréquation directe'!K273</f>
        <v>2395629.160006715</v>
      </c>
      <c r="G266" s="329">
        <f>PCS!I273</f>
        <v>3710925.5519850962</v>
      </c>
      <c r="H266" s="345">
        <f>'Facture policière'!L267</f>
        <v>229107.65449226188</v>
      </c>
      <c r="I266" s="457">
        <f t="shared" si="4"/>
        <v>6335662.366484073</v>
      </c>
      <c r="J266" s="181"/>
    </row>
    <row r="267" spans="1:10" s="87" customFormat="1" x14ac:dyDescent="0.25">
      <c r="A267" s="401">
        <f>Données!A268</f>
        <v>5883</v>
      </c>
      <c r="B267" s="405" t="str">
        <f>Données!B268</f>
        <v>Corseaux</v>
      </c>
      <c r="C267" s="403">
        <f>VPI!Q268</f>
        <v>67.5</v>
      </c>
      <c r="D267" s="408">
        <f>Données!Z268</f>
        <v>2330</v>
      </c>
      <c r="E267" s="179">
        <f>VPI!R268</f>
        <v>193091.18148148147</v>
      </c>
      <c r="F267" s="316">
        <f>'Péréquation directe'!K274</f>
        <v>3112918.3951981254</v>
      </c>
      <c r="G267" s="329">
        <f>PCS!I274</f>
        <v>5674413.7569019049</v>
      </c>
      <c r="H267" s="345">
        <f>'Facture policière'!L268</f>
        <v>236645.95160432969</v>
      </c>
      <c r="I267" s="457">
        <f t="shared" si="4"/>
        <v>9023978.1037043594</v>
      </c>
      <c r="J267" s="181"/>
    </row>
    <row r="268" spans="1:10" s="87" customFormat="1" x14ac:dyDescent="0.25">
      <c r="A268" s="401">
        <f>Données!A269</f>
        <v>5884</v>
      </c>
      <c r="B268" s="405" t="str">
        <f>Données!B269</f>
        <v>Corsier-sur-Vevey</v>
      </c>
      <c r="C268" s="403">
        <f>VPI!Q269</f>
        <v>64.5</v>
      </c>
      <c r="D268" s="408">
        <f>Données!Z269</f>
        <v>3390</v>
      </c>
      <c r="E268" s="179">
        <f>VPI!R269</f>
        <v>148804.11322997417</v>
      </c>
      <c r="F268" s="316">
        <f>'Péréquation directe'!K275</f>
        <v>223326.48249507556</v>
      </c>
      <c r="G268" s="329">
        <f>PCS!I275</f>
        <v>2446552.1817200901</v>
      </c>
      <c r="H268" s="345">
        <f>'Facture policière'!L269</f>
        <v>182369.23461635597</v>
      </c>
      <c r="I268" s="457">
        <f t="shared" si="4"/>
        <v>2852247.8988315216</v>
      </c>
      <c r="J268" s="181"/>
    </row>
    <row r="269" spans="1:10" s="87" customFormat="1" x14ac:dyDescent="0.25">
      <c r="A269" s="401">
        <f>Données!A270</f>
        <v>5885</v>
      </c>
      <c r="B269" s="405" t="str">
        <f>Données!B270</f>
        <v>Jongny</v>
      </c>
      <c r="C269" s="403">
        <f>VPI!Q270</f>
        <v>69.5</v>
      </c>
      <c r="D269" s="408">
        <f>Données!Z270</f>
        <v>1805</v>
      </c>
      <c r="E269" s="179">
        <f>VPI!R270</f>
        <v>97074.6993764988</v>
      </c>
      <c r="F269" s="316">
        <f>'Péréquation directe'!K276</f>
        <v>1375908.8085637577</v>
      </c>
      <c r="G269" s="329">
        <f>PCS!I276</f>
        <v>1960560.3193560885</v>
      </c>
      <c r="H269" s="345">
        <f>'Facture policière'!L270</f>
        <v>118971.4332596746</v>
      </c>
      <c r="I269" s="457">
        <f t="shared" si="4"/>
        <v>3455440.561179521</v>
      </c>
      <c r="J269" s="181"/>
    </row>
    <row r="270" spans="1:10" s="87" customFormat="1" x14ac:dyDescent="0.25">
      <c r="A270" s="401">
        <f>Données!A271</f>
        <v>5886</v>
      </c>
      <c r="B270" s="405" t="str">
        <f>Données!B271</f>
        <v>Montreux</v>
      </c>
      <c r="C270" s="403">
        <f>VPI!Q271</f>
        <v>65</v>
      </c>
      <c r="D270" s="408">
        <f>Données!Z271</f>
        <v>26012</v>
      </c>
      <c r="E270" s="179">
        <f>VPI!R271</f>
        <v>1173967.402</v>
      </c>
      <c r="F270" s="316">
        <f>'Péréquation directe'!K277</f>
        <v>-7083334.0201716945</v>
      </c>
      <c r="G270" s="329">
        <f>PCS!I277</f>
        <v>26938435.073930092</v>
      </c>
      <c r="H270" s="345">
        <f>'Facture policière'!L271</f>
        <v>1438774.3182637091</v>
      </c>
      <c r="I270" s="457">
        <f t="shared" si="4"/>
        <v>21293875.372022107</v>
      </c>
      <c r="J270" s="181"/>
    </row>
    <row r="271" spans="1:10" s="87" customFormat="1" x14ac:dyDescent="0.25">
      <c r="A271" s="401">
        <f>Données!A272</f>
        <v>5889</v>
      </c>
      <c r="B271" s="405" t="str">
        <f>Données!B272</f>
        <v>La Tour-de-Peilz</v>
      </c>
      <c r="C271" s="403">
        <f>VPI!Q272</f>
        <v>64</v>
      </c>
      <c r="D271" s="408">
        <f>Données!Z272</f>
        <v>12222</v>
      </c>
      <c r="E271" s="179">
        <f>VPI!R272</f>
        <v>740088.65473958338</v>
      </c>
      <c r="F271" s="316">
        <f>'Péréquation directe'!K278</f>
        <v>6880458.0825280342</v>
      </c>
      <c r="G271" s="329">
        <f>PCS!I278</f>
        <v>13596739.884234596</v>
      </c>
      <c r="H271" s="345">
        <f>'Facture policière'!L272</f>
        <v>907027.35686152359</v>
      </c>
      <c r="I271" s="457">
        <f t="shared" si="4"/>
        <v>21384225.323624156</v>
      </c>
      <c r="J271" s="181"/>
    </row>
    <row r="272" spans="1:10" s="87" customFormat="1" x14ac:dyDescent="0.25">
      <c r="A272" s="401">
        <f>Données!A273</f>
        <v>5890</v>
      </c>
      <c r="B272" s="405" t="str">
        <f>Données!B273</f>
        <v>Vevey</v>
      </c>
      <c r="C272" s="403">
        <f>VPI!Q273</f>
        <v>74.5</v>
      </c>
      <c r="D272" s="408">
        <f>Données!Z273</f>
        <v>19721</v>
      </c>
      <c r="E272" s="179">
        <f>VPI!R273</f>
        <v>968892.58791946329</v>
      </c>
      <c r="F272" s="316">
        <f>'Péréquation directe'!K279</f>
        <v>-189907.29863455892</v>
      </c>
      <c r="G272" s="329">
        <f>PCS!I279</f>
        <v>15998284.058411624</v>
      </c>
      <c r="H272" s="345">
        <f>'Facture policière'!L273</f>
        <v>1187441.6361814677</v>
      </c>
      <c r="I272" s="457">
        <f t="shared" si="4"/>
        <v>16995818.395958532</v>
      </c>
      <c r="J272" s="181"/>
    </row>
    <row r="273" spans="1:10" s="87" customFormat="1" x14ac:dyDescent="0.25">
      <c r="A273" s="401">
        <f>Données!A274</f>
        <v>5891</v>
      </c>
      <c r="B273" s="405" t="str">
        <f>Données!B274</f>
        <v>Veytaux</v>
      </c>
      <c r="C273" s="403">
        <f>VPI!Q274</f>
        <v>69.5</v>
      </c>
      <c r="D273" s="408">
        <f>Données!Z274</f>
        <v>952</v>
      </c>
      <c r="E273" s="179">
        <f>VPI!R274</f>
        <v>39118.814388489205</v>
      </c>
      <c r="F273" s="316">
        <f>'Péréquation directe'!K280</f>
        <v>-75541.392666209373</v>
      </c>
      <c r="G273" s="329">
        <f>PCS!I280</f>
        <v>627587.95986469497</v>
      </c>
      <c r="H273" s="345">
        <f>'Facture policière'!L274</f>
        <v>47942.681719439373</v>
      </c>
      <c r="I273" s="457">
        <f t="shared" si="4"/>
        <v>599989.24891792494</v>
      </c>
      <c r="J273" s="181"/>
    </row>
    <row r="274" spans="1:10" s="87" customFormat="1" x14ac:dyDescent="0.25">
      <c r="A274" s="401">
        <f>Données!A275</f>
        <v>5892</v>
      </c>
      <c r="B274" s="405" t="str">
        <f>Données!B275</f>
        <v>Blonay-St-Légier</v>
      </c>
      <c r="C274" s="403">
        <f>VPI!Q275</f>
        <v>68.5</v>
      </c>
      <c r="D274" s="408">
        <f>Données!Z275</f>
        <v>11925</v>
      </c>
      <c r="E274" s="179">
        <f>VPI!R275</f>
        <v>705287.87938951538</v>
      </c>
      <c r="F274" s="316">
        <f>'Péréquation directe'!K281</f>
        <v>3966902.4355019294</v>
      </c>
      <c r="G274" s="329">
        <f>PCS!I281</f>
        <v>14750967.12440414</v>
      </c>
      <c r="H274" s="345">
        <f>'Facture policière'!L275</f>
        <v>864376.71618441341</v>
      </c>
      <c r="I274" s="457">
        <f t="shared" si="4"/>
        <v>19582246.276090484</v>
      </c>
      <c r="J274" s="181"/>
    </row>
    <row r="275" spans="1:10" s="87" customFormat="1" x14ac:dyDescent="0.25">
      <c r="A275" s="401">
        <f>Données!A276</f>
        <v>5902</v>
      </c>
      <c r="B275" s="405" t="str">
        <f>Données!B276</f>
        <v>Belmont-sur-Yverdon</v>
      </c>
      <c r="C275" s="403">
        <f>VPI!Q276</f>
        <v>70</v>
      </c>
      <c r="D275" s="408">
        <f>Données!Z276</f>
        <v>415</v>
      </c>
      <c r="E275" s="179">
        <f>VPI!R276</f>
        <v>12109.044285714286</v>
      </c>
      <c r="F275" s="316">
        <f>'Péréquation directe'!K282</f>
        <v>-87946.073060294177</v>
      </c>
      <c r="G275" s="329">
        <f>PCS!I282</f>
        <v>185133.91096278638</v>
      </c>
      <c r="H275" s="345">
        <f>'Facture policière'!L276</f>
        <v>37350.332182715683</v>
      </c>
      <c r="I275" s="457">
        <f t="shared" si="4"/>
        <v>134538.17008520788</v>
      </c>
      <c r="J275" s="181"/>
    </row>
    <row r="276" spans="1:10" s="87" customFormat="1" x14ac:dyDescent="0.25">
      <c r="A276" s="401">
        <f>Données!A277</f>
        <v>5903</v>
      </c>
      <c r="B276" s="405" t="str">
        <f>Données!B277</f>
        <v>Bioley-Magnoux</v>
      </c>
      <c r="C276" s="403">
        <f>VPI!Q277</f>
        <v>72</v>
      </c>
      <c r="D276" s="408">
        <f>Données!Z277</f>
        <v>234</v>
      </c>
      <c r="E276" s="179">
        <f>VPI!R277</f>
        <v>6062.5298015873022</v>
      </c>
      <c r="F276" s="316">
        <f>'Péréquation directe'!K283</f>
        <v>-172974.92867519081</v>
      </c>
      <c r="G276" s="329">
        <f>PCS!I283</f>
        <v>87734.844306973668</v>
      </c>
      <c r="H276" s="345">
        <f>'Facture policière'!L277</f>
        <v>18479.67817877559</v>
      </c>
      <c r="I276" s="457">
        <f t="shared" si="4"/>
        <v>-66760.40618944155</v>
      </c>
      <c r="J276" s="181"/>
    </row>
    <row r="277" spans="1:10" s="87" customFormat="1" x14ac:dyDescent="0.25">
      <c r="A277" s="401">
        <f>Données!A278</f>
        <v>5904</v>
      </c>
      <c r="B277" s="405" t="str">
        <f>Données!B278</f>
        <v>Chamblon</v>
      </c>
      <c r="C277" s="403">
        <f>VPI!Q278</f>
        <v>66</v>
      </c>
      <c r="D277" s="408">
        <f>Données!Z278</f>
        <v>561</v>
      </c>
      <c r="E277" s="179">
        <f>VPI!R278</f>
        <v>22177.284545454542</v>
      </c>
      <c r="F277" s="316">
        <f>'Péréquation directe'!K284</f>
        <v>273137.76431282016</v>
      </c>
      <c r="G277" s="329">
        <f>PCS!I284</f>
        <v>314635.10684835131</v>
      </c>
      <c r="H277" s="345">
        <f>'Facture policière'!L278</f>
        <v>27179.721854684558</v>
      </c>
      <c r="I277" s="457">
        <f t="shared" si="4"/>
        <v>614952.59301585599</v>
      </c>
      <c r="J277" s="181"/>
    </row>
    <row r="278" spans="1:10" s="87" customFormat="1" x14ac:dyDescent="0.25">
      <c r="A278" s="401">
        <f>Données!A279</f>
        <v>5905</v>
      </c>
      <c r="B278" s="405" t="str">
        <f>Données!B279</f>
        <v>Champvent</v>
      </c>
      <c r="C278" s="403">
        <f>VPI!Q279</f>
        <v>70</v>
      </c>
      <c r="D278" s="408">
        <f>Données!Z279</f>
        <v>712</v>
      </c>
      <c r="E278" s="179">
        <f>VPI!R279</f>
        <v>23290.369714285716</v>
      </c>
      <c r="F278" s="316">
        <f>'Péréquation directe'!K285</f>
        <v>121822.90794091171</v>
      </c>
      <c r="G278" s="329">
        <f>PCS!I285</f>
        <v>470468.32272509404</v>
      </c>
      <c r="H278" s="345">
        <f>'Facture policière'!L279</f>
        <v>71956.461846251594</v>
      </c>
      <c r="I278" s="457">
        <f t="shared" si="4"/>
        <v>664247.69251225737</v>
      </c>
      <c r="J278" s="181"/>
    </row>
    <row r="279" spans="1:10" s="87" customFormat="1" x14ac:dyDescent="0.25">
      <c r="A279" s="401">
        <f>Données!A280</f>
        <v>5907</v>
      </c>
      <c r="B279" s="405" t="str">
        <f>Données!B280</f>
        <v>Chavannes-le-Chêne</v>
      </c>
      <c r="C279" s="403">
        <f>VPI!Q280</f>
        <v>75</v>
      </c>
      <c r="D279" s="408">
        <f>Données!Z280</f>
        <v>325</v>
      </c>
      <c r="E279" s="179">
        <f>VPI!R280</f>
        <v>7818.3101333333334</v>
      </c>
      <c r="F279" s="316">
        <f>'Péréquation directe'!K286</f>
        <v>-133728.87847877631</v>
      </c>
      <c r="G279" s="329">
        <f>PCS!I286</f>
        <v>111978.41678332245</v>
      </c>
      <c r="H279" s="345">
        <f>'Facture policière'!L280</f>
        <v>23868.435246785433</v>
      </c>
      <c r="I279" s="457">
        <f t="shared" si="4"/>
        <v>2117.9735513315682</v>
      </c>
      <c r="J279" s="181"/>
    </row>
    <row r="280" spans="1:10" s="87" customFormat="1" x14ac:dyDescent="0.25">
      <c r="A280" s="401">
        <f>Données!A281</f>
        <v>5908</v>
      </c>
      <c r="B280" s="405" t="str">
        <f>Données!B281</f>
        <v>Chêne-Pâquier</v>
      </c>
      <c r="C280" s="403">
        <f>VPI!Q281</f>
        <v>79</v>
      </c>
      <c r="D280" s="408">
        <f>Données!Z281</f>
        <v>153</v>
      </c>
      <c r="E280" s="179">
        <f>VPI!R281</f>
        <v>4413.4270886075947</v>
      </c>
      <c r="F280" s="316">
        <f>'Péréquation directe'!K287</f>
        <v>-35499.78561861167</v>
      </c>
      <c r="G280" s="329">
        <f>PCS!I287</f>
        <v>63470.312013710813</v>
      </c>
      <c r="H280" s="345">
        <f>'Facture policière'!L281</f>
        <v>13635.538793717555</v>
      </c>
      <c r="I280" s="457">
        <f t="shared" si="4"/>
        <v>41606.065188816698</v>
      </c>
      <c r="J280" s="181"/>
    </row>
    <row r="281" spans="1:10" s="87" customFormat="1" x14ac:dyDescent="0.25">
      <c r="A281" s="401">
        <f>Données!A282</f>
        <v>5909</v>
      </c>
      <c r="B281" s="405" t="str">
        <f>Données!B282</f>
        <v>Cheseaux-Noréaz</v>
      </c>
      <c r="C281" s="403">
        <f>VPI!Q282</f>
        <v>67</v>
      </c>
      <c r="D281" s="408">
        <f>Données!Z282</f>
        <v>728</v>
      </c>
      <c r="E281" s="179">
        <f>VPI!R282</f>
        <v>36912.898208955223</v>
      </c>
      <c r="F281" s="316">
        <f>'Péréquation directe'!K288</f>
        <v>574947.09812503308</v>
      </c>
      <c r="G281" s="329">
        <f>PCS!I288</f>
        <v>630625.89032091259</v>
      </c>
      <c r="H281" s="345">
        <f>'Facture policière'!L282</f>
        <v>45239.186254446991</v>
      </c>
      <c r="I281" s="457">
        <f t="shared" si="4"/>
        <v>1250812.1747003926</v>
      </c>
      <c r="J281" s="181"/>
    </row>
    <row r="282" spans="1:10" s="87" customFormat="1" x14ac:dyDescent="0.25">
      <c r="A282" s="401">
        <f>Données!A283</f>
        <v>5910</v>
      </c>
      <c r="B282" s="405" t="str">
        <f>Données!B283</f>
        <v>Cronay</v>
      </c>
      <c r="C282" s="403">
        <f>VPI!Q283</f>
        <v>77</v>
      </c>
      <c r="D282" s="408">
        <f>Données!Z283</f>
        <v>403</v>
      </c>
      <c r="E282" s="179">
        <f>VPI!R283</f>
        <v>10599.974415584415</v>
      </c>
      <c r="F282" s="316">
        <f>'Péréquation directe'!K289</f>
        <v>-105383.92047777021</v>
      </c>
      <c r="G282" s="329">
        <f>PCS!I289</f>
        <v>163466.58714637897</v>
      </c>
      <c r="H282" s="345">
        <f>'Facture policière'!L283</f>
        <v>32548.889162862495</v>
      </c>
      <c r="I282" s="457">
        <f t="shared" si="4"/>
        <v>90631.555831471254</v>
      </c>
      <c r="J282" s="181"/>
    </row>
    <row r="283" spans="1:10" s="87" customFormat="1" x14ac:dyDescent="0.25">
      <c r="A283" s="401">
        <f>Données!A284</f>
        <v>5911</v>
      </c>
      <c r="B283" s="405" t="str">
        <f>Données!B284</f>
        <v>Cuarny</v>
      </c>
      <c r="C283" s="403">
        <f>VPI!Q284</f>
        <v>77</v>
      </c>
      <c r="D283" s="408">
        <f>Données!Z284</f>
        <v>245</v>
      </c>
      <c r="E283" s="179">
        <f>VPI!R284</f>
        <v>7503.6479220779238</v>
      </c>
      <c r="F283" s="316">
        <f>'Péréquation directe'!K290</f>
        <v>-11980.344306679617</v>
      </c>
      <c r="G283" s="329">
        <f>PCS!I290</f>
        <v>119522.80602826066</v>
      </c>
      <c r="H283" s="345">
        <f>'Facture policière'!L284</f>
        <v>23179.988162976078</v>
      </c>
      <c r="I283" s="457">
        <f t="shared" si="4"/>
        <v>130722.44988455712</v>
      </c>
      <c r="J283" s="181"/>
    </row>
    <row r="284" spans="1:10" s="87" customFormat="1" x14ac:dyDescent="0.25">
      <c r="A284" s="401">
        <f>Données!A285</f>
        <v>5912</v>
      </c>
      <c r="B284" s="405" t="str">
        <f>Données!B285</f>
        <v>Démoret</v>
      </c>
      <c r="C284" s="403">
        <f>VPI!Q285</f>
        <v>81</v>
      </c>
      <c r="D284" s="408">
        <f>Données!Z285</f>
        <v>164</v>
      </c>
      <c r="E284" s="179">
        <f>VPI!R285</f>
        <v>4722.3875308641973</v>
      </c>
      <c r="F284" s="316">
        <f>'Péréquation directe'!K291</f>
        <v>-30761.229989805739</v>
      </c>
      <c r="G284" s="329">
        <f>PCS!I291</f>
        <v>76818.198772999662</v>
      </c>
      <c r="H284" s="345">
        <f>'Facture policière'!L285</f>
        <v>14670.463152610391</v>
      </c>
      <c r="I284" s="457">
        <f t="shared" si="4"/>
        <v>60727.431935804314</v>
      </c>
      <c r="J284" s="181"/>
    </row>
    <row r="285" spans="1:10" s="87" customFormat="1" x14ac:dyDescent="0.25">
      <c r="A285" s="401">
        <f>Données!A286</f>
        <v>5913</v>
      </c>
      <c r="B285" s="405" t="str">
        <f>Données!B286</f>
        <v>Donneloye</v>
      </c>
      <c r="C285" s="403">
        <f>VPI!Q286</f>
        <v>73</v>
      </c>
      <c r="D285" s="408">
        <f>Données!Z286</f>
        <v>891</v>
      </c>
      <c r="E285" s="179">
        <f>VPI!R286</f>
        <v>23893.15821917808</v>
      </c>
      <c r="F285" s="316">
        <f>'Péréquation directe'!K292</f>
        <v>-81737.84333856561</v>
      </c>
      <c r="G285" s="329">
        <f>PCS!I292</f>
        <v>383774.79404285207</v>
      </c>
      <c r="H285" s="345">
        <f>'Facture policière'!L286</f>
        <v>73690.643455088852</v>
      </c>
      <c r="I285" s="457">
        <f t="shared" si="4"/>
        <v>375727.59415937529</v>
      </c>
      <c r="J285" s="181"/>
    </row>
    <row r="286" spans="1:10" s="87" customFormat="1" x14ac:dyDescent="0.25">
      <c r="A286" s="401">
        <f>Données!A287</f>
        <v>5914</v>
      </c>
      <c r="B286" s="405" t="str">
        <f>Données!B287</f>
        <v>Ependes</v>
      </c>
      <c r="C286" s="403">
        <f>VPI!Q287</f>
        <v>73.5</v>
      </c>
      <c r="D286" s="408">
        <f>Données!Z287</f>
        <v>381</v>
      </c>
      <c r="E286" s="179">
        <f>VPI!R287</f>
        <v>9828.5374149659856</v>
      </c>
      <c r="F286" s="316">
        <f>'Péréquation directe'!K293</f>
        <v>-101246.79016743173</v>
      </c>
      <c r="G286" s="329">
        <f>PCS!I293</f>
        <v>188775.80125879406</v>
      </c>
      <c r="H286" s="345">
        <f>'Facture policière'!L287</f>
        <v>12045.519487726837</v>
      </c>
      <c r="I286" s="457">
        <f t="shared" si="4"/>
        <v>99574.530579089173</v>
      </c>
      <c r="J286" s="181"/>
    </row>
    <row r="287" spans="1:10" s="87" customFormat="1" x14ac:dyDescent="0.25">
      <c r="A287" s="401">
        <f>Données!A288</f>
        <v>5919</v>
      </c>
      <c r="B287" s="405" t="str">
        <f>Données!B288</f>
        <v>Mathod</v>
      </c>
      <c r="C287" s="403">
        <f>VPI!Q288</f>
        <v>72</v>
      </c>
      <c r="D287" s="408">
        <f>Données!Z288</f>
        <v>655</v>
      </c>
      <c r="E287" s="179">
        <f>VPI!R288</f>
        <v>18684.230416666669</v>
      </c>
      <c r="F287" s="316">
        <f>'Péréquation directe'!K294</f>
        <v>-128794.36483204644</v>
      </c>
      <c r="G287" s="329">
        <f>PCS!I294</f>
        <v>285017.71493567474</v>
      </c>
      <c r="H287" s="345">
        <f>'Facture policière'!L288</f>
        <v>22898.754117213251</v>
      </c>
      <c r="I287" s="457">
        <f t="shared" si="4"/>
        <v>179122.10422084155</v>
      </c>
      <c r="J287" s="181"/>
    </row>
    <row r="288" spans="1:10" s="87" customFormat="1" x14ac:dyDescent="0.25">
      <c r="A288" s="401">
        <f>Données!A289</f>
        <v>5921</v>
      </c>
      <c r="B288" s="405" t="str">
        <f>Données!B289</f>
        <v>Molondin</v>
      </c>
      <c r="C288" s="403">
        <f>VPI!Q289</f>
        <v>81</v>
      </c>
      <c r="D288" s="408">
        <f>Données!Z289</f>
        <v>239</v>
      </c>
      <c r="E288" s="179">
        <f>VPI!R289</f>
        <v>5874.5211111111121</v>
      </c>
      <c r="F288" s="316">
        <f>'Péréquation directe'!K295</f>
        <v>-100602.81169686031</v>
      </c>
      <c r="G288" s="329">
        <f>PCS!I295</f>
        <v>79137.307979918987</v>
      </c>
      <c r="H288" s="345">
        <f>'Facture policière'!L289</f>
        <v>18063.776709968541</v>
      </c>
      <c r="I288" s="457">
        <f t="shared" si="4"/>
        <v>-3401.7270069727856</v>
      </c>
      <c r="J288" s="181"/>
    </row>
    <row r="289" spans="1:10" s="87" customFormat="1" x14ac:dyDescent="0.25">
      <c r="A289" s="401">
        <f>Données!A290</f>
        <v>5922</v>
      </c>
      <c r="B289" s="405" t="str">
        <f>Données!B290</f>
        <v>Montagny-près-Yverdon</v>
      </c>
      <c r="C289" s="403">
        <f>VPI!Q290</f>
        <v>64.5</v>
      </c>
      <c r="D289" s="408">
        <f>Données!Z290</f>
        <v>775</v>
      </c>
      <c r="E289" s="179">
        <f>VPI!R290</f>
        <v>39591.156899224814</v>
      </c>
      <c r="F289" s="316">
        <f>'Péréquation directe'!K296</f>
        <v>514733.21755584143</v>
      </c>
      <c r="G289" s="329">
        <f>PCS!I296</f>
        <v>810485.43736695719</v>
      </c>
      <c r="H289" s="345">
        <f>'Facture policière'!L290</f>
        <v>116607.28855455323</v>
      </c>
      <c r="I289" s="457">
        <f t="shared" si="4"/>
        <v>1441825.9434773519</v>
      </c>
      <c r="J289" s="181"/>
    </row>
    <row r="290" spans="1:10" s="87" customFormat="1" x14ac:dyDescent="0.25">
      <c r="A290" s="401">
        <f>Données!A291</f>
        <v>5923</v>
      </c>
      <c r="B290" s="405" t="str">
        <f>Données!B291</f>
        <v>Oppens</v>
      </c>
      <c r="C290" s="403">
        <f>VPI!Q291</f>
        <v>81</v>
      </c>
      <c r="D290" s="408">
        <f>Données!Z291</f>
        <v>201</v>
      </c>
      <c r="E290" s="179">
        <f>VPI!R291</f>
        <v>5096.0285185185185</v>
      </c>
      <c r="F290" s="316">
        <f>'Péréquation directe'!K297</f>
        <v>-83679.874068450226</v>
      </c>
      <c r="G290" s="329">
        <f>PCS!I297</f>
        <v>99433.443930396068</v>
      </c>
      <c r="H290" s="345">
        <f>'Facture policière'!L291</f>
        <v>15785.639589756354</v>
      </c>
      <c r="I290" s="457">
        <f t="shared" si="4"/>
        <v>31539.209451702198</v>
      </c>
      <c r="J290" s="181"/>
    </row>
    <row r="291" spans="1:10" s="87" customFormat="1" x14ac:dyDescent="0.25">
      <c r="A291" s="401">
        <f>Données!A292</f>
        <v>5924</v>
      </c>
      <c r="B291" s="405" t="str">
        <f>Données!B292</f>
        <v>Orges</v>
      </c>
      <c r="C291" s="403">
        <f>VPI!Q292</f>
        <v>74</v>
      </c>
      <c r="D291" s="408">
        <f>Données!Z292</f>
        <v>367</v>
      </c>
      <c r="E291" s="179">
        <f>VPI!R292</f>
        <v>13109.277432432435</v>
      </c>
      <c r="F291" s="316">
        <f>'Péréquation directe'!K298</f>
        <v>77846.348638773576</v>
      </c>
      <c r="G291" s="329">
        <f>PCS!I298</f>
        <v>213142.7967355203</v>
      </c>
      <c r="H291" s="345">
        <f>'Facture policière'!L292</f>
        <v>40713.060145715586</v>
      </c>
      <c r="I291" s="457">
        <f t="shared" si="4"/>
        <v>331702.20552000951</v>
      </c>
      <c r="J291" s="181"/>
    </row>
    <row r="292" spans="1:10" s="87" customFormat="1" x14ac:dyDescent="0.25">
      <c r="A292" s="401">
        <f>Données!A293</f>
        <v>5925</v>
      </c>
      <c r="B292" s="405" t="str">
        <f>Données!B293</f>
        <v>Orzens</v>
      </c>
      <c r="C292" s="403">
        <f>VPI!Q293</f>
        <v>79</v>
      </c>
      <c r="D292" s="408">
        <f>Données!Z293</f>
        <v>202</v>
      </c>
      <c r="E292" s="179">
        <f>VPI!R293</f>
        <v>5230.3916455696199</v>
      </c>
      <c r="F292" s="316">
        <f>'Péréquation directe'!K299</f>
        <v>-46105.043905538885</v>
      </c>
      <c r="G292" s="329">
        <f>PCS!I299</f>
        <v>135071.3553832852</v>
      </c>
      <c r="H292" s="345">
        <f>'Facture policière'!L293</f>
        <v>16047.721869006826</v>
      </c>
      <c r="I292" s="457">
        <f t="shared" si="4"/>
        <v>105014.03334675315</v>
      </c>
      <c r="J292" s="181"/>
    </row>
    <row r="293" spans="1:10" s="87" customFormat="1" x14ac:dyDescent="0.25">
      <c r="A293" s="401">
        <f>Données!A294</f>
        <v>5926</v>
      </c>
      <c r="B293" s="405" t="str">
        <f>Données!B294</f>
        <v>Pomy</v>
      </c>
      <c r="C293" s="403">
        <f>VPI!Q294</f>
        <v>71</v>
      </c>
      <c r="D293" s="408">
        <f>Données!Z294</f>
        <v>838</v>
      </c>
      <c r="E293" s="179">
        <f>VPI!R294</f>
        <v>27874.142394366198</v>
      </c>
      <c r="F293" s="316">
        <f>'Péréquation directe'!K300</f>
        <v>136649.07651667384</v>
      </c>
      <c r="G293" s="329">
        <f>PCS!I300</f>
        <v>460368.86692698434</v>
      </c>
      <c r="H293" s="345">
        <f>'Facture policière'!L294</f>
        <v>34161.596099105125</v>
      </c>
      <c r="I293" s="457">
        <f t="shared" si="4"/>
        <v>631179.53954276326</v>
      </c>
      <c r="J293" s="181"/>
    </row>
    <row r="294" spans="1:10" s="87" customFormat="1" x14ac:dyDescent="0.25">
      <c r="A294" s="401">
        <f>Données!A295</f>
        <v>5928</v>
      </c>
      <c r="B294" s="405" t="str">
        <f>Données!B295</f>
        <v>Rovray</v>
      </c>
      <c r="C294" s="403">
        <f>VPI!Q295</f>
        <v>71.5</v>
      </c>
      <c r="D294" s="408">
        <f>Données!Z295</f>
        <v>206</v>
      </c>
      <c r="E294" s="179">
        <f>VPI!R295</f>
        <v>5459.4458741258732</v>
      </c>
      <c r="F294" s="316">
        <f>'Péréquation directe'!K301</f>
        <v>-36029.098394553992</v>
      </c>
      <c r="G294" s="329">
        <f>PCS!I301</f>
        <v>82332.007079590781</v>
      </c>
      <c r="H294" s="345">
        <f>'Facture policière'!L295</f>
        <v>16953.206187612326</v>
      </c>
      <c r="I294" s="457">
        <f t="shared" si="4"/>
        <v>63256.114872649116</v>
      </c>
      <c r="J294" s="181"/>
    </row>
    <row r="295" spans="1:10" s="87" customFormat="1" x14ac:dyDescent="0.25">
      <c r="A295" s="401">
        <f>Données!A296</f>
        <v>5929</v>
      </c>
      <c r="B295" s="405" t="str">
        <f>Données!B296</f>
        <v>Suchy</v>
      </c>
      <c r="C295" s="403">
        <f>VPI!Q296</f>
        <v>70</v>
      </c>
      <c r="D295" s="408">
        <f>Données!Z296</f>
        <v>656</v>
      </c>
      <c r="E295" s="179">
        <f>VPI!R296</f>
        <v>20264.63825</v>
      </c>
      <c r="F295" s="316">
        <f>'Péréquation directe'!K302</f>
        <v>51933.777354690072</v>
      </c>
      <c r="G295" s="329">
        <f>PCS!I302</f>
        <v>330830.29979004827</v>
      </c>
      <c r="H295" s="345">
        <f>'Facture policière'!L296</f>
        <v>24835.647934800523</v>
      </c>
      <c r="I295" s="457">
        <f t="shared" si="4"/>
        <v>407599.72507953888</v>
      </c>
      <c r="J295" s="181"/>
    </row>
    <row r="296" spans="1:10" s="87" customFormat="1" x14ac:dyDescent="0.25">
      <c r="A296" s="401">
        <f>Données!A297</f>
        <v>5930</v>
      </c>
      <c r="B296" s="405" t="str">
        <f>Données!B297</f>
        <v>Suscévaz</v>
      </c>
      <c r="C296" s="403">
        <f>VPI!Q297</f>
        <v>72</v>
      </c>
      <c r="D296" s="408">
        <f>Données!Z297</f>
        <v>215</v>
      </c>
      <c r="E296" s="179">
        <f>VPI!R297</f>
        <v>6661.7480555555558</v>
      </c>
      <c r="F296" s="316">
        <f>'Péréquation directe'!K303</f>
        <v>-2737.1941264067573</v>
      </c>
      <c r="G296" s="329">
        <f>PCS!I303</f>
        <v>124503.52000359251</v>
      </c>
      <c r="H296" s="345">
        <f>'Facture policière'!L297</f>
        <v>8164.4106989237634</v>
      </c>
      <c r="I296" s="457">
        <f t="shared" si="4"/>
        <v>129930.73657610951</v>
      </c>
      <c r="J296" s="181"/>
    </row>
    <row r="297" spans="1:10" s="87" customFormat="1" x14ac:dyDescent="0.25">
      <c r="A297" s="401">
        <f>Données!A298</f>
        <v>5931</v>
      </c>
      <c r="B297" s="405" t="str">
        <f>Données!B298</f>
        <v>Treycovagnes</v>
      </c>
      <c r="C297" s="403">
        <f>VPI!Q298</f>
        <v>75</v>
      </c>
      <c r="D297" s="408">
        <f>Données!Z298</f>
        <v>490</v>
      </c>
      <c r="E297" s="179">
        <f>VPI!R298</f>
        <v>15269.573333333334</v>
      </c>
      <c r="F297" s="316">
        <f>'Péréquation directe'!K304</f>
        <v>-15473.020930349536</v>
      </c>
      <c r="G297" s="329">
        <f>PCS!I304</f>
        <v>275125.73653811257</v>
      </c>
      <c r="H297" s="345">
        <f>'Facture policière'!L298</f>
        <v>18713.867118811515</v>
      </c>
      <c r="I297" s="457">
        <f t="shared" si="4"/>
        <v>278366.58272657456</v>
      </c>
      <c r="J297" s="181"/>
    </row>
    <row r="298" spans="1:10" s="87" customFormat="1" x14ac:dyDescent="0.25">
      <c r="A298" s="401">
        <f>Données!A299</f>
        <v>5932</v>
      </c>
      <c r="B298" s="405" t="str">
        <f>Données!B299</f>
        <v>Ursins</v>
      </c>
      <c r="C298" s="403">
        <f>VPI!Q299</f>
        <v>75</v>
      </c>
      <c r="D298" s="408">
        <f>Données!Z299</f>
        <v>228</v>
      </c>
      <c r="E298" s="179">
        <f>VPI!R299</f>
        <v>7703.2953333333353</v>
      </c>
      <c r="F298" s="316">
        <f>'Péréquation directe'!K305</f>
        <v>38576.925283574295</v>
      </c>
      <c r="G298" s="329">
        <f>PCS!I305</f>
        <v>102731.24640632825</v>
      </c>
      <c r="H298" s="345">
        <f>'Facture policière'!L299</f>
        <v>23910.718106113192</v>
      </c>
      <c r="I298" s="457">
        <f t="shared" si="4"/>
        <v>165218.88979601575</v>
      </c>
      <c r="J298" s="181"/>
    </row>
    <row r="299" spans="1:10" s="87" customFormat="1" x14ac:dyDescent="0.25">
      <c r="A299" s="401">
        <f>Données!A300</f>
        <v>5933</v>
      </c>
      <c r="B299" s="405" t="str">
        <f>Données!B300</f>
        <v>Valeyres-sous-Montagny</v>
      </c>
      <c r="C299" s="403">
        <f>VPI!Q300</f>
        <v>70.5</v>
      </c>
      <c r="D299" s="408">
        <f>Données!Z300</f>
        <v>697</v>
      </c>
      <c r="E299" s="179">
        <f>VPI!R300</f>
        <v>19606.455886524818</v>
      </c>
      <c r="F299" s="316">
        <f>'Péréquation directe'!K306</f>
        <v>-431194.00877522962</v>
      </c>
      <c r="G299" s="329">
        <f>PCS!I306</f>
        <v>320395.97091311053</v>
      </c>
      <c r="H299" s="345">
        <f>'Facture policière'!L300</f>
        <v>59654.503972688508</v>
      </c>
      <c r="I299" s="457">
        <f t="shared" si="4"/>
        <v>-51143.533889430582</v>
      </c>
      <c r="J299" s="181"/>
    </row>
    <row r="300" spans="1:10" s="87" customFormat="1" x14ac:dyDescent="0.25">
      <c r="A300" s="401">
        <f>Données!A301</f>
        <v>5934</v>
      </c>
      <c r="B300" s="405" t="str">
        <f>Données!B301</f>
        <v>Valeyres-sous-Ursins</v>
      </c>
      <c r="C300" s="403">
        <f>VPI!Q301</f>
        <v>77</v>
      </c>
      <c r="D300" s="408">
        <f>Données!Z301</f>
        <v>247</v>
      </c>
      <c r="E300" s="179">
        <f>VPI!R301</f>
        <v>7018.2764935064943</v>
      </c>
      <c r="F300" s="316">
        <f>'Péréquation directe'!K307</f>
        <v>-18037.149066140119</v>
      </c>
      <c r="G300" s="329">
        <f>PCS!I307</f>
        <v>95134.021214753913</v>
      </c>
      <c r="H300" s="345">
        <f>'Facture policière'!L301</f>
        <v>21855.75560945112</v>
      </c>
      <c r="I300" s="457">
        <f t="shared" si="4"/>
        <v>98952.627758064918</v>
      </c>
      <c r="J300" s="181"/>
    </row>
    <row r="301" spans="1:10" s="87" customFormat="1" x14ac:dyDescent="0.25">
      <c r="A301" s="401">
        <f>Données!A302</f>
        <v>5935</v>
      </c>
      <c r="B301" s="405" t="str">
        <f>Données!B302</f>
        <v>Villars-Epeney</v>
      </c>
      <c r="C301" s="403">
        <f>VPI!Q302</f>
        <v>60</v>
      </c>
      <c r="D301" s="408">
        <f>Données!Z302</f>
        <v>95</v>
      </c>
      <c r="E301" s="179">
        <f>VPI!R302</f>
        <v>3448.2056666666667</v>
      </c>
      <c r="F301" s="316">
        <f>'Péréquation directe'!K308</f>
        <v>28420.742348621941</v>
      </c>
      <c r="G301" s="329">
        <f>PCS!I308</f>
        <v>48841.041727429627</v>
      </c>
      <c r="H301" s="345">
        <f>'Facture policière'!L302</f>
        <v>10437.429328680042</v>
      </c>
      <c r="I301" s="457">
        <f t="shared" si="4"/>
        <v>87699.213404731607</v>
      </c>
      <c r="J301" s="181"/>
    </row>
    <row r="302" spans="1:10" s="87" customFormat="1" x14ac:dyDescent="0.25">
      <c r="A302" s="401">
        <f>Données!A303</f>
        <v>5937</v>
      </c>
      <c r="B302" s="405" t="str">
        <f>Données!B303</f>
        <v>Vugelles-La Mothe</v>
      </c>
      <c r="C302" s="403">
        <f>VPI!Q303</f>
        <v>70</v>
      </c>
      <c r="D302" s="408">
        <f>Données!Z303</f>
        <v>140</v>
      </c>
      <c r="E302" s="179">
        <f>VPI!R303</f>
        <v>3479.4948775510202</v>
      </c>
      <c r="F302" s="316">
        <f>'Péréquation directe'!K309</f>
        <v>-35533.201476064496</v>
      </c>
      <c r="G302" s="329">
        <f>PCS!I309</f>
        <v>49293.313346285955</v>
      </c>
      <c r="H302" s="345">
        <f>'Facture policière'!L303</f>
        <v>10726.820554078717</v>
      </c>
      <c r="I302" s="457">
        <f t="shared" si="4"/>
        <v>24486.932424300176</v>
      </c>
      <c r="J302" s="181"/>
    </row>
    <row r="303" spans="1:10" s="87" customFormat="1" x14ac:dyDescent="0.25">
      <c r="A303" s="401">
        <f>Données!A304</f>
        <v>5938</v>
      </c>
      <c r="B303" s="405" t="str">
        <f>Données!B304</f>
        <v>Yverdon-les-Bains</v>
      </c>
      <c r="C303" s="403">
        <f>VPI!Q304</f>
        <v>75</v>
      </c>
      <c r="D303" s="408">
        <f>Données!Z304</f>
        <v>29710</v>
      </c>
      <c r="E303" s="179">
        <f>VPI!R304</f>
        <v>762594.09693333332</v>
      </c>
      <c r="F303" s="316">
        <f>'Péréquation directe'!K310</f>
        <v>-30126433.330665395</v>
      </c>
      <c r="G303" s="329">
        <f>PCS!I310</f>
        <v>14266748.636798732</v>
      </c>
      <c r="H303" s="345">
        <f>'Facture policière'!L304</f>
        <v>934609.25751257408</v>
      </c>
      <c r="I303" s="457">
        <f t="shared" si="4"/>
        <v>-14925075.43635409</v>
      </c>
      <c r="J303" s="181"/>
    </row>
    <row r="304" spans="1:10" s="87" customFormat="1" x14ac:dyDescent="0.25">
      <c r="A304" s="402">
        <f>Données!A305</f>
        <v>5939</v>
      </c>
      <c r="B304" s="406" t="str">
        <f>Données!B305</f>
        <v>Yvonand</v>
      </c>
      <c r="C304" s="403">
        <f>VPI!Q305</f>
        <v>71.5</v>
      </c>
      <c r="D304" s="409">
        <f>Données!Z305</f>
        <v>3512</v>
      </c>
      <c r="E304" s="179">
        <f>VPI!R305</f>
        <v>105325.16447552449</v>
      </c>
      <c r="F304" s="335">
        <f>'Péréquation directe'!K311</f>
        <v>-826451.556899491</v>
      </c>
      <c r="G304" s="515">
        <f>PCS!I311</f>
        <v>1690832.2097809745</v>
      </c>
      <c r="H304" s="346">
        <f>'Facture policière'!L305</f>
        <v>321757.08797338302</v>
      </c>
      <c r="I304" s="482">
        <f t="shared" si="4"/>
        <v>1186137.7408548666</v>
      </c>
      <c r="J304" s="181"/>
    </row>
    <row r="305" spans="1:10" x14ac:dyDescent="0.25">
      <c r="A305" s="207"/>
      <c r="B305" s="404">
        <f>COUNTA(B5:B304)</f>
        <v>300</v>
      </c>
      <c r="C305" s="414">
        <f>VPI!Q306</f>
        <v>67.586100811375815</v>
      </c>
      <c r="D305" s="415">
        <f>SUM(D5:D304)</f>
        <v>823879</v>
      </c>
      <c r="E305" s="415">
        <f>SUM(E5:E304)</f>
        <v>39490853.970660269</v>
      </c>
      <c r="F305" s="477">
        <f>ROUND(SUM(F5:F304),5)</f>
        <v>450000</v>
      </c>
      <c r="G305" s="478">
        <f>ROUND(SUM(G5:G304),5)</f>
        <v>796046500</v>
      </c>
      <c r="H305" s="479">
        <f>ROUND(SUM(H5:H304),5)</f>
        <v>72090823</v>
      </c>
      <c r="I305" s="480">
        <f>SUM(I5:I304)</f>
        <v>868587322.99999988</v>
      </c>
    </row>
    <row r="306" spans="1:10" x14ac:dyDescent="0.25">
      <c r="D306" s="11"/>
      <c r="E306" s="11"/>
      <c r="G306" s="5"/>
      <c r="H306" s="5"/>
      <c r="I306" s="5"/>
      <c r="J306" s="5"/>
    </row>
    <row r="307" spans="1:10" x14ac:dyDescent="0.25">
      <c r="G307" s="5"/>
      <c r="H307" s="5"/>
      <c r="I307" s="5"/>
      <c r="J307" s="5"/>
    </row>
  </sheetData>
  <phoneticPr fontId="0" type="noConversion"/>
  <conditionalFormatting sqref="F305">
    <cfRule type="cellIs" dxfId="2" priority="1" operator="equal">
      <formula>450000</formula>
    </cfRule>
  </conditionalFormatting>
  <hyperlinks>
    <hyperlink ref="D1" location="'Table des matières'!A1" display="Table des matières" xr:uid="{090680B4-EB0E-4E15-8AAA-D0F34968B211}"/>
    <hyperlink ref="C1" location="'Facture policière'!A1" display="← Précédent" xr:uid="{64470B6D-289A-4292-A2C1-B49B6B7BEF3C}"/>
    <hyperlink ref="E1" location="'Décompte vs acomptes'!A1" display="Suivant →" xr:uid="{272CB11A-40D6-45B0-BD95-5E8B832019FD}"/>
  </hyperlinks>
  <printOptions horizontalCentered="1" verticalCentered="1"/>
  <pageMargins left="0.19685039370078741" right="0.19685039370078741" top="0" bottom="0" header="0.51181102362204722" footer="0.51181102362204722"/>
  <pageSetup paperSize="9" fitToHeight="7" orientation="landscape" horizontalDpi="1200" verticalDpi="1200" r:id="rId1"/>
  <headerFooter alignWithMargins="0">
    <oddFooter>&amp;LSCL - Division finances communales&amp;C- &amp;P -</oddFooter>
  </headerFooter>
  <legacyDrawing r:id="rId2"/>
  <extLst>
    <ext xmlns:x14="http://schemas.microsoft.com/office/spreadsheetml/2009/9/main" uri="{78C0D931-6437-407d-A8EE-F0AAD7539E65}">
      <x14:conditionalFormattings>
        <x14:conditionalFormatting xmlns:xm="http://schemas.microsoft.com/office/excel/2006/main">
          <x14:cfRule type="cellIs" priority="5" operator="equal" id="{B3933958-71B3-4AD2-B33A-F05BD16E4DE8}">
            <xm:f>Paramètres!$B$56</xm:f>
            <x14:dxf>
              <fill>
                <patternFill>
                  <bgColor rgb="FF00B050"/>
                </patternFill>
              </fill>
            </x14:dxf>
          </x14:cfRule>
          <xm:sqref>H305</xm:sqref>
        </x14:conditionalFormatting>
        <x14:conditionalFormatting xmlns:xm="http://schemas.microsoft.com/office/excel/2006/main">
          <x14:cfRule type="cellIs" priority="7" operator="equal" id="{22D5F1E9-3566-45DB-B374-CBC4C9778E66}">
            <xm:f>Paramètres!#REF!</xm:f>
            <x14:dxf>
              <fill>
                <patternFill>
                  <bgColor rgb="FF00B050"/>
                </patternFill>
              </fill>
            </x14:dxf>
          </x14:cfRule>
          <xm:sqref>G305</xm:sqref>
        </x14:conditionalFormatting>
      </x14:conditionalFormatting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910C10-50F0-45D0-BA57-CF12150E4EF1}">
  <sheetPr>
    <tabColor theme="3" tint="0.59999389629810485"/>
  </sheetPr>
  <dimension ref="A1:W310"/>
  <sheetViews>
    <sheetView workbookViewId="0"/>
  </sheetViews>
  <sheetFormatPr baseColWidth="10" defaultColWidth="11" defaultRowHeight="12.75" x14ac:dyDescent="0.2"/>
  <cols>
    <col min="1" max="1" width="11" style="267"/>
    <col min="2" max="2" width="26.375" style="267" customWidth="1"/>
    <col min="3" max="11" width="12.25" style="267" customWidth="1"/>
    <col min="12" max="12" width="15" style="266" bestFit="1" customWidth="1"/>
    <col min="13" max="13" width="11.125" style="266" bestFit="1" customWidth="1"/>
    <col min="14" max="14" width="15" style="266" bestFit="1" customWidth="1"/>
    <col min="15" max="15" width="11.125" style="266" bestFit="1" customWidth="1"/>
    <col min="16" max="16" width="14" style="266" bestFit="1" customWidth="1"/>
    <col min="17" max="17" width="11.125" style="266" bestFit="1" customWidth="1"/>
    <col min="18" max="18" width="14" style="266" bestFit="1" customWidth="1"/>
    <col min="19" max="19" width="11.125" style="266" bestFit="1" customWidth="1"/>
    <col min="20" max="20" width="13" style="266" bestFit="1" customWidth="1"/>
    <col min="21" max="21" width="11.125" style="266" bestFit="1" customWidth="1"/>
    <col min="22" max="22" width="13" style="266" bestFit="1" customWidth="1"/>
    <col min="23" max="23" width="11.125" style="266" bestFit="1" customWidth="1"/>
    <col min="24" max="16384" width="11" style="267"/>
  </cols>
  <sheetData>
    <row r="1" spans="1:11" s="266" customFormat="1" ht="27" customHeight="1" x14ac:dyDescent="0.2">
      <c r="A1" s="298" t="s">
        <v>405</v>
      </c>
      <c r="B1" s="299"/>
      <c r="C1" s="411" t="s">
        <v>406</v>
      </c>
      <c r="D1" s="314" t="s">
        <v>398</v>
      </c>
      <c r="E1" s="434"/>
      <c r="F1" s="34"/>
      <c r="G1" s="221"/>
      <c r="H1" s="221"/>
      <c r="I1" s="34"/>
      <c r="J1" s="221"/>
      <c r="K1" s="221"/>
    </row>
    <row r="2" spans="1:11" s="266" customFormat="1" ht="21" x14ac:dyDescent="0.2">
      <c r="A2" s="359"/>
      <c r="B2" s="33"/>
      <c r="C2" s="260"/>
      <c r="D2" s="261"/>
      <c r="E2" s="261"/>
      <c r="F2" s="34"/>
      <c r="G2" s="221"/>
      <c r="H2" s="221"/>
      <c r="I2" s="34"/>
      <c r="J2" s="221"/>
      <c r="K2" s="221"/>
    </row>
    <row r="3" spans="1:11" s="266" customFormat="1" ht="15" x14ac:dyDescent="0.2">
      <c r="A3"/>
      <c r="B3" s="34"/>
      <c r="C3" s="34"/>
      <c r="D3" s="34"/>
      <c r="E3" s="34"/>
      <c r="F3" s="34"/>
      <c r="G3" s="34"/>
      <c r="H3" s="34"/>
      <c r="I3" s="34"/>
      <c r="J3" s="34"/>
      <c r="K3" s="34"/>
    </row>
    <row r="4" spans="1:11" s="266" customFormat="1" ht="31.5" customHeight="1" x14ac:dyDescent="0.2">
      <c r="A4" s="634" t="s">
        <v>44</v>
      </c>
      <c r="B4" s="690" t="s">
        <v>391</v>
      </c>
      <c r="C4" s="692" t="s">
        <v>395</v>
      </c>
      <c r="D4" s="693"/>
      <c r="E4" s="694"/>
      <c r="F4" s="695" t="s">
        <v>392</v>
      </c>
      <c r="G4" s="695"/>
      <c r="H4" s="696"/>
      <c r="I4" s="688" t="s">
        <v>411</v>
      </c>
      <c r="J4" s="688"/>
      <c r="K4" s="689"/>
    </row>
    <row r="5" spans="1:11" s="266" customFormat="1" ht="15" x14ac:dyDescent="0.2">
      <c r="A5" s="635"/>
      <c r="B5" s="691"/>
      <c r="C5" s="321" t="s">
        <v>393</v>
      </c>
      <c r="D5" s="483" t="s">
        <v>394</v>
      </c>
      <c r="E5" s="483" t="s">
        <v>529</v>
      </c>
      <c r="F5" s="487" t="s">
        <v>393</v>
      </c>
      <c r="G5" s="488" t="s">
        <v>394</v>
      </c>
      <c r="H5" s="488" t="s">
        <v>529</v>
      </c>
      <c r="I5" s="491" t="s">
        <v>393</v>
      </c>
      <c r="J5" s="492" t="s">
        <v>394</v>
      </c>
      <c r="K5" s="492" t="s">
        <v>529</v>
      </c>
    </row>
    <row r="6" spans="1:11" s="266" customFormat="1" ht="15" x14ac:dyDescent="0.25">
      <c r="A6" s="86">
        <f>Données!A6</f>
        <v>5401</v>
      </c>
      <c r="B6" s="405" t="str">
        <f>Données!B6</f>
        <v>Aigle</v>
      </c>
      <c r="C6" s="263">
        <f>Synthèse!G5</f>
        <v>5028234.2576078577</v>
      </c>
      <c r="D6" s="484" t="s">
        <v>530</v>
      </c>
      <c r="E6" s="485" t="s">
        <v>530</v>
      </c>
      <c r="F6" s="262">
        <f>Synthèse!F5</f>
        <v>-8731114.6376851052</v>
      </c>
      <c r="G6" s="489" t="s">
        <v>530</v>
      </c>
      <c r="H6" s="489" t="s">
        <v>530</v>
      </c>
      <c r="I6" s="263">
        <f>Synthèse!H5</f>
        <v>344281.6717704832</v>
      </c>
      <c r="J6" s="493" t="s">
        <v>530</v>
      </c>
      <c r="K6" s="493" t="s">
        <v>530</v>
      </c>
    </row>
    <row r="7" spans="1:11" s="266" customFormat="1" ht="15" x14ac:dyDescent="0.25">
      <c r="A7" s="86">
        <f>Données!A7</f>
        <v>5402</v>
      </c>
      <c r="B7" s="405" t="str">
        <f>Données!B7</f>
        <v>Bex</v>
      </c>
      <c r="C7" s="263">
        <f>Synthèse!G6</f>
        <v>3347457.2045781128</v>
      </c>
      <c r="D7" s="484" t="s">
        <v>530</v>
      </c>
      <c r="E7" s="485" t="s">
        <v>530</v>
      </c>
      <c r="F7" s="262">
        <f>Synthèse!F6</f>
        <v>-6192714.0080501335</v>
      </c>
      <c r="G7" s="489" t="s">
        <v>530</v>
      </c>
      <c r="H7" s="489" t="s">
        <v>530</v>
      </c>
      <c r="I7" s="263">
        <f>Synthèse!H6</f>
        <v>236125.66136803883</v>
      </c>
      <c r="J7" s="493" t="s">
        <v>530</v>
      </c>
      <c r="K7" s="493" t="s">
        <v>530</v>
      </c>
    </row>
    <row r="8" spans="1:11" s="266" customFormat="1" ht="15" x14ac:dyDescent="0.25">
      <c r="A8" s="86">
        <f>Données!A8</f>
        <v>5403</v>
      </c>
      <c r="B8" s="405" t="str">
        <f>Données!B8</f>
        <v>Chessel</v>
      </c>
      <c r="C8" s="263">
        <f>Synthèse!G7</f>
        <v>193999.06245750794</v>
      </c>
      <c r="D8" s="484" t="s">
        <v>530</v>
      </c>
      <c r="E8" s="485" t="s">
        <v>530</v>
      </c>
      <c r="F8" s="262">
        <f>Synthèse!F7</f>
        <v>-106143.52249533369</v>
      </c>
      <c r="G8" s="489" t="s">
        <v>530</v>
      </c>
      <c r="H8" s="489" t="s">
        <v>530</v>
      </c>
      <c r="I8" s="263">
        <f>Synthèse!H7</f>
        <v>36364.478504724946</v>
      </c>
      <c r="J8" s="493" t="s">
        <v>530</v>
      </c>
      <c r="K8" s="493" t="s">
        <v>530</v>
      </c>
    </row>
    <row r="9" spans="1:11" s="266" customFormat="1" ht="15" x14ac:dyDescent="0.25">
      <c r="A9" s="86">
        <f>Données!A9</f>
        <v>5404</v>
      </c>
      <c r="B9" s="405" t="str">
        <f>Données!B9</f>
        <v>Corbeyrier</v>
      </c>
      <c r="C9" s="263">
        <f>Synthèse!G8</f>
        <v>201787.41445274247</v>
      </c>
      <c r="D9" s="484" t="s">
        <v>530</v>
      </c>
      <c r="E9" s="485" t="s">
        <v>530</v>
      </c>
      <c r="F9" s="262">
        <f>Synthèse!F8</f>
        <v>-211399.67330533062</v>
      </c>
      <c r="G9" s="489" t="s">
        <v>530</v>
      </c>
      <c r="H9" s="489" t="s">
        <v>530</v>
      </c>
      <c r="I9" s="263">
        <f>Synthèse!H8</f>
        <v>34909.901620800141</v>
      </c>
      <c r="J9" s="493" t="s">
        <v>530</v>
      </c>
      <c r="K9" s="493" t="s">
        <v>530</v>
      </c>
    </row>
    <row r="10" spans="1:11" s="266" customFormat="1" ht="15" x14ac:dyDescent="0.25">
      <c r="A10" s="86">
        <f>Données!A10</f>
        <v>5405</v>
      </c>
      <c r="B10" s="405" t="str">
        <f>Données!B10</f>
        <v>Gryon</v>
      </c>
      <c r="C10" s="263">
        <f>Synthèse!G9</f>
        <v>1894061.9758343264</v>
      </c>
      <c r="D10" s="484" t="s">
        <v>530</v>
      </c>
      <c r="E10" s="485" t="s">
        <v>530</v>
      </c>
      <c r="F10" s="262">
        <f>Synthèse!F9</f>
        <v>355187.98527093977</v>
      </c>
      <c r="G10" s="489" t="s">
        <v>530</v>
      </c>
      <c r="H10" s="489" t="s">
        <v>530</v>
      </c>
      <c r="I10" s="263">
        <f>Synthèse!H9</f>
        <v>217980.14856876939</v>
      </c>
      <c r="J10" s="493" t="s">
        <v>530</v>
      </c>
      <c r="K10" s="493" t="s">
        <v>530</v>
      </c>
    </row>
    <row r="11" spans="1:11" s="266" customFormat="1" ht="15" x14ac:dyDescent="0.25">
      <c r="A11" s="86">
        <f>Données!A11</f>
        <v>5406</v>
      </c>
      <c r="B11" s="405" t="str">
        <f>Données!B11</f>
        <v>Lavey-Morcles</v>
      </c>
      <c r="C11" s="263">
        <f>Synthèse!G10</f>
        <v>323713.23661060433</v>
      </c>
      <c r="D11" s="484" t="s">
        <v>530</v>
      </c>
      <c r="E11" s="485" t="s">
        <v>530</v>
      </c>
      <c r="F11" s="262">
        <f>Synthèse!F10</f>
        <v>-378405.45480828651</v>
      </c>
      <c r="G11" s="489" t="s">
        <v>530</v>
      </c>
      <c r="H11" s="489" t="s">
        <v>530</v>
      </c>
      <c r="I11" s="263">
        <f>Synthèse!H10</f>
        <v>64714.995473519004</v>
      </c>
      <c r="J11" s="493" t="s">
        <v>530</v>
      </c>
      <c r="K11" s="493" t="s">
        <v>530</v>
      </c>
    </row>
    <row r="12" spans="1:11" s="266" customFormat="1" ht="15" x14ac:dyDescent="0.25">
      <c r="A12" s="86">
        <f>Données!A12</f>
        <v>5407</v>
      </c>
      <c r="B12" s="405" t="str">
        <f>Données!B12</f>
        <v>Leysin</v>
      </c>
      <c r="C12" s="263">
        <f>Synthèse!G11</f>
        <v>1728160.5658100494</v>
      </c>
      <c r="D12" s="484" t="s">
        <v>530</v>
      </c>
      <c r="E12" s="485" t="s">
        <v>530</v>
      </c>
      <c r="F12" s="262">
        <f>Synthèse!F11</f>
        <v>-3512447.724872041</v>
      </c>
      <c r="G12" s="489" t="s">
        <v>530</v>
      </c>
      <c r="H12" s="489" t="s">
        <v>530</v>
      </c>
      <c r="I12" s="263">
        <f>Synthèse!H11</f>
        <v>269269.76239773078</v>
      </c>
      <c r="J12" s="493" t="s">
        <v>530</v>
      </c>
      <c r="K12" s="493" t="s">
        <v>530</v>
      </c>
    </row>
    <row r="13" spans="1:11" s="266" customFormat="1" ht="15" x14ac:dyDescent="0.25">
      <c r="A13" s="86">
        <f>Données!A13</f>
        <v>5408</v>
      </c>
      <c r="B13" s="405" t="str">
        <f>Données!B13</f>
        <v>Noville</v>
      </c>
      <c r="C13" s="263">
        <f>Synthèse!G12</f>
        <v>789661.9396226235</v>
      </c>
      <c r="D13" s="484" t="s">
        <v>530</v>
      </c>
      <c r="E13" s="485" t="s">
        <v>530</v>
      </c>
      <c r="F13" s="262">
        <f>Synthèse!F12</f>
        <v>-48253.216376143508</v>
      </c>
      <c r="G13" s="489" t="s">
        <v>530</v>
      </c>
      <c r="H13" s="489" t="s">
        <v>530</v>
      </c>
      <c r="I13" s="263">
        <f>Synthèse!H12</f>
        <v>124016.255234524</v>
      </c>
      <c r="J13" s="493" t="s">
        <v>530</v>
      </c>
      <c r="K13" s="493" t="s">
        <v>530</v>
      </c>
    </row>
    <row r="14" spans="1:11" s="266" customFormat="1" ht="15" x14ac:dyDescent="0.25">
      <c r="A14" s="86">
        <f>Données!A14</f>
        <v>5409</v>
      </c>
      <c r="B14" s="405" t="str">
        <f>Données!B14</f>
        <v>Ollon</v>
      </c>
      <c r="C14" s="263">
        <f>Synthèse!G13</f>
        <v>8041418.1485210974</v>
      </c>
      <c r="D14" s="484" t="s">
        <v>530</v>
      </c>
      <c r="E14" s="485" t="s">
        <v>530</v>
      </c>
      <c r="F14" s="262">
        <f>Synthèse!F13</f>
        <v>1019251.8305010889</v>
      </c>
      <c r="G14" s="489" t="s">
        <v>530</v>
      </c>
      <c r="H14" s="489" t="s">
        <v>530</v>
      </c>
      <c r="I14" s="263">
        <f>Synthèse!H13</f>
        <v>524816.47226297343</v>
      </c>
      <c r="J14" s="493" t="s">
        <v>530</v>
      </c>
      <c r="K14" s="493" t="s">
        <v>530</v>
      </c>
    </row>
    <row r="15" spans="1:11" s="266" customFormat="1" ht="15" x14ac:dyDescent="0.25">
      <c r="A15" s="86">
        <f>Données!A15</f>
        <v>5410</v>
      </c>
      <c r="B15" s="405" t="str">
        <f>Données!B15</f>
        <v>Ormont-Dessous</v>
      </c>
      <c r="C15" s="263">
        <f>Synthèse!G14</f>
        <v>819348.11467815354</v>
      </c>
      <c r="D15" s="484" t="s">
        <v>530</v>
      </c>
      <c r="E15" s="485" t="s">
        <v>530</v>
      </c>
      <c r="F15" s="262">
        <f>Synthèse!F14</f>
        <v>-1149625.1131115414</v>
      </c>
      <c r="G15" s="489" t="s">
        <v>530</v>
      </c>
      <c r="H15" s="489" t="s">
        <v>530</v>
      </c>
      <c r="I15" s="263">
        <f>Synthèse!H14</f>
        <v>114023.29302869763</v>
      </c>
      <c r="J15" s="493" t="s">
        <v>530</v>
      </c>
      <c r="K15" s="493" t="s">
        <v>530</v>
      </c>
    </row>
    <row r="16" spans="1:11" s="266" customFormat="1" ht="15" x14ac:dyDescent="0.25">
      <c r="A16" s="86">
        <f>Données!A16</f>
        <v>5411</v>
      </c>
      <c r="B16" s="405" t="str">
        <f>Données!B16</f>
        <v>Ormont-Dessus</v>
      </c>
      <c r="C16" s="263">
        <f>Synthèse!G15</f>
        <v>1617624.1456319755</v>
      </c>
      <c r="D16" s="484" t="s">
        <v>530</v>
      </c>
      <c r="E16" s="485" t="s">
        <v>530</v>
      </c>
      <c r="F16" s="262">
        <f>Synthèse!F15</f>
        <v>243331.7333666326</v>
      </c>
      <c r="G16" s="489" t="s">
        <v>530</v>
      </c>
      <c r="H16" s="489" t="s">
        <v>530</v>
      </c>
      <c r="I16" s="263">
        <f>Synthèse!H15</f>
        <v>223226.17434643829</v>
      </c>
      <c r="J16" s="493" t="s">
        <v>530</v>
      </c>
      <c r="K16" s="493" t="s">
        <v>530</v>
      </c>
    </row>
    <row r="17" spans="1:11" s="266" customFormat="1" ht="15" x14ac:dyDescent="0.25">
      <c r="A17" s="86">
        <f>Données!A17</f>
        <v>5412</v>
      </c>
      <c r="B17" s="405" t="str">
        <f>Données!B17</f>
        <v>Rennaz</v>
      </c>
      <c r="C17" s="263">
        <f>Synthèse!G16</f>
        <v>709741.27914337663</v>
      </c>
      <c r="D17" s="484" t="s">
        <v>530</v>
      </c>
      <c r="E17" s="485" t="s">
        <v>530</v>
      </c>
      <c r="F17" s="262">
        <f>Synthèse!F16</f>
        <v>94670.106576312392</v>
      </c>
      <c r="G17" s="489" t="s">
        <v>530</v>
      </c>
      <c r="H17" s="489" t="s">
        <v>530</v>
      </c>
      <c r="I17" s="263">
        <f>Synthèse!H16</f>
        <v>81499.500051068055</v>
      </c>
      <c r="J17" s="493" t="s">
        <v>530</v>
      </c>
      <c r="K17" s="493" t="s">
        <v>530</v>
      </c>
    </row>
    <row r="18" spans="1:11" s="266" customFormat="1" ht="15" x14ac:dyDescent="0.25">
      <c r="A18" s="86">
        <f>Données!A18</f>
        <v>5413</v>
      </c>
      <c r="B18" s="405" t="str">
        <f>Données!B18</f>
        <v>Roche</v>
      </c>
      <c r="C18" s="263">
        <f>Synthèse!G17</f>
        <v>1048963.627414576</v>
      </c>
      <c r="D18" s="484" t="s">
        <v>530</v>
      </c>
      <c r="E18" s="485" t="s">
        <v>530</v>
      </c>
      <c r="F18" s="262">
        <f>Synthèse!F17</f>
        <v>-556314.56842436141</v>
      </c>
      <c r="G18" s="489" t="s">
        <v>530</v>
      </c>
      <c r="H18" s="489" t="s">
        <v>530</v>
      </c>
      <c r="I18" s="263">
        <f>Synthèse!H17</f>
        <v>129801.37343510079</v>
      </c>
      <c r="J18" s="493" t="s">
        <v>530</v>
      </c>
      <c r="K18" s="493" t="s">
        <v>530</v>
      </c>
    </row>
    <row r="19" spans="1:11" s="266" customFormat="1" ht="15" x14ac:dyDescent="0.25">
      <c r="A19" s="86">
        <f>Données!A19</f>
        <v>5414</v>
      </c>
      <c r="B19" s="405" t="str">
        <f>Données!B19</f>
        <v>Villeneuve</v>
      </c>
      <c r="C19" s="263">
        <f>Synthèse!G18</f>
        <v>3648500.971185144</v>
      </c>
      <c r="D19" s="484" t="s">
        <v>530</v>
      </c>
      <c r="E19" s="485" t="s">
        <v>530</v>
      </c>
      <c r="F19" s="262">
        <f>Synthèse!F18</f>
        <v>-3004413.4338890519</v>
      </c>
      <c r="G19" s="489" t="s">
        <v>530</v>
      </c>
      <c r="H19" s="489" t="s">
        <v>530</v>
      </c>
      <c r="I19" s="263">
        <f>Synthèse!H18</f>
        <v>555886.84754524054</v>
      </c>
      <c r="J19" s="493" t="s">
        <v>530</v>
      </c>
      <c r="K19" s="493" t="s">
        <v>530</v>
      </c>
    </row>
    <row r="20" spans="1:11" s="266" customFormat="1" ht="15" x14ac:dyDescent="0.25">
      <c r="A20" s="86">
        <f>Données!A20</f>
        <v>5415</v>
      </c>
      <c r="B20" s="405" t="str">
        <f>Données!B20</f>
        <v>Yvorne</v>
      </c>
      <c r="C20" s="263">
        <f>Synthèse!G19</f>
        <v>739720.29100931354</v>
      </c>
      <c r="D20" s="484" t="s">
        <v>530</v>
      </c>
      <c r="E20" s="485" t="s">
        <v>530</v>
      </c>
      <c r="F20" s="262">
        <f>Synthèse!F19</f>
        <v>42349.610166456434</v>
      </c>
      <c r="G20" s="489" t="s">
        <v>530</v>
      </c>
      <c r="H20" s="489" t="s">
        <v>530</v>
      </c>
      <c r="I20" s="263">
        <f>Synthèse!H19</f>
        <v>108820.98316633166</v>
      </c>
      <c r="J20" s="493" t="s">
        <v>530</v>
      </c>
      <c r="K20" s="493" t="s">
        <v>530</v>
      </c>
    </row>
    <row r="21" spans="1:11" s="266" customFormat="1" ht="15" x14ac:dyDescent="0.25">
      <c r="A21" s="86">
        <f>Données!A21</f>
        <v>5422</v>
      </c>
      <c r="B21" s="405" t="str">
        <f>Données!B21</f>
        <v>Aubonne</v>
      </c>
      <c r="C21" s="263">
        <f>Synthèse!G20</f>
        <v>7552928.2665608069</v>
      </c>
      <c r="D21" s="484" t="s">
        <v>530</v>
      </c>
      <c r="E21" s="485" t="s">
        <v>530</v>
      </c>
      <c r="F21" s="262">
        <f>Synthèse!F20</f>
        <v>4664274.1239330946</v>
      </c>
      <c r="G21" s="489" t="s">
        <v>530</v>
      </c>
      <c r="H21" s="489" t="s">
        <v>530</v>
      </c>
      <c r="I21" s="263">
        <f>Synthèse!H20</f>
        <v>710759.50213850313</v>
      </c>
      <c r="J21" s="493" t="s">
        <v>530</v>
      </c>
      <c r="K21" s="493" t="s">
        <v>530</v>
      </c>
    </row>
    <row r="22" spans="1:11" s="266" customFormat="1" ht="15" x14ac:dyDescent="0.25">
      <c r="A22" s="86">
        <f>Données!A22</f>
        <v>5423</v>
      </c>
      <c r="B22" s="405" t="str">
        <f>Données!B22</f>
        <v>Ballens</v>
      </c>
      <c r="C22" s="263">
        <f>Synthèse!G21</f>
        <v>285663.40197876736</v>
      </c>
      <c r="D22" s="484" t="s">
        <v>530</v>
      </c>
      <c r="E22" s="485" t="s">
        <v>530</v>
      </c>
      <c r="F22" s="262">
        <f>Synthèse!F21</f>
        <v>-77800.20808350353</v>
      </c>
      <c r="G22" s="489" t="s">
        <v>530</v>
      </c>
      <c r="H22" s="489" t="s">
        <v>530</v>
      </c>
      <c r="I22" s="263">
        <f>Synthèse!H21</f>
        <v>49938.75020633643</v>
      </c>
      <c r="J22" s="493" t="s">
        <v>530</v>
      </c>
      <c r="K22" s="493" t="s">
        <v>530</v>
      </c>
    </row>
    <row r="23" spans="1:11" s="266" customFormat="1" ht="15" x14ac:dyDescent="0.25">
      <c r="A23" s="86">
        <f>Données!A23</f>
        <v>5424</v>
      </c>
      <c r="B23" s="405" t="str">
        <f>Données!B23</f>
        <v>Berolle</v>
      </c>
      <c r="C23" s="263">
        <f>Synthèse!G22</f>
        <v>121189.56233189306</v>
      </c>
      <c r="D23" s="484" t="s">
        <v>530</v>
      </c>
      <c r="E23" s="485" t="s">
        <v>530</v>
      </c>
      <c r="F23" s="262">
        <f>Synthèse!F22</f>
        <v>-101573.35511658361</v>
      </c>
      <c r="G23" s="489" t="s">
        <v>530</v>
      </c>
      <c r="H23" s="489" t="s">
        <v>530</v>
      </c>
      <c r="I23" s="263">
        <f>Synthèse!H22</f>
        <v>25419.299390223317</v>
      </c>
      <c r="J23" s="493" t="s">
        <v>530</v>
      </c>
      <c r="K23" s="493" t="s">
        <v>530</v>
      </c>
    </row>
    <row r="24" spans="1:11" s="266" customFormat="1" ht="15" x14ac:dyDescent="0.25">
      <c r="A24" s="86">
        <f>Données!A24</f>
        <v>5425</v>
      </c>
      <c r="B24" s="405" t="str">
        <f>Données!B24</f>
        <v>Bière</v>
      </c>
      <c r="C24" s="263">
        <f>Synthèse!G23</f>
        <v>724488.93913275679</v>
      </c>
      <c r="D24" s="484" t="s">
        <v>530</v>
      </c>
      <c r="E24" s="485" t="s">
        <v>530</v>
      </c>
      <c r="F24" s="262">
        <f>Synthèse!F23</f>
        <v>-900587.50208646711</v>
      </c>
      <c r="G24" s="489" t="s">
        <v>530</v>
      </c>
      <c r="H24" s="489" t="s">
        <v>530</v>
      </c>
      <c r="I24" s="263">
        <f>Synthèse!H23</f>
        <v>135862.33140973229</v>
      </c>
      <c r="J24" s="493" t="s">
        <v>530</v>
      </c>
      <c r="K24" s="493" t="s">
        <v>530</v>
      </c>
    </row>
    <row r="25" spans="1:11" s="266" customFormat="1" ht="15" x14ac:dyDescent="0.25">
      <c r="A25" s="86">
        <f>Données!A25</f>
        <v>5426</v>
      </c>
      <c r="B25" s="405" t="str">
        <f>Données!B25</f>
        <v>Bougy-Villars</v>
      </c>
      <c r="C25" s="263">
        <f>Synthèse!G24</f>
        <v>1512410.4331260992</v>
      </c>
      <c r="D25" s="484" t="s">
        <v>530</v>
      </c>
      <c r="E25" s="485" t="s">
        <v>530</v>
      </c>
      <c r="F25" s="262">
        <f>Synthèse!F24</f>
        <v>958449.14411814231</v>
      </c>
      <c r="G25" s="489" t="s">
        <v>530</v>
      </c>
      <c r="H25" s="489" t="s">
        <v>530</v>
      </c>
      <c r="I25" s="263">
        <f>Synthèse!H24</f>
        <v>108974.0016333168</v>
      </c>
      <c r="J25" s="493" t="s">
        <v>530</v>
      </c>
      <c r="K25" s="493" t="s">
        <v>530</v>
      </c>
    </row>
    <row r="26" spans="1:11" s="266" customFormat="1" ht="15" x14ac:dyDescent="0.25">
      <c r="A26" s="86">
        <f>Données!A26</f>
        <v>5427</v>
      </c>
      <c r="B26" s="405" t="str">
        <f>Données!B26</f>
        <v>Féchy</v>
      </c>
      <c r="C26" s="263">
        <f>Synthèse!G25</f>
        <v>2324015.8279521898</v>
      </c>
      <c r="D26" s="484" t="s">
        <v>530</v>
      </c>
      <c r="E26" s="485" t="s">
        <v>530</v>
      </c>
      <c r="F26" s="262">
        <f>Synthèse!F25</f>
        <v>1585336.7013681112</v>
      </c>
      <c r="G26" s="489" t="s">
        <v>530</v>
      </c>
      <c r="H26" s="489" t="s">
        <v>530</v>
      </c>
      <c r="I26" s="263">
        <f>Synthèse!H25</f>
        <v>187106.47136431793</v>
      </c>
      <c r="J26" s="493" t="s">
        <v>530</v>
      </c>
      <c r="K26" s="493" t="s">
        <v>530</v>
      </c>
    </row>
    <row r="27" spans="1:11" s="266" customFormat="1" ht="15" x14ac:dyDescent="0.25">
      <c r="A27" s="86">
        <f>Données!A27</f>
        <v>5428</v>
      </c>
      <c r="B27" s="405" t="str">
        <f>Données!B27</f>
        <v>Gimel</v>
      </c>
      <c r="C27" s="263">
        <f>Synthèse!G26</f>
        <v>1316010.425106704</v>
      </c>
      <c r="D27" s="484" t="s">
        <v>530</v>
      </c>
      <c r="E27" s="485" t="s">
        <v>530</v>
      </c>
      <c r="F27" s="262">
        <f>Synthèse!F26</f>
        <v>-831658.40105339419</v>
      </c>
      <c r="G27" s="489" t="s">
        <v>530</v>
      </c>
      <c r="H27" s="489" t="s">
        <v>530</v>
      </c>
      <c r="I27" s="263">
        <f>Synthèse!H26</f>
        <v>216546.53065915441</v>
      </c>
      <c r="J27" s="493" t="s">
        <v>530</v>
      </c>
      <c r="K27" s="493" t="s">
        <v>530</v>
      </c>
    </row>
    <row r="28" spans="1:11" s="266" customFormat="1" ht="15" x14ac:dyDescent="0.25">
      <c r="A28" s="86">
        <f>Données!A28</f>
        <v>5429</v>
      </c>
      <c r="B28" s="405" t="str">
        <f>Données!B28</f>
        <v>Longirod</v>
      </c>
      <c r="C28" s="263">
        <f>Synthèse!G27</f>
        <v>330637.00009351096</v>
      </c>
      <c r="D28" s="484" t="s">
        <v>530</v>
      </c>
      <c r="E28" s="485" t="s">
        <v>530</v>
      </c>
      <c r="F28" s="262">
        <f>Synthèse!F27</f>
        <v>49372.331912493915</v>
      </c>
      <c r="G28" s="489" t="s">
        <v>530</v>
      </c>
      <c r="H28" s="489" t="s">
        <v>530</v>
      </c>
      <c r="I28" s="263">
        <f>Synthèse!H27</f>
        <v>57112.814009809736</v>
      </c>
      <c r="J28" s="493" t="s">
        <v>530</v>
      </c>
      <c r="K28" s="493" t="s">
        <v>530</v>
      </c>
    </row>
    <row r="29" spans="1:11" s="266" customFormat="1" ht="15" x14ac:dyDescent="0.25">
      <c r="A29" s="86">
        <f>Données!A29</f>
        <v>5430</v>
      </c>
      <c r="B29" s="405" t="str">
        <f>Données!B29</f>
        <v>Marchissy</v>
      </c>
      <c r="C29" s="263">
        <f>Synthèse!G28</f>
        <v>245608.74982396801</v>
      </c>
      <c r="D29" s="484" t="s">
        <v>530</v>
      </c>
      <c r="E29" s="485" t="s">
        <v>530</v>
      </c>
      <c r="F29" s="262">
        <f>Synthèse!F28</f>
        <v>-6604.4831264992827</v>
      </c>
      <c r="G29" s="489" t="s">
        <v>530</v>
      </c>
      <c r="H29" s="489" t="s">
        <v>530</v>
      </c>
      <c r="I29" s="263">
        <f>Synthèse!H28</f>
        <v>47799.602027512257</v>
      </c>
      <c r="J29" s="493" t="s">
        <v>530</v>
      </c>
      <c r="K29" s="493" t="s">
        <v>530</v>
      </c>
    </row>
    <row r="30" spans="1:11" s="266" customFormat="1" ht="15" x14ac:dyDescent="0.25">
      <c r="A30" s="86">
        <f>Données!A30</f>
        <v>5431</v>
      </c>
      <c r="B30" s="405" t="str">
        <f>Données!B30</f>
        <v>Mollens</v>
      </c>
      <c r="C30" s="263">
        <f>Synthèse!G29</f>
        <v>150038.10117769425</v>
      </c>
      <c r="D30" s="484" t="s">
        <v>530</v>
      </c>
      <c r="E30" s="485" t="s">
        <v>530</v>
      </c>
      <c r="F30" s="262">
        <f>Synthèse!F29</f>
        <v>16545.214273075282</v>
      </c>
      <c r="G30" s="489" t="s">
        <v>530</v>
      </c>
      <c r="H30" s="489" t="s">
        <v>530</v>
      </c>
      <c r="I30" s="263">
        <f>Synthèse!H29</f>
        <v>32292.770702622656</v>
      </c>
      <c r="J30" s="493" t="s">
        <v>530</v>
      </c>
      <c r="K30" s="493" t="s">
        <v>530</v>
      </c>
    </row>
    <row r="31" spans="1:11" s="266" customFormat="1" ht="15" x14ac:dyDescent="0.25">
      <c r="A31" s="86">
        <f>Données!A31</f>
        <v>5434</v>
      </c>
      <c r="B31" s="405" t="str">
        <f>Données!B31</f>
        <v>Saint-George</v>
      </c>
      <c r="C31" s="263">
        <f>Synthèse!G30</f>
        <v>695535.71360468247</v>
      </c>
      <c r="D31" s="484" t="s">
        <v>530</v>
      </c>
      <c r="E31" s="485" t="s">
        <v>530</v>
      </c>
      <c r="F31" s="262">
        <f>Synthèse!F30</f>
        <v>460751.98059142835</v>
      </c>
      <c r="G31" s="489" t="s">
        <v>530</v>
      </c>
      <c r="H31" s="489" t="s">
        <v>530</v>
      </c>
      <c r="I31" s="263">
        <f>Synthèse!H30</f>
        <v>133407.6161314708</v>
      </c>
      <c r="J31" s="493" t="s">
        <v>530</v>
      </c>
      <c r="K31" s="493" t="s">
        <v>530</v>
      </c>
    </row>
    <row r="32" spans="1:11" s="266" customFormat="1" ht="15" x14ac:dyDescent="0.25">
      <c r="A32" s="86">
        <f>Données!A32</f>
        <v>5435</v>
      </c>
      <c r="B32" s="405" t="str">
        <f>Données!B32</f>
        <v>Saint-Livres</v>
      </c>
      <c r="C32" s="263">
        <f>Synthèse!G31</f>
        <v>465242.54610578879</v>
      </c>
      <c r="D32" s="484" t="s">
        <v>530</v>
      </c>
      <c r="E32" s="485" t="s">
        <v>530</v>
      </c>
      <c r="F32" s="262">
        <f>Synthèse!F31</f>
        <v>287274.87921338913</v>
      </c>
      <c r="G32" s="489" t="s">
        <v>530</v>
      </c>
      <c r="H32" s="489" t="s">
        <v>530</v>
      </c>
      <c r="I32" s="263">
        <f>Synthèse!H31</f>
        <v>79668.062267586021</v>
      </c>
      <c r="J32" s="493" t="s">
        <v>530</v>
      </c>
      <c r="K32" s="493" t="s">
        <v>530</v>
      </c>
    </row>
    <row r="33" spans="1:11" s="266" customFormat="1" ht="15" x14ac:dyDescent="0.25">
      <c r="A33" s="86">
        <f>Données!A33</f>
        <v>5436</v>
      </c>
      <c r="B33" s="405" t="str">
        <f>Données!B33</f>
        <v>Saint-Oyens</v>
      </c>
      <c r="C33" s="263">
        <f>Synthèse!G32</f>
        <v>289991.92755411373</v>
      </c>
      <c r="D33" s="484" t="s">
        <v>530</v>
      </c>
      <c r="E33" s="485" t="s">
        <v>530</v>
      </c>
      <c r="F33" s="262">
        <f>Synthèse!F32</f>
        <v>132809.81129889734</v>
      </c>
      <c r="G33" s="489" t="s">
        <v>530</v>
      </c>
      <c r="H33" s="489" t="s">
        <v>530</v>
      </c>
      <c r="I33" s="263">
        <f>Synthèse!H32</f>
        <v>52170.616367562805</v>
      </c>
      <c r="J33" s="493" t="s">
        <v>530</v>
      </c>
      <c r="K33" s="493" t="s">
        <v>530</v>
      </c>
    </row>
    <row r="34" spans="1:11" s="266" customFormat="1" ht="15" x14ac:dyDescent="0.25">
      <c r="A34" s="86">
        <f>Données!A34</f>
        <v>5437</v>
      </c>
      <c r="B34" s="405" t="str">
        <f>Données!B34</f>
        <v>Saubraz</v>
      </c>
      <c r="C34" s="263">
        <f>Synthèse!G33</f>
        <v>330585.46887477476</v>
      </c>
      <c r="D34" s="484" t="s">
        <v>530</v>
      </c>
      <c r="E34" s="485" t="s">
        <v>530</v>
      </c>
      <c r="F34" s="262">
        <f>Synthèse!F33</f>
        <v>-350511.85923910368</v>
      </c>
      <c r="G34" s="489" t="s">
        <v>530</v>
      </c>
      <c r="H34" s="489" t="s">
        <v>530</v>
      </c>
      <c r="I34" s="263">
        <f>Synthèse!H33</f>
        <v>41936.807841506416</v>
      </c>
      <c r="J34" s="493" t="s">
        <v>530</v>
      </c>
      <c r="K34" s="493" t="s">
        <v>530</v>
      </c>
    </row>
    <row r="35" spans="1:11" s="266" customFormat="1" ht="15" x14ac:dyDescent="0.25">
      <c r="A35" s="86">
        <f>Données!A35</f>
        <v>5451</v>
      </c>
      <c r="B35" s="405" t="str">
        <f>Données!B35</f>
        <v>Avenches</v>
      </c>
      <c r="C35" s="263">
        <f>Synthèse!G34</f>
        <v>2315301.7360243793</v>
      </c>
      <c r="D35" s="484" t="s">
        <v>530</v>
      </c>
      <c r="E35" s="485" t="s">
        <v>530</v>
      </c>
      <c r="F35" s="262">
        <f>Synthèse!F34</f>
        <v>-1931556.729179672</v>
      </c>
      <c r="G35" s="489" t="s">
        <v>530</v>
      </c>
      <c r="H35" s="489" t="s">
        <v>530</v>
      </c>
      <c r="I35" s="263">
        <f>Synthèse!H34</f>
        <v>410966.15197616455</v>
      </c>
      <c r="J35" s="493" t="s">
        <v>530</v>
      </c>
      <c r="K35" s="493" t="s">
        <v>530</v>
      </c>
    </row>
    <row r="36" spans="1:11" s="266" customFormat="1" ht="15" x14ac:dyDescent="0.25">
      <c r="A36" s="86">
        <f>Données!A36</f>
        <v>5456</v>
      </c>
      <c r="B36" s="405" t="str">
        <f>Données!B36</f>
        <v>Cudrefin</v>
      </c>
      <c r="C36" s="263">
        <f>Synthèse!G35</f>
        <v>1013873.5316867415</v>
      </c>
      <c r="D36" s="484" t="s">
        <v>530</v>
      </c>
      <c r="E36" s="485" t="s">
        <v>530</v>
      </c>
      <c r="F36" s="262">
        <f>Synthèse!F35</f>
        <v>191977.12141503126</v>
      </c>
      <c r="G36" s="489" t="s">
        <v>530</v>
      </c>
      <c r="H36" s="489" t="s">
        <v>530</v>
      </c>
      <c r="I36" s="263">
        <f>Synthèse!H35</f>
        <v>194525.81184018846</v>
      </c>
      <c r="J36" s="493" t="s">
        <v>530</v>
      </c>
      <c r="K36" s="493" t="s">
        <v>530</v>
      </c>
    </row>
    <row r="37" spans="1:11" s="266" customFormat="1" ht="15" x14ac:dyDescent="0.25">
      <c r="A37" s="86">
        <f>Données!A37</f>
        <v>5458</v>
      </c>
      <c r="B37" s="405" t="str">
        <f>Données!B37</f>
        <v>Faoug</v>
      </c>
      <c r="C37" s="263">
        <f>Synthèse!G36</f>
        <v>564972.01654381398</v>
      </c>
      <c r="D37" s="484" t="s">
        <v>530</v>
      </c>
      <c r="E37" s="485" t="s">
        <v>530</v>
      </c>
      <c r="F37" s="262">
        <f>Synthèse!F36</f>
        <v>311042.45652386139</v>
      </c>
      <c r="G37" s="489" t="s">
        <v>530</v>
      </c>
      <c r="H37" s="489" t="s">
        <v>530</v>
      </c>
      <c r="I37" s="263">
        <f>Synthèse!H36</f>
        <v>105751.20413157367</v>
      </c>
      <c r="J37" s="493" t="s">
        <v>530</v>
      </c>
      <c r="K37" s="493" t="s">
        <v>530</v>
      </c>
    </row>
    <row r="38" spans="1:11" s="266" customFormat="1" ht="15" x14ac:dyDescent="0.25">
      <c r="A38" s="86">
        <f>Données!A38</f>
        <v>5464</v>
      </c>
      <c r="B38" s="405" t="str">
        <f>Données!B38</f>
        <v>Vully-les-Lacs</v>
      </c>
      <c r="C38" s="263">
        <f>Synthèse!G37</f>
        <v>2253434.7067541871</v>
      </c>
      <c r="D38" s="484" t="s">
        <v>530</v>
      </c>
      <c r="E38" s="485" t="s">
        <v>530</v>
      </c>
      <c r="F38" s="262">
        <f>Synthèse!F37</f>
        <v>64399.72114888113</v>
      </c>
      <c r="G38" s="489" t="s">
        <v>530</v>
      </c>
      <c r="H38" s="489" t="s">
        <v>530</v>
      </c>
      <c r="I38" s="263">
        <f>Synthèse!H37</f>
        <v>362535.84070429177</v>
      </c>
      <c r="J38" s="493" t="s">
        <v>530</v>
      </c>
      <c r="K38" s="493" t="s">
        <v>530</v>
      </c>
    </row>
    <row r="39" spans="1:11" s="266" customFormat="1" ht="15" x14ac:dyDescent="0.25">
      <c r="A39" s="86">
        <f>Données!A39</f>
        <v>5471</v>
      </c>
      <c r="B39" s="405" t="str">
        <f>Données!B39</f>
        <v>Bettens</v>
      </c>
      <c r="C39" s="263">
        <f>Synthèse!G38</f>
        <v>331043.49615072133</v>
      </c>
      <c r="D39" s="484" t="s">
        <v>530</v>
      </c>
      <c r="E39" s="485" t="s">
        <v>530</v>
      </c>
      <c r="F39" s="262">
        <f>Synthèse!F38</f>
        <v>194730.94087019662</v>
      </c>
      <c r="G39" s="489" t="s">
        <v>530</v>
      </c>
      <c r="H39" s="489" t="s">
        <v>530</v>
      </c>
      <c r="I39" s="263">
        <f>Synthèse!H38</f>
        <v>69782.509261952306</v>
      </c>
      <c r="J39" s="493" t="s">
        <v>530</v>
      </c>
      <c r="K39" s="493" t="s">
        <v>530</v>
      </c>
    </row>
    <row r="40" spans="1:11" s="266" customFormat="1" ht="15" x14ac:dyDescent="0.25">
      <c r="A40" s="86">
        <f>Données!A40</f>
        <v>5472</v>
      </c>
      <c r="B40" s="405" t="str">
        <f>Données!B40</f>
        <v>Bournens</v>
      </c>
      <c r="C40" s="263">
        <f>Synthèse!G39</f>
        <v>379933.28910616494</v>
      </c>
      <c r="D40" s="484" t="s">
        <v>530</v>
      </c>
      <c r="E40" s="485" t="s">
        <v>530</v>
      </c>
      <c r="F40" s="262">
        <f>Synthèse!F39</f>
        <v>300669.92654726031</v>
      </c>
      <c r="G40" s="489" t="s">
        <v>530</v>
      </c>
      <c r="H40" s="489" t="s">
        <v>530</v>
      </c>
      <c r="I40" s="263">
        <f>Synthèse!H39</f>
        <v>68396.96658443936</v>
      </c>
      <c r="J40" s="493" t="s">
        <v>530</v>
      </c>
      <c r="K40" s="493" t="s">
        <v>530</v>
      </c>
    </row>
    <row r="41" spans="1:11" s="266" customFormat="1" ht="15" x14ac:dyDescent="0.25">
      <c r="A41" s="86">
        <f>Données!A41</f>
        <v>5473</v>
      </c>
      <c r="B41" s="405" t="str">
        <f>Données!B41</f>
        <v>Boussens</v>
      </c>
      <c r="C41" s="263">
        <f>Synthèse!G40</f>
        <v>598733.13422677643</v>
      </c>
      <c r="D41" s="484" t="s">
        <v>530</v>
      </c>
      <c r="E41" s="485" t="s">
        <v>530</v>
      </c>
      <c r="F41" s="262">
        <f>Synthèse!F40</f>
        <v>386211.55657331843</v>
      </c>
      <c r="G41" s="489" t="s">
        <v>530</v>
      </c>
      <c r="H41" s="489" t="s">
        <v>530</v>
      </c>
      <c r="I41" s="263">
        <f>Synthèse!H40</f>
        <v>113571.90395337256</v>
      </c>
      <c r="J41" s="493" t="s">
        <v>530</v>
      </c>
      <c r="K41" s="493" t="s">
        <v>530</v>
      </c>
    </row>
    <row r="42" spans="1:11" s="266" customFormat="1" ht="15" x14ac:dyDescent="0.25">
      <c r="A42" s="86">
        <f>Données!A42</f>
        <v>5474</v>
      </c>
      <c r="B42" s="405" t="str">
        <f>Données!B42</f>
        <v>La Chaux (Cossonay)</v>
      </c>
      <c r="C42" s="263">
        <f>Synthèse!G41</f>
        <v>211158.08215859969</v>
      </c>
      <c r="D42" s="484" t="s">
        <v>530</v>
      </c>
      <c r="E42" s="485" t="s">
        <v>530</v>
      </c>
      <c r="F42" s="262">
        <f>Synthèse!F41</f>
        <v>-174789.39140963487</v>
      </c>
      <c r="G42" s="489" t="s">
        <v>530</v>
      </c>
      <c r="H42" s="489" t="s">
        <v>530</v>
      </c>
      <c r="I42" s="263">
        <f>Synthèse!H41</f>
        <v>39651.401484095739</v>
      </c>
      <c r="J42" s="493" t="s">
        <v>530</v>
      </c>
      <c r="K42" s="493" t="s">
        <v>530</v>
      </c>
    </row>
    <row r="43" spans="1:11" s="266" customFormat="1" ht="15" x14ac:dyDescent="0.25">
      <c r="A43" s="86">
        <f>Données!A43</f>
        <v>5475</v>
      </c>
      <c r="B43" s="405" t="str">
        <f>Données!B43</f>
        <v>Chavannes-le-Veyron</v>
      </c>
      <c r="C43" s="263">
        <f>Synthèse!G42</f>
        <v>59007.577077434384</v>
      </c>
      <c r="D43" s="484" t="s">
        <v>530</v>
      </c>
      <c r="E43" s="485" t="s">
        <v>530</v>
      </c>
      <c r="F43" s="262">
        <f>Synthèse!F42</f>
        <v>-36162.81361233459</v>
      </c>
      <c r="G43" s="489" t="s">
        <v>530</v>
      </c>
      <c r="H43" s="489" t="s">
        <v>530</v>
      </c>
      <c r="I43" s="263">
        <f>Synthèse!H42</f>
        <v>13119.257798158367</v>
      </c>
      <c r="J43" s="493" t="s">
        <v>530</v>
      </c>
      <c r="K43" s="493" t="s">
        <v>530</v>
      </c>
    </row>
    <row r="44" spans="1:11" s="266" customFormat="1" ht="15" x14ac:dyDescent="0.25">
      <c r="A44" s="86">
        <f>Données!A44</f>
        <v>5476</v>
      </c>
      <c r="B44" s="405" t="str">
        <f>Données!B44</f>
        <v>Chevilly</v>
      </c>
      <c r="C44" s="263">
        <f>Synthèse!G43</f>
        <v>198008.12863072418</v>
      </c>
      <c r="D44" s="484" t="s">
        <v>530</v>
      </c>
      <c r="E44" s="485" t="s">
        <v>530</v>
      </c>
      <c r="F44" s="262">
        <f>Synthèse!F43</f>
        <v>112065.18651727574</v>
      </c>
      <c r="G44" s="489" t="s">
        <v>530</v>
      </c>
      <c r="H44" s="489" t="s">
        <v>530</v>
      </c>
      <c r="I44" s="263">
        <f>Synthèse!H43</f>
        <v>37266.878023910685</v>
      </c>
      <c r="J44" s="493" t="s">
        <v>530</v>
      </c>
      <c r="K44" s="493" t="s">
        <v>530</v>
      </c>
    </row>
    <row r="45" spans="1:11" s="266" customFormat="1" ht="15" x14ac:dyDescent="0.25">
      <c r="A45" s="86">
        <f>Données!A45</f>
        <v>5477</v>
      </c>
      <c r="B45" s="405" t="str">
        <f>Données!B45</f>
        <v>Cossonay</v>
      </c>
      <c r="C45" s="263">
        <f>Synthèse!G44</f>
        <v>2378591.0634569274</v>
      </c>
      <c r="D45" s="484" t="s">
        <v>530</v>
      </c>
      <c r="E45" s="485" t="s">
        <v>530</v>
      </c>
      <c r="F45" s="262">
        <f>Synthèse!F44</f>
        <v>-853052.19010090549</v>
      </c>
      <c r="G45" s="489" t="s">
        <v>530</v>
      </c>
      <c r="H45" s="489" t="s">
        <v>530</v>
      </c>
      <c r="I45" s="263">
        <f>Synthèse!H44</f>
        <v>436477.66082319128</v>
      </c>
      <c r="J45" s="493" t="s">
        <v>530</v>
      </c>
      <c r="K45" s="493" t="s">
        <v>530</v>
      </c>
    </row>
    <row r="46" spans="1:11" s="266" customFormat="1" ht="15" x14ac:dyDescent="0.25">
      <c r="A46" s="86">
        <f>Données!A46</f>
        <v>5479</v>
      </c>
      <c r="B46" s="405" t="str">
        <f>Données!B46</f>
        <v>Cuarnens</v>
      </c>
      <c r="C46" s="263">
        <f>Synthèse!G45</f>
        <v>288422.96628117975</v>
      </c>
      <c r="D46" s="484" t="s">
        <v>530</v>
      </c>
      <c r="E46" s="485" t="s">
        <v>530</v>
      </c>
      <c r="F46" s="262">
        <f>Synthèse!F45</f>
        <v>4320.7275417924975</v>
      </c>
      <c r="G46" s="489" t="s">
        <v>530</v>
      </c>
      <c r="H46" s="489" t="s">
        <v>530</v>
      </c>
      <c r="I46" s="263">
        <f>Synthèse!H45</f>
        <v>55613.52468279632</v>
      </c>
      <c r="J46" s="493" t="s">
        <v>530</v>
      </c>
      <c r="K46" s="493" t="s">
        <v>530</v>
      </c>
    </row>
    <row r="47" spans="1:11" s="266" customFormat="1" ht="15" x14ac:dyDescent="0.25">
      <c r="A47" s="86">
        <f>Données!A47</f>
        <v>5480</v>
      </c>
      <c r="B47" s="405" t="str">
        <f>Données!B47</f>
        <v>Daillens</v>
      </c>
      <c r="C47" s="263">
        <f>Synthèse!G46</f>
        <v>743079.57455253159</v>
      </c>
      <c r="D47" s="484" t="s">
        <v>530</v>
      </c>
      <c r="E47" s="485" t="s">
        <v>530</v>
      </c>
      <c r="F47" s="262">
        <f>Synthèse!F46</f>
        <v>353247.10107772733</v>
      </c>
      <c r="G47" s="489" t="s">
        <v>530</v>
      </c>
      <c r="H47" s="489" t="s">
        <v>530</v>
      </c>
      <c r="I47" s="263">
        <f>Synthèse!H46</f>
        <v>123455.34629516353</v>
      </c>
      <c r="J47" s="493" t="s">
        <v>530</v>
      </c>
      <c r="K47" s="493" t="s">
        <v>530</v>
      </c>
    </row>
    <row r="48" spans="1:11" s="266" customFormat="1" ht="15" x14ac:dyDescent="0.25">
      <c r="A48" s="86">
        <f>Données!A48</f>
        <v>5481</v>
      </c>
      <c r="B48" s="405" t="str">
        <f>Données!B48</f>
        <v>Dizy</v>
      </c>
      <c r="C48" s="263">
        <f>Synthèse!G47</f>
        <v>112070.67182410843</v>
      </c>
      <c r="D48" s="484" t="s">
        <v>530</v>
      </c>
      <c r="E48" s="485" t="s">
        <v>530</v>
      </c>
      <c r="F48" s="262">
        <f>Synthèse!F47</f>
        <v>50359.090295638132</v>
      </c>
      <c r="G48" s="489" t="s">
        <v>530</v>
      </c>
      <c r="H48" s="489" t="s">
        <v>530</v>
      </c>
      <c r="I48" s="263">
        <f>Synthèse!H47</f>
        <v>25087.835789630011</v>
      </c>
      <c r="J48" s="493" t="s">
        <v>530</v>
      </c>
      <c r="K48" s="493" t="s">
        <v>530</v>
      </c>
    </row>
    <row r="49" spans="1:11" s="266" customFormat="1" ht="15" x14ac:dyDescent="0.25">
      <c r="A49" s="86">
        <f>Données!A49</f>
        <v>5482</v>
      </c>
      <c r="B49" s="405" t="str">
        <f>Données!B49</f>
        <v>Eclépens</v>
      </c>
      <c r="C49" s="263">
        <f>Synthèse!G48</f>
        <v>884096.62094658264</v>
      </c>
      <c r="D49" s="484" t="s">
        <v>530</v>
      </c>
      <c r="E49" s="485" t="s">
        <v>530</v>
      </c>
      <c r="F49" s="262">
        <f>Synthèse!F48</f>
        <v>742876.3300397346</v>
      </c>
      <c r="G49" s="489" t="s">
        <v>530</v>
      </c>
      <c r="H49" s="489" t="s">
        <v>530</v>
      </c>
      <c r="I49" s="263">
        <f>Synthèse!H48</f>
        <v>153067.99528732174</v>
      </c>
      <c r="J49" s="493" t="s">
        <v>530</v>
      </c>
      <c r="K49" s="493" t="s">
        <v>530</v>
      </c>
    </row>
    <row r="50" spans="1:11" s="266" customFormat="1" ht="15" x14ac:dyDescent="0.25">
      <c r="A50" s="86">
        <f>Données!A50</f>
        <v>5483</v>
      </c>
      <c r="B50" s="405" t="str">
        <f>Données!B50</f>
        <v>Ferreyres</v>
      </c>
      <c r="C50" s="263">
        <f>Synthèse!G49</f>
        <v>140334.26481514776</v>
      </c>
      <c r="D50" s="484" t="s">
        <v>530</v>
      </c>
      <c r="E50" s="485" t="s">
        <v>530</v>
      </c>
      <c r="F50" s="262">
        <f>Synthèse!F49</f>
        <v>52288.42268249148</v>
      </c>
      <c r="G50" s="489" t="s">
        <v>530</v>
      </c>
      <c r="H50" s="489" t="s">
        <v>530</v>
      </c>
      <c r="I50" s="263">
        <f>Synthèse!H49</f>
        <v>32480.75483816069</v>
      </c>
      <c r="J50" s="493" t="s">
        <v>530</v>
      </c>
      <c r="K50" s="493" t="s">
        <v>530</v>
      </c>
    </row>
    <row r="51" spans="1:11" s="266" customFormat="1" ht="15" x14ac:dyDescent="0.25">
      <c r="A51" s="86">
        <f>Données!A51</f>
        <v>5484</v>
      </c>
      <c r="B51" s="405" t="str">
        <f>Données!B51</f>
        <v>Gollion</v>
      </c>
      <c r="C51" s="263">
        <f>Synthèse!G50</f>
        <v>585544.18225012359</v>
      </c>
      <c r="D51" s="484" t="s">
        <v>530</v>
      </c>
      <c r="E51" s="485" t="s">
        <v>530</v>
      </c>
      <c r="F51" s="262">
        <f>Synthèse!F50</f>
        <v>113389.33382501465</v>
      </c>
      <c r="G51" s="489" t="s">
        <v>530</v>
      </c>
      <c r="H51" s="489" t="s">
        <v>530</v>
      </c>
      <c r="I51" s="263">
        <f>Synthèse!H50</f>
        <v>110403.3933110137</v>
      </c>
      <c r="J51" s="493" t="s">
        <v>530</v>
      </c>
      <c r="K51" s="493" t="s">
        <v>530</v>
      </c>
    </row>
    <row r="52" spans="1:11" s="266" customFormat="1" ht="15" x14ac:dyDescent="0.25">
      <c r="A52" s="86">
        <f>Données!A52</f>
        <v>5485</v>
      </c>
      <c r="B52" s="405" t="str">
        <f>Données!B52</f>
        <v>Grancy</v>
      </c>
      <c r="C52" s="263">
        <f>Synthèse!G51</f>
        <v>430220.23970862466</v>
      </c>
      <c r="D52" s="484" t="s">
        <v>530</v>
      </c>
      <c r="E52" s="485" t="s">
        <v>530</v>
      </c>
      <c r="F52" s="262">
        <f>Synthèse!F51</f>
        <v>373895.78718608874</v>
      </c>
      <c r="G52" s="489" t="s">
        <v>530</v>
      </c>
      <c r="H52" s="489" t="s">
        <v>530</v>
      </c>
      <c r="I52" s="263">
        <f>Synthèse!H51</f>
        <v>69375.966512085812</v>
      </c>
      <c r="J52" s="493" t="s">
        <v>530</v>
      </c>
      <c r="K52" s="493" t="s">
        <v>530</v>
      </c>
    </row>
    <row r="53" spans="1:11" s="266" customFormat="1" ht="15" x14ac:dyDescent="0.25">
      <c r="A53" s="86">
        <f>Données!A53</f>
        <v>5486</v>
      </c>
      <c r="B53" s="405" t="str">
        <f>Données!B53</f>
        <v>L'Isle</v>
      </c>
      <c r="C53" s="263">
        <f>Synthèse!G52</f>
        <v>548283.45929097582</v>
      </c>
      <c r="D53" s="484" t="s">
        <v>530</v>
      </c>
      <c r="E53" s="485" t="s">
        <v>530</v>
      </c>
      <c r="F53" s="262">
        <f>Synthèse!F52</f>
        <v>-452327.45497570524</v>
      </c>
      <c r="G53" s="489" t="s">
        <v>530</v>
      </c>
      <c r="H53" s="489" t="s">
        <v>530</v>
      </c>
      <c r="I53" s="263">
        <f>Synthèse!H52</f>
        <v>88605.718656769284</v>
      </c>
      <c r="J53" s="493" t="s">
        <v>530</v>
      </c>
      <c r="K53" s="493" t="s">
        <v>530</v>
      </c>
    </row>
    <row r="54" spans="1:11" s="266" customFormat="1" ht="15" x14ac:dyDescent="0.25">
      <c r="A54" s="86">
        <f>Données!A54</f>
        <v>5487</v>
      </c>
      <c r="B54" s="405" t="str">
        <f>Données!B54</f>
        <v>Lussery-Villars</v>
      </c>
      <c r="C54" s="263">
        <f>Synthèse!G53</f>
        <v>228592.17247513437</v>
      </c>
      <c r="D54" s="484" t="s">
        <v>530</v>
      </c>
      <c r="E54" s="485" t="s">
        <v>530</v>
      </c>
      <c r="F54" s="262">
        <f>Synthèse!F53</f>
        <v>97294.062421544309</v>
      </c>
      <c r="G54" s="489" t="s">
        <v>530</v>
      </c>
      <c r="H54" s="489" t="s">
        <v>530</v>
      </c>
      <c r="I54" s="263">
        <f>Synthèse!H53</f>
        <v>51336.088687136638</v>
      </c>
      <c r="J54" s="493" t="s">
        <v>530</v>
      </c>
      <c r="K54" s="493" t="s">
        <v>530</v>
      </c>
    </row>
    <row r="55" spans="1:11" s="266" customFormat="1" ht="15" x14ac:dyDescent="0.25">
      <c r="A55" s="86">
        <f>Données!A55</f>
        <v>5488</v>
      </c>
      <c r="B55" s="405" t="str">
        <f>Données!B55</f>
        <v>Mauraz</v>
      </c>
      <c r="C55" s="263">
        <f>Synthèse!G54</f>
        <v>21954.705764067992</v>
      </c>
      <c r="D55" s="484" t="s">
        <v>530</v>
      </c>
      <c r="E55" s="485" t="s">
        <v>530</v>
      </c>
      <c r="F55" s="262">
        <f>Synthèse!F54</f>
        <v>-1569.7328980828242</v>
      </c>
      <c r="G55" s="489" t="s">
        <v>530</v>
      </c>
      <c r="H55" s="489" t="s">
        <v>530</v>
      </c>
      <c r="I55" s="263">
        <f>Synthèse!H54</f>
        <v>5354.6040137924592</v>
      </c>
      <c r="J55" s="493" t="s">
        <v>530</v>
      </c>
      <c r="K55" s="493" t="s">
        <v>530</v>
      </c>
    </row>
    <row r="56" spans="1:11" s="266" customFormat="1" ht="15" x14ac:dyDescent="0.25">
      <c r="A56" s="86">
        <f>Données!A56</f>
        <v>5489</v>
      </c>
      <c r="B56" s="405" t="str">
        <f>Données!B56</f>
        <v>Mex</v>
      </c>
      <c r="C56" s="263">
        <f>Synthèse!G55</f>
        <v>1006685.0558986446</v>
      </c>
      <c r="D56" s="484" t="s">
        <v>530</v>
      </c>
      <c r="E56" s="485" t="s">
        <v>530</v>
      </c>
      <c r="F56" s="262">
        <f>Synthèse!F55</f>
        <v>869679.87247139448</v>
      </c>
      <c r="G56" s="489" t="s">
        <v>530</v>
      </c>
      <c r="H56" s="489" t="s">
        <v>530</v>
      </c>
      <c r="I56" s="263">
        <f>Synthèse!H55</f>
        <v>132136.84692106262</v>
      </c>
      <c r="J56" s="493" t="s">
        <v>530</v>
      </c>
      <c r="K56" s="493" t="s">
        <v>530</v>
      </c>
    </row>
    <row r="57" spans="1:11" s="266" customFormat="1" ht="15" x14ac:dyDescent="0.25">
      <c r="A57" s="86">
        <f>Données!A57</f>
        <v>5490</v>
      </c>
      <c r="B57" s="405" t="str">
        <f>Données!B57</f>
        <v>Moiry</v>
      </c>
      <c r="C57" s="263">
        <f>Synthèse!G56</f>
        <v>134358.35029803347</v>
      </c>
      <c r="D57" s="484" t="s">
        <v>530</v>
      </c>
      <c r="E57" s="485" t="s">
        <v>530</v>
      </c>
      <c r="F57" s="262">
        <f>Synthèse!F56</f>
        <v>-6245.8495843969285</v>
      </c>
      <c r="G57" s="489" t="s">
        <v>530</v>
      </c>
      <c r="H57" s="489" t="s">
        <v>530</v>
      </c>
      <c r="I57" s="263">
        <f>Synthèse!H56</f>
        <v>27989.93081366588</v>
      </c>
      <c r="J57" s="493" t="s">
        <v>530</v>
      </c>
      <c r="K57" s="493" t="s">
        <v>530</v>
      </c>
    </row>
    <row r="58" spans="1:11" s="266" customFormat="1" ht="15" x14ac:dyDescent="0.25">
      <c r="A58" s="86">
        <f>Données!A58</f>
        <v>5491</v>
      </c>
      <c r="B58" s="405" t="str">
        <f>Données!B58</f>
        <v>Mont-la-Ville</v>
      </c>
      <c r="C58" s="263">
        <f>Synthèse!G57</f>
        <v>197099.88841694075</v>
      </c>
      <c r="D58" s="484" t="s">
        <v>530</v>
      </c>
      <c r="E58" s="485" t="s">
        <v>530</v>
      </c>
      <c r="F58" s="262">
        <f>Synthèse!F57</f>
        <v>-222945.90785569994</v>
      </c>
      <c r="G58" s="489" t="s">
        <v>530</v>
      </c>
      <c r="H58" s="489" t="s">
        <v>530</v>
      </c>
      <c r="I58" s="263">
        <f>Synthèse!H57</f>
        <v>41601.644563128313</v>
      </c>
      <c r="J58" s="493" t="s">
        <v>530</v>
      </c>
      <c r="K58" s="493" t="s">
        <v>530</v>
      </c>
    </row>
    <row r="59" spans="1:11" s="266" customFormat="1" ht="15" x14ac:dyDescent="0.25">
      <c r="A59" s="86">
        <f>Données!A59</f>
        <v>5492</v>
      </c>
      <c r="B59" s="405" t="str">
        <f>Données!B59</f>
        <v>Montricher</v>
      </c>
      <c r="C59" s="263">
        <f>Synthèse!G58</f>
        <v>6248146.8034543265</v>
      </c>
      <c r="D59" s="484" t="s">
        <v>530</v>
      </c>
      <c r="E59" s="485" t="s">
        <v>530</v>
      </c>
      <c r="F59" s="262">
        <f>Synthèse!F58</f>
        <v>2376378.2765456731</v>
      </c>
      <c r="G59" s="489" t="s">
        <v>530</v>
      </c>
      <c r="H59" s="489" t="s">
        <v>530</v>
      </c>
      <c r="I59" s="263">
        <f>Synthèse!H58</f>
        <v>301580.75665583013</v>
      </c>
      <c r="J59" s="493" t="s">
        <v>530</v>
      </c>
      <c r="K59" s="493" t="s">
        <v>530</v>
      </c>
    </row>
    <row r="60" spans="1:11" s="266" customFormat="1" ht="15" x14ac:dyDescent="0.25">
      <c r="A60" s="86">
        <f>Données!A60</f>
        <v>5493</v>
      </c>
      <c r="B60" s="405" t="str">
        <f>Données!B60</f>
        <v>Orny</v>
      </c>
      <c r="C60" s="263">
        <f>Synthèse!G59</f>
        <v>267089.53888877324</v>
      </c>
      <c r="D60" s="484" t="s">
        <v>530</v>
      </c>
      <c r="E60" s="485" t="s">
        <v>530</v>
      </c>
      <c r="F60" s="262">
        <f>Synthèse!F59</f>
        <v>-4506.6908206523804</v>
      </c>
      <c r="G60" s="489" t="s">
        <v>530</v>
      </c>
      <c r="H60" s="489" t="s">
        <v>530</v>
      </c>
      <c r="I60" s="263">
        <f>Synthèse!H59</f>
        <v>41190.841273843136</v>
      </c>
      <c r="J60" s="493" t="s">
        <v>530</v>
      </c>
      <c r="K60" s="493" t="s">
        <v>530</v>
      </c>
    </row>
    <row r="61" spans="1:11" s="266" customFormat="1" ht="15" x14ac:dyDescent="0.25">
      <c r="A61" s="86">
        <f>Données!A61</f>
        <v>5495</v>
      </c>
      <c r="B61" s="405" t="str">
        <f>Données!B61</f>
        <v>Penthalaz</v>
      </c>
      <c r="C61" s="263">
        <f>Synthèse!G60</f>
        <v>1542457.5380947096</v>
      </c>
      <c r="D61" s="484" t="s">
        <v>530</v>
      </c>
      <c r="E61" s="485" t="s">
        <v>530</v>
      </c>
      <c r="F61" s="262">
        <f>Synthèse!F60</f>
        <v>-1048840.0536996489</v>
      </c>
      <c r="G61" s="489" t="s">
        <v>530</v>
      </c>
      <c r="H61" s="489" t="s">
        <v>530</v>
      </c>
      <c r="I61" s="263">
        <f>Synthèse!H60</f>
        <v>291775.90189359209</v>
      </c>
      <c r="J61" s="493" t="s">
        <v>530</v>
      </c>
      <c r="K61" s="493" t="s">
        <v>530</v>
      </c>
    </row>
    <row r="62" spans="1:11" s="266" customFormat="1" ht="15" x14ac:dyDescent="0.25">
      <c r="A62" s="86">
        <f>Données!A62</f>
        <v>5496</v>
      </c>
      <c r="B62" s="405" t="str">
        <f>Données!B62</f>
        <v>Penthaz</v>
      </c>
      <c r="C62" s="263">
        <f>Synthèse!G61</f>
        <v>959300.04515224393</v>
      </c>
      <c r="D62" s="484" t="s">
        <v>530</v>
      </c>
      <c r="E62" s="485" t="s">
        <v>530</v>
      </c>
      <c r="F62" s="262">
        <f>Synthèse!F61</f>
        <v>-310031.10977354296</v>
      </c>
      <c r="G62" s="489" t="s">
        <v>530</v>
      </c>
      <c r="H62" s="489" t="s">
        <v>530</v>
      </c>
      <c r="I62" s="263">
        <f>Synthèse!H61</f>
        <v>170900.41105738602</v>
      </c>
      <c r="J62" s="493" t="s">
        <v>530</v>
      </c>
      <c r="K62" s="493" t="s">
        <v>530</v>
      </c>
    </row>
    <row r="63" spans="1:11" s="266" customFormat="1" ht="15" x14ac:dyDescent="0.25">
      <c r="A63" s="86">
        <f>Données!A63</f>
        <v>5497</v>
      </c>
      <c r="B63" s="405" t="str">
        <f>Données!B63</f>
        <v>Pompaples</v>
      </c>
      <c r="C63" s="263">
        <f>Synthèse!G62</f>
        <v>371481.90574307216</v>
      </c>
      <c r="D63" s="484" t="s">
        <v>530</v>
      </c>
      <c r="E63" s="485" t="s">
        <v>530</v>
      </c>
      <c r="F63" s="262">
        <f>Synthèse!F62</f>
        <v>-122989.01385662693</v>
      </c>
      <c r="G63" s="489" t="s">
        <v>530</v>
      </c>
      <c r="H63" s="489" t="s">
        <v>530</v>
      </c>
      <c r="I63" s="263">
        <f>Synthèse!H62</f>
        <v>67619.885478667202</v>
      </c>
      <c r="J63" s="493" t="s">
        <v>530</v>
      </c>
      <c r="K63" s="493" t="s">
        <v>530</v>
      </c>
    </row>
    <row r="64" spans="1:11" s="266" customFormat="1" ht="15" x14ac:dyDescent="0.25">
      <c r="A64" s="86">
        <f>Données!A64</f>
        <v>5498</v>
      </c>
      <c r="B64" s="405" t="str">
        <f>Données!B64</f>
        <v>La Sarraz</v>
      </c>
      <c r="C64" s="263">
        <f>Synthèse!G63</f>
        <v>1095041.3640293046</v>
      </c>
      <c r="D64" s="484" t="s">
        <v>530</v>
      </c>
      <c r="E64" s="485" t="s">
        <v>530</v>
      </c>
      <c r="F64" s="262">
        <f>Synthèse!F63</f>
        <v>-693905.68241209514</v>
      </c>
      <c r="G64" s="489" t="s">
        <v>530</v>
      </c>
      <c r="H64" s="489" t="s">
        <v>530</v>
      </c>
      <c r="I64" s="263">
        <f>Synthèse!H63</f>
        <v>227284.96861652518</v>
      </c>
      <c r="J64" s="493" t="s">
        <v>530</v>
      </c>
      <c r="K64" s="493" t="s">
        <v>530</v>
      </c>
    </row>
    <row r="65" spans="1:11" s="266" customFormat="1" ht="15" x14ac:dyDescent="0.25">
      <c r="A65" s="86">
        <f>Données!A65</f>
        <v>5499</v>
      </c>
      <c r="B65" s="405" t="str">
        <f>Données!B65</f>
        <v>Senarclens</v>
      </c>
      <c r="C65" s="263">
        <f>Synthèse!G64</f>
        <v>456232.70963142393</v>
      </c>
      <c r="D65" s="484" t="s">
        <v>530</v>
      </c>
      <c r="E65" s="485" t="s">
        <v>530</v>
      </c>
      <c r="F65" s="262">
        <f>Synthèse!F64</f>
        <v>20031.282706674479</v>
      </c>
      <c r="G65" s="489" t="s">
        <v>530</v>
      </c>
      <c r="H65" s="489" t="s">
        <v>530</v>
      </c>
      <c r="I65" s="263">
        <f>Synthèse!H64</f>
        <v>55955.916962280848</v>
      </c>
      <c r="J65" s="493" t="s">
        <v>530</v>
      </c>
      <c r="K65" s="493" t="s">
        <v>530</v>
      </c>
    </row>
    <row r="66" spans="1:11" s="266" customFormat="1" ht="15" x14ac:dyDescent="0.25">
      <c r="A66" s="86">
        <f>Données!A66</f>
        <v>5501</v>
      </c>
      <c r="B66" s="405" t="str">
        <f>Données!B66</f>
        <v>Sullens</v>
      </c>
      <c r="C66" s="263">
        <f>Synthèse!G65</f>
        <v>857122.74934047787</v>
      </c>
      <c r="D66" s="484" t="s">
        <v>530</v>
      </c>
      <c r="E66" s="485" t="s">
        <v>530</v>
      </c>
      <c r="F66" s="262">
        <f>Synthèse!F65</f>
        <v>402183.22552977008</v>
      </c>
      <c r="G66" s="489" t="s">
        <v>530</v>
      </c>
      <c r="H66" s="489" t="s">
        <v>530</v>
      </c>
      <c r="I66" s="263">
        <f>Synthèse!H65</f>
        <v>132468.1505506906</v>
      </c>
      <c r="J66" s="493" t="s">
        <v>530</v>
      </c>
      <c r="K66" s="493" t="s">
        <v>530</v>
      </c>
    </row>
    <row r="67" spans="1:11" s="266" customFormat="1" ht="15" x14ac:dyDescent="0.25">
      <c r="A67" s="86">
        <f>Données!A67</f>
        <v>5503</v>
      </c>
      <c r="B67" s="405" t="str">
        <f>Données!B67</f>
        <v>Vufflens-la-Ville</v>
      </c>
      <c r="C67" s="263">
        <f>Synthèse!G66</f>
        <v>1437719.1076436706</v>
      </c>
      <c r="D67" s="484" t="s">
        <v>530</v>
      </c>
      <c r="E67" s="485" t="s">
        <v>530</v>
      </c>
      <c r="F67" s="262">
        <f>Synthèse!F66</f>
        <v>1281375.0029783822</v>
      </c>
      <c r="G67" s="489" t="s">
        <v>530</v>
      </c>
      <c r="H67" s="489" t="s">
        <v>530</v>
      </c>
      <c r="I67" s="263">
        <f>Synthèse!H66</f>
        <v>216680.45259380489</v>
      </c>
      <c r="J67" s="493" t="s">
        <v>530</v>
      </c>
      <c r="K67" s="493" t="s">
        <v>530</v>
      </c>
    </row>
    <row r="68" spans="1:11" s="266" customFormat="1" ht="15" x14ac:dyDescent="0.25">
      <c r="A68" s="86">
        <f>Données!A68</f>
        <v>5511</v>
      </c>
      <c r="B68" s="405" t="str">
        <f>Données!B68</f>
        <v>Assens</v>
      </c>
      <c r="C68" s="263">
        <f>Synthèse!G67</f>
        <v>1481042.2670352741</v>
      </c>
      <c r="D68" s="484" t="s">
        <v>530</v>
      </c>
      <c r="E68" s="485" t="s">
        <v>530</v>
      </c>
      <c r="F68" s="262">
        <f>Synthèse!F67</f>
        <v>245166.74848679267</v>
      </c>
      <c r="G68" s="489" t="s">
        <v>530</v>
      </c>
      <c r="H68" s="489" t="s">
        <v>530</v>
      </c>
      <c r="I68" s="263">
        <f>Synthèse!H67</f>
        <v>214184.07132749842</v>
      </c>
      <c r="J68" s="493" t="s">
        <v>530</v>
      </c>
      <c r="K68" s="493" t="s">
        <v>530</v>
      </c>
    </row>
    <row r="69" spans="1:11" s="266" customFormat="1" ht="15" x14ac:dyDescent="0.25">
      <c r="A69" s="86">
        <f>Données!A69</f>
        <v>5512</v>
      </c>
      <c r="B69" s="405" t="str">
        <f>Données!B69</f>
        <v>Bercher</v>
      </c>
      <c r="C69" s="263">
        <f>Synthèse!G68</f>
        <v>744464.58371376363</v>
      </c>
      <c r="D69" s="484" t="s">
        <v>530</v>
      </c>
      <c r="E69" s="485" t="s">
        <v>530</v>
      </c>
      <c r="F69" s="262">
        <f>Synthèse!F68</f>
        <v>-250888.26474098966</v>
      </c>
      <c r="G69" s="489" t="s">
        <v>530</v>
      </c>
      <c r="H69" s="489" t="s">
        <v>530</v>
      </c>
      <c r="I69" s="263">
        <f>Synthèse!H68</f>
        <v>124443.37032926941</v>
      </c>
      <c r="J69" s="493" t="s">
        <v>530</v>
      </c>
      <c r="K69" s="493" t="s">
        <v>530</v>
      </c>
    </row>
    <row r="70" spans="1:11" s="266" customFormat="1" ht="15" x14ac:dyDescent="0.25">
      <c r="A70" s="86">
        <f>Données!A70</f>
        <v>5514</v>
      </c>
      <c r="B70" s="405" t="str">
        <f>Données!B70</f>
        <v>Bottens</v>
      </c>
      <c r="C70" s="263">
        <f>Synthèse!G69</f>
        <v>641581.01864097477</v>
      </c>
      <c r="D70" s="484" t="s">
        <v>530</v>
      </c>
      <c r="E70" s="485" t="s">
        <v>530</v>
      </c>
      <c r="F70" s="262">
        <f>Synthèse!F69</f>
        <v>114986.56369386369</v>
      </c>
      <c r="G70" s="489" t="s">
        <v>530</v>
      </c>
      <c r="H70" s="489" t="s">
        <v>530</v>
      </c>
      <c r="I70" s="263">
        <f>Synthèse!H69</f>
        <v>135701.50250504958</v>
      </c>
      <c r="J70" s="493" t="s">
        <v>530</v>
      </c>
      <c r="K70" s="493" t="s">
        <v>530</v>
      </c>
    </row>
    <row r="71" spans="1:11" s="266" customFormat="1" ht="15" x14ac:dyDescent="0.25">
      <c r="A71" s="86">
        <f>Données!A71</f>
        <v>5515</v>
      </c>
      <c r="B71" s="405" t="str">
        <f>Données!B71</f>
        <v>Bretigny-sur-Morrens</v>
      </c>
      <c r="C71" s="263">
        <f>Synthèse!G70</f>
        <v>513236.21737244917</v>
      </c>
      <c r="D71" s="484" t="s">
        <v>530</v>
      </c>
      <c r="E71" s="485" t="s">
        <v>530</v>
      </c>
      <c r="F71" s="262">
        <f>Synthèse!F70</f>
        <v>-12043.169331888552</v>
      </c>
      <c r="G71" s="489" t="s">
        <v>530</v>
      </c>
      <c r="H71" s="489" t="s">
        <v>530</v>
      </c>
      <c r="I71" s="263">
        <f>Synthèse!H70</f>
        <v>99440.859770279116</v>
      </c>
      <c r="J71" s="493" t="s">
        <v>530</v>
      </c>
      <c r="K71" s="493" t="s">
        <v>530</v>
      </c>
    </row>
    <row r="72" spans="1:11" s="266" customFormat="1" ht="15" x14ac:dyDescent="0.25">
      <c r="A72" s="86">
        <f>Données!A72</f>
        <v>5516</v>
      </c>
      <c r="B72" s="405" t="str">
        <f>Données!B72</f>
        <v>Cugy</v>
      </c>
      <c r="C72" s="263">
        <f>Synthèse!G71</f>
        <v>1734462.32025472</v>
      </c>
      <c r="D72" s="484" t="s">
        <v>530</v>
      </c>
      <c r="E72" s="485" t="s">
        <v>530</v>
      </c>
      <c r="F72" s="262">
        <f>Synthèse!F71</f>
        <v>659530.57289878512</v>
      </c>
      <c r="G72" s="489" t="s">
        <v>530</v>
      </c>
      <c r="H72" s="489" t="s">
        <v>530</v>
      </c>
      <c r="I72" s="263">
        <f>Synthèse!H71</f>
        <v>343968.31827115559</v>
      </c>
      <c r="J72" s="493" t="s">
        <v>530</v>
      </c>
      <c r="K72" s="493" t="s">
        <v>530</v>
      </c>
    </row>
    <row r="73" spans="1:11" s="266" customFormat="1" ht="15" x14ac:dyDescent="0.25">
      <c r="A73" s="86">
        <f>Données!A73</f>
        <v>5518</v>
      </c>
      <c r="B73" s="405" t="str">
        <f>Données!B73</f>
        <v>Echallens</v>
      </c>
      <c r="C73" s="263">
        <f>Synthèse!G72</f>
        <v>2867020.9894283051</v>
      </c>
      <c r="D73" s="484" t="s">
        <v>530</v>
      </c>
      <c r="E73" s="485" t="s">
        <v>530</v>
      </c>
      <c r="F73" s="262">
        <f>Synthèse!F72</f>
        <v>-2148193.1258632811</v>
      </c>
      <c r="G73" s="489" t="s">
        <v>530</v>
      </c>
      <c r="H73" s="489" t="s">
        <v>530</v>
      </c>
      <c r="I73" s="263">
        <f>Synthèse!H72</f>
        <v>557951.57985081384</v>
      </c>
      <c r="J73" s="493" t="s">
        <v>530</v>
      </c>
      <c r="K73" s="493" t="s">
        <v>530</v>
      </c>
    </row>
    <row r="74" spans="1:11" s="266" customFormat="1" ht="15" x14ac:dyDescent="0.25">
      <c r="A74" s="86">
        <f>Données!A74</f>
        <v>5520</v>
      </c>
      <c r="B74" s="405" t="str">
        <f>Données!B74</f>
        <v>Essertines-sur-Yverdon</v>
      </c>
      <c r="C74" s="263">
        <f>Synthèse!G73</f>
        <v>460499.24569750077</v>
      </c>
      <c r="D74" s="484" t="s">
        <v>530</v>
      </c>
      <c r="E74" s="485" t="s">
        <v>530</v>
      </c>
      <c r="F74" s="262">
        <f>Synthèse!F73</f>
        <v>-169206.27346982306</v>
      </c>
      <c r="G74" s="489" t="s">
        <v>530</v>
      </c>
      <c r="H74" s="489" t="s">
        <v>530</v>
      </c>
      <c r="I74" s="263">
        <f>Synthèse!H73</f>
        <v>96709.509486913987</v>
      </c>
      <c r="J74" s="493" t="s">
        <v>530</v>
      </c>
      <c r="K74" s="493" t="s">
        <v>530</v>
      </c>
    </row>
    <row r="75" spans="1:11" s="266" customFormat="1" ht="15" x14ac:dyDescent="0.25">
      <c r="A75" s="86">
        <f>Données!A75</f>
        <v>5521</v>
      </c>
      <c r="B75" s="405" t="str">
        <f>Données!B75</f>
        <v>Etagnières</v>
      </c>
      <c r="C75" s="263">
        <f>Synthèse!G74</f>
        <v>666693.74210520834</v>
      </c>
      <c r="D75" s="484" t="s">
        <v>530</v>
      </c>
      <c r="E75" s="485" t="s">
        <v>530</v>
      </c>
      <c r="F75" s="262">
        <f>Synthèse!F74</f>
        <v>278634.06124907732</v>
      </c>
      <c r="G75" s="489" t="s">
        <v>530</v>
      </c>
      <c r="H75" s="489" t="s">
        <v>530</v>
      </c>
      <c r="I75" s="263">
        <f>Synthèse!H74</f>
        <v>129793.09199216435</v>
      </c>
      <c r="J75" s="493" t="s">
        <v>530</v>
      </c>
      <c r="K75" s="493" t="s">
        <v>530</v>
      </c>
    </row>
    <row r="76" spans="1:11" s="266" customFormat="1" ht="15" x14ac:dyDescent="0.25">
      <c r="A76" s="86">
        <f>Données!A76</f>
        <v>5522</v>
      </c>
      <c r="B76" s="405" t="str">
        <f>Données!B76</f>
        <v>Fey</v>
      </c>
      <c r="C76" s="263">
        <f>Synthèse!G75</f>
        <v>346079.26767299749</v>
      </c>
      <c r="D76" s="484" t="s">
        <v>530</v>
      </c>
      <c r="E76" s="485" t="s">
        <v>530</v>
      </c>
      <c r="F76" s="262">
        <f>Synthèse!F75</f>
        <v>54615.785462690284</v>
      </c>
      <c r="G76" s="489" t="s">
        <v>530</v>
      </c>
      <c r="H76" s="489" t="s">
        <v>530</v>
      </c>
      <c r="I76" s="263">
        <f>Synthèse!H75</f>
        <v>73218.921945241949</v>
      </c>
      <c r="J76" s="493" t="s">
        <v>530</v>
      </c>
      <c r="K76" s="493" t="s">
        <v>530</v>
      </c>
    </row>
    <row r="77" spans="1:11" s="266" customFormat="1" ht="15" x14ac:dyDescent="0.25">
      <c r="A77" s="86">
        <f>Données!A77</f>
        <v>5523</v>
      </c>
      <c r="B77" s="405" t="str">
        <f>Données!B77</f>
        <v>Froideville</v>
      </c>
      <c r="C77" s="263">
        <f>Synthèse!G76</f>
        <v>1695478.4785619976</v>
      </c>
      <c r="D77" s="484" t="s">
        <v>530</v>
      </c>
      <c r="E77" s="485" t="s">
        <v>530</v>
      </c>
      <c r="F77" s="262">
        <f>Synthèse!F76</f>
        <v>190894.11172008514</v>
      </c>
      <c r="G77" s="489" t="s">
        <v>530</v>
      </c>
      <c r="H77" s="489" t="s">
        <v>530</v>
      </c>
      <c r="I77" s="263">
        <f>Synthèse!H76</f>
        <v>286333.61338128592</v>
      </c>
      <c r="J77" s="493" t="s">
        <v>530</v>
      </c>
      <c r="K77" s="493" t="s">
        <v>530</v>
      </c>
    </row>
    <row r="78" spans="1:11" s="266" customFormat="1" ht="15" x14ac:dyDescent="0.25">
      <c r="A78" s="86">
        <f>Données!A78</f>
        <v>5527</v>
      </c>
      <c r="B78" s="405" t="str">
        <f>Données!B78</f>
        <v>Morrens</v>
      </c>
      <c r="C78" s="263">
        <f>Synthèse!G77</f>
        <v>631951.266889408</v>
      </c>
      <c r="D78" s="484" t="s">
        <v>530</v>
      </c>
      <c r="E78" s="485" t="s">
        <v>530</v>
      </c>
      <c r="F78" s="262">
        <f>Synthèse!F77</f>
        <v>196024.4057051437</v>
      </c>
      <c r="G78" s="489" t="s">
        <v>530</v>
      </c>
      <c r="H78" s="489" t="s">
        <v>530</v>
      </c>
      <c r="I78" s="263">
        <f>Synthèse!H77</f>
        <v>120284.45390045687</v>
      </c>
      <c r="J78" s="493" t="s">
        <v>530</v>
      </c>
      <c r="K78" s="493" t="s">
        <v>530</v>
      </c>
    </row>
    <row r="79" spans="1:11" s="266" customFormat="1" ht="15" x14ac:dyDescent="0.25">
      <c r="A79" s="86">
        <f>Données!A79</f>
        <v>5529</v>
      </c>
      <c r="B79" s="405" t="str">
        <f>Données!B79</f>
        <v>Oulens-sous-Echallens</v>
      </c>
      <c r="C79" s="263">
        <f>Synthèse!G78</f>
        <v>411608.65618851094</v>
      </c>
      <c r="D79" s="484" t="s">
        <v>530</v>
      </c>
      <c r="E79" s="485" t="s">
        <v>530</v>
      </c>
      <c r="F79" s="262">
        <f>Synthèse!F78</f>
        <v>23594.820130852109</v>
      </c>
      <c r="G79" s="489" t="s">
        <v>530</v>
      </c>
      <c r="H79" s="489" t="s">
        <v>530</v>
      </c>
      <c r="I79" s="263">
        <f>Synthèse!H78</f>
        <v>64503.628273502676</v>
      </c>
      <c r="J79" s="493" t="s">
        <v>530</v>
      </c>
      <c r="K79" s="493" t="s">
        <v>530</v>
      </c>
    </row>
    <row r="80" spans="1:11" s="266" customFormat="1" ht="15" x14ac:dyDescent="0.25">
      <c r="A80" s="86">
        <f>Données!A80</f>
        <v>5530</v>
      </c>
      <c r="B80" s="405" t="str">
        <f>Données!B80</f>
        <v>Pailly</v>
      </c>
      <c r="C80" s="263">
        <f>Synthèse!G79</f>
        <v>307277.39592008304</v>
      </c>
      <c r="D80" s="484" t="s">
        <v>530</v>
      </c>
      <c r="E80" s="485" t="s">
        <v>530</v>
      </c>
      <c r="F80" s="262">
        <f>Synthèse!F79</f>
        <v>-684290.79293732112</v>
      </c>
      <c r="G80" s="489" t="s">
        <v>530</v>
      </c>
      <c r="H80" s="489" t="s">
        <v>530</v>
      </c>
      <c r="I80" s="263">
        <f>Synthèse!H79</f>
        <v>59340.783529832734</v>
      </c>
      <c r="J80" s="493" t="s">
        <v>530</v>
      </c>
      <c r="K80" s="493" t="s">
        <v>530</v>
      </c>
    </row>
    <row r="81" spans="1:11" s="266" customFormat="1" ht="15" x14ac:dyDescent="0.25">
      <c r="A81" s="86">
        <f>Données!A81</f>
        <v>5531</v>
      </c>
      <c r="B81" s="405" t="str">
        <f>Données!B81</f>
        <v>Penthéréaz</v>
      </c>
      <c r="C81" s="263">
        <f>Synthèse!G80</f>
        <v>243534.14040082615</v>
      </c>
      <c r="D81" s="484" t="s">
        <v>530</v>
      </c>
      <c r="E81" s="485" t="s">
        <v>530</v>
      </c>
      <c r="F81" s="262">
        <f>Synthèse!F80</f>
        <v>11150.734318471747</v>
      </c>
      <c r="G81" s="489" t="s">
        <v>530</v>
      </c>
      <c r="H81" s="489" t="s">
        <v>530</v>
      </c>
      <c r="I81" s="263">
        <f>Synthèse!H80</f>
        <v>43852.99315137809</v>
      </c>
      <c r="J81" s="493" t="s">
        <v>530</v>
      </c>
      <c r="K81" s="493" t="s">
        <v>530</v>
      </c>
    </row>
    <row r="82" spans="1:11" s="266" customFormat="1" ht="15" x14ac:dyDescent="0.25">
      <c r="A82" s="86">
        <f>Données!A82</f>
        <v>5533</v>
      </c>
      <c r="B82" s="405" t="str">
        <f>Données!B82</f>
        <v>Poliez-Pittet</v>
      </c>
      <c r="C82" s="263">
        <f>Synthèse!G81</f>
        <v>365462.71928225301</v>
      </c>
      <c r="D82" s="484" t="s">
        <v>530</v>
      </c>
      <c r="E82" s="485" t="s">
        <v>530</v>
      </c>
      <c r="F82" s="262">
        <f>Synthèse!F81</f>
        <v>84875.005151263904</v>
      </c>
      <c r="G82" s="489" t="s">
        <v>530</v>
      </c>
      <c r="H82" s="489" t="s">
        <v>530</v>
      </c>
      <c r="I82" s="263">
        <f>Synthèse!H81</f>
        <v>84398.695595665195</v>
      </c>
      <c r="J82" s="493" t="s">
        <v>530</v>
      </c>
      <c r="K82" s="493" t="s">
        <v>530</v>
      </c>
    </row>
    <row r="83" spans="1:11" s="266" customFormat="1" ht="15" x14ac:dyDescent="0.25">
      <c r="A83" s="86">
        <f>Données!A83</f>
        <v>5534</v>
      </c>
      <c r="B83" s="405" t="str">
        <f>Données!B83</f>
        <v>Rueyres</v>
      </c>
      <c r="C83" s="263">
        <f>Synthèse!G82</f>
        <v>227488.35821795237</v>
      </c>
      <c r="D83" s="484" t="s">
        <v>530</v>
      </c>
      <c r="E83" s="485" t="s">
        <v>530</v>
      </c>
      <c r="F83" s="262">
        <f>Synthèse!F82</f>
        <v>178213.78034417215</v>
      </c>
      <c r="G83" s="489" t="s">
        <v>530</v>
      </c>
      <c r="H83" s="489" t="s">
        <v>530</v>
      </c>
      <c r="I83" s="263">
        <f>Synthèse!H82</f>
        <v>40024.363544629043</v>
      </c>
      <c r="J83" s="493" t="s">
        <v>530</v>
      </c>
      <c r="K83" s="493" t="s">
        <v>530</v>
      </c>
    </row>
    <row r="84" spans="1:11" s="266" customFormat="1" ht="15" x14ac:dyDescent="0.25">
      <c r="A84" s="86">
        <f>Données!A84</f>
        <v>5535</v>
      </c>
      <c r="B84" s="405" t="str">
        <f>Données!B84</f>
        <v>Saint-Barthélemy</v>
      </c>
      <c r="C84" s="263">
        <f>Synthèse!G83</f>
        <v>379714.98574610299</v>
      </c>
      <c r="D84" s="484" t="s">
        <v>530</v>
      </c>
      <c r="E84" s="485" t="s">
        <v>530</v>
      </c>
      <c r="F84" s="262">
        <f>Synthèse!F83</f>
        <v>31557.173893533763</v>
      </c>
      <c r="G84" s="489" t="s">
        <v>530</v>
      </c>
      <c r="H84" s="489" t="s">
        <v>530</v>
      </c>
      <c r="I84" s="263">
        <f>Synthèse!H83</f>
        <v>76906.00083392646</v>
      </c>
      <c r="J84" s="493" t="s">
        <v>530</v>
      </c>
      <c r="K84" s="493" t="s">
        <v>530</v>
      </c>
    </row>
    <row r="85" spans="1:11" s="266" customFormat="1" ht="15" x14ac:dyDescent="0.25">
      <c r="A85" s="86">
        <f>Données!A85</f>
        <v>5537</v>
      </c>
      <c r="B85" s="405" t="str">
        <f>Données!B85</f>
        <v>Villars-le-Terroir</v>
      </c>
      <c r="C85" s="263">
        <f>Synthèse!G84</f>
        <v>602378.93483354908</v>
      </c>
      <c r="D85" s="484" t="s">
        <v>530</v>
      </c>
      <c r="E85" s="485" t="s">
        <v>530</v>
      </c>
      <c r="F85" s="262">
        <f>Synthèse!F84</f>
        <v>79179.615649796324</v>
      </c>
      <c r="G85" s="489" t="s">
        <v>530</v>
      </c>
      <c r="H85" s="489" t="s">
        <v>530</v>
      </c>
      <c r="I85" s="263">
        <f>Synthèse!H84</f>
        <v>131794.2641722624</v>
      </c>
      <c r="J85" s="493" t="s">
        <v>530</v>
      </c>
      <c r="K85" s="493" t="s">
        <v>530</v>
      </c>
    </row>
    <row r="86" spans="1:11" s="266" customFormat="1" ht="15" x14ac:dyDescent="0.25">
      <c r="A86" s="86">
        <f>Données!A86</f>
        <v>5539</v>
      </c>
      <c r="B86" s="405" t="str">
        <f>Données!B86</f>
        <v>Vuarrens</v>
      </c>
      <c r="C86" s="263">
        <f>Synthèse!G85</f>
        <v>564099.30689304799</v>
      </c>
      <c r="D86" s="484" t="s">
        <v>530</v>
      </c>
      <c r="E86" s="485" t="s">
        <v>530</v>
      </c>
      <c r="F86" s="262">
        <f>Synthèse!F85</f>
        <v>78677.087421498261</v>
      </c>
      <c r="G86" s="489" t="s">
        <v>530</v>
      </c>
      <c r="H86" s="489" t="s">
        <v>530</v>
      </c>
      <c r="I86" s="263">
        <f>Synthèse!H85</f>
        <v>106030.07104591942</v>
      </c>
      <c r="J86" s="493" t="s">
        <v>530</v>
      </c>
      <c r="K86" s="493" t="s">
        <v>530</v>
      </c>
    </row>
    <row r="87" spans="1:11" s="266" customFormat="1" ht="15" x14ac:dyDescent="0.25">
      <c r="A87" s="86">
        <f>Données!A87</f>
        <v>5540</v>
      </c>
      <c r="B87" s="405" t="str">
        <f>Données!B87</f>
        <v>Montilliez</v>
      </c>
      <c r="C87" s="263">
        <f>Synthèse!G86</f>
        <v>952578.63797295908</v>
      </c>
      <c r="D87" s="484" t="s">
        <v>530</v>
      </c>
      <c r="E87" s="485" t="s">
        <v>530</v>
      </c>
      <c r="F87" s="262">
        <f>Synthèse!F86</f>
        <v>89628.087240702473</v>
      </c>
      <c r="G87" s="489" t="s">
        <v>530</v>
      </c>
      <c r="H87" s="489" t="s">
        <v>530</v>
      </c>
      <c r="I87" s="263">
        <f>Synthèse!H86</f>
        <v>194151.22000904343</v>
      </c>
      <c r="J87" s="493" t="s">
        <v>530</v>
      </c>
      <c r="K87" s="493" t="s">
        <v>530</v>
      </c>
    </row>
    <row r="88" spans="1:11" s="266" customFormat="1" ht="15" x14ac:dyDescent="0.25">
      <c r="A88" s="86">
        <f>Données!A88</f>
        <v>5541</v>
      </c>
      <c r="B88" s="405" t="str">
        <f>Données!B88</f>
        <v>Goumoëns</v>
      </c>
      <c r="C88" s="263">
        <f>Synthèse!G87</f>
        <v>603174.69885353022</v>
      </c>
      <c r="D88" s="484" t="s">
        <v>530</v>
      </c>
      <c r="E88" s="485" t="s">
        <v>530</v>
      </c>
      <c r="F88" s="262">
        <f>Synthèse!F87</f>
        <v>244413.06124932575</v>
      </c>
      <c r="G88" s="489" t="s">
        <v>530</v>
      </c>
      <c r="H88" s="489" t="s">
        <v>530</v>
      </c>
      <c r="I88" s="263">
        <f>Synthèse!H87</f>
        <v>127262.55710965861</v>
      </c>
      <c r="J88" s="493" t="s">
        <v>530</v>
      </c>
      <c r="K88" s="493" t="s">
        <v>530</v>
      </c>
    </row>
    <row r="89" spans="1:11" s="266" customFormat="1" ht="15" x14ac:dyDescent="0.25">
      <c r="A89" s="86">
        <f>Données!A89</f>
        <v>5551</v>
      </c>
      <c r="B89" s="405" t="str">
        <f>Données!B89</f>
        <v>Bonvillars</v>
      </c>
      <c r="C89" s="263">
        <f>Synthèse!G88</f>
        <v>292092.82369537128</v>
      </c>
      <c r="D89" s="484" t="s">
        <v>530</v>
      </c>
      <c r="E89" s="485" t="s">
        <v>530</v>
      </c>
      <c r="F89" s="262">
        <f>Synthèse!F88</f>
        <v>120925.64278869782</v>
      </c>
      <c r="G89" s="489" t="s">
        <v>530</v>
      </c>
      <c r="H89" s="489" t="s">
        <v>530</v>
      </c>
      <c r="I89" s="263">
        <f>Synthèse!H88</f>
        <v>55728.782632211063</v>
      </c>
      <c r="J89" s="493" t="s">
        <v>530</v>
      </c>
      <c r="K89" s="493" t="s">
        <v>530</v>
      </c>
    </row>
    <row r="90" spans="1:11" s="266" customFormat="1" ht="15" x14ac:dyDescent="0.25">
      <c r="A90" s="86">
        <f>Données!A90</f>
        <v>5552</v>
      </c>
      <c r="B90" s="405" t="str">
        <f>Données!B90</f>
        <v>Bullet</v>
      </c>
      <c r="C90" s="263">
        <f>Synthèse!G89</f>
        <v>449795.43360071484</v>
      </c>
      <c r="D90" s="484" t="s">
        <v>530</v>
      </c>
      <c r="E90" s="485" t="s">
        <v>530</v>
      </c>
      <c r="F90" s="262">
        <f>Synthèse!F89</f>
        <v>-157015.04909952777</v>
      </c>
      <c r="G90" s="489" t="s">
        <v>530</v>
      </c>
      <c r="H90" s="489" t="s">
        <v>530</v>
      </c>
      <c r="I90" s="263">
        <f>Synthèse!H89</f>
        <v>59443.243842538985</v>
      </c>
      <c r="J90" s="493" t="s">
        <v>530</v>
      </c>
      <c r="K90" s="493" t="s">
        <v>530</v>
      </c>
    </row>
    <row r="91" spans="1:11" s="266" customFormat="1" ht="15" x14ac:dyDescent="0.25">
      <c r="A91" s="86">
        <f>Données!A91</f>
        <v>5553</v>
      </c>
      <c r="B91" s="405" t="str">
        <f>Données!B91</f>
        <v>Champagne</v>
      </c>
      <c r="C91" s="263">
        <f>Synthèse!G90</f>
        <v>632452.68731048016</v>
      </c>
      <c r="D91" s="484" t="s">
        <v>530</v>
      </c>
      <c r="E91" s="485" t="s">
        <v>530</v>
      </c>
      <c r="F91" s="262">
        <f>Synthèse!F90</f>
        <v>172882.63918939466</v>
      </c>
      <c r="G91" s="489" t="s">
        <v>530</v>
      </c>
      <c r="H91" s="489" t="s">
        <v>530</v>
      </c>
      <c r="I91" s="263">
        <f>Synthèse!H90</f>
        <v>121427.6527961152</v>
      </c>
      <c r="J91" s="493" t="s">
        <v>530</v>
      </c>
      <c r="K91" s="493" t="s">
        <v>530</v>
      </c>
    </row>
    <row r="92" spans="1:11" s="266" customFormat="1" ht="15" x14ac:dyDescent="0.25">
      <c r="A92" s="86">
        <f>Données!A92</f>
        <v>5554</v>
      </c>
      <c r="B92" s="405" t="str">
        <f>Données!B92</f>
        <v>Concise</v>
      </c>
      <c r="C92" s="263">
        <f>Synthèse!G91</f>
        <v>1075306.9487601181</v>
      </c>
      <c r="D92" s="484" t="s">
        <v>530</v>
      </c>
      <c r="E92" s="485" t="s">
        <v>530</v>
      </c>
      <c r="F92" s="262">
        <f>Synthèse!F91</f>
        <v>-141545.66955192899</v>
      </c>
      <c r="G92" s="489" t="s">
        <v>530</v>
      </c>
      <c r="H92" s="489" t="s">
        <v>530</v>
      </c>
      <c r="I92" s="263">
        <f>Synthèse!H91</f>
        <v>96598.639504429593</v>
      </c>
      <c r="J92" s="493" t="s">
        <v>530</v>
      </c>
      <c r="K92" s="493" t="s">
        <v>530</v>
      </c>
    </row>
    <row r="93" spans="1:11" s="266" customFormat="1" ht="15" x14ac:dyDescent="0.25">
      <c r="A93" s="86">
        <f>Données!A93</f>
        <v>5555</v>
      </c>
      <c r="B93" s="405" t="str">
        <f>Données!B93</f>
        <v>Corcelles-près-Concise</v>
      </c>
      <c r="C93" s="263">
        <f>Synthèse!G92</f>
        <v>228999.32987409062</v>
      </c>
      <c r="D93" s="484" t="s">
        <v>530</v>
      </c>
      <c r="E93" s="485" t="s">
        <v>530</v>
      </c>
      <c r="F93" s="262">
        <f>Synthèse!F92</f>
        <v>-111090.08608681412</v>
      </c>
      <c r="G93" s="489" t="s">
        <v>530</v>
      </c>
      <c r="H93" s="489" t="s">
        <v>530</v>
      </c>
      <c r="I93" s="263">
        <f>Synthèse!H92</f>
        <v>42021.29135953998</v>
      </c>
      <c r="J93" s="493" t="s">
        <v>530</v>
      </c>
      <c r="K93" s="493" t="s">
        <v>530</v>
      </c>
    </row>
    <row r="94" spans="1:11" s="266" customFormat="1" ht="15" x14ac:dyDescent="0.25">
      <c r="A94" s="86">
        <f>Données!A94</f>
        <v>5556</v>
      </c>
      <c r="B94" s="405" t="str">
        <f>Données!B94</f>
        <v>Fiez</v>
      </c>
      <c r="C94" s="263">
        <f>Synthèse!G93</f>
        <v>213968.46529231436</v>
      </c>
      <c r="D94" s="484" t="s">
        <v>530</v>
      </c>
      <c r="E94" s="485" t="s">
        <v>530</v>
      </c>
      <c r="F94" s="262">
        <f>Synthèse!F93</f>
        <v>24798.383892392827</v>
      </c>
      <c r="G94" s="489" t="s">
        <v>530</v>
      </c>
      <c r="H94" s="489" t="s">
        <v>530</v>
      </c>
      <c r="I94" s="263">
        <f>Synthèse!H93</f>
        <v>44736.726425097033</v>
      </c>
      <c r="J94" s="493" t="s">
        <v>530</v>
      </c>
      <c r="K94" s="493" t="s">
        <v>530</v>
      </c>
    </row>
    <row r="95" spans="1:11" s="266" customFormat="1" ht="15" x14ac:dyDescent="0.25">
      <c r="A95" s="86">
        <f>Données!A95</f>
        <v>5557</v>
      </c>
      <c r="B95" s="405" t="str">
        <f>Données!B95</f>
        <v>Fontaines-sur-Grandson</v>
      </c>
      <c r="C95" s="263">
        <f>Synthèse!G94</f>
        <v>60373.077808061229</v>
      </c>
      <c r="D95" s="484" t="s">
        <v>530</v>
      </c>
      <c r="E95" s="485" t="s">
        <v>530</v>
      </c>
      <c r="F95" s="262">
        <f>Synthèse!F94</f>
        <v>-100439.70170387672</v>
      </c>
      <c r="G95" s="489" t="s">
        <v>530</v>
      </c>
      <c r="H95" s="489" t="s">
        <v>530</v>
      </c>
      <c r="I95" s="263">
        <f>Synthèse!H94</f>
        <v>12598.837097825632</v>
      </c>
      <c r="J95" s="493" t="s">
        <v>530</v>
      </c>
      <c r="K95" s="493" t="s">
        <v>530</v>
      </c>
    </row>
    <row r="96" spans="1:11" s="266" customFormat="1" ht="15" x14ac:dyDescent="0.25">
      <c r="A96" s="86">
        <f>Données!A96</f>
        <v>5559</v>
      </c>
      <c r="B96" s="405" t="str">
        <f>Données!B96</f>
        <v>Giez</v>
      </c>
      <c r="C96" s="263">
        <f>Synthèse!G95</f>
        <v>420811.29355427809</v>
      </c>
      <c r="D96" s="484" t="s">
        <v>530</v>
      </c>
      <c r="E96" s="485" t="s">
        <v>530</v>
      </c>
      <c r="F96" s="262">
        <f>Synthèse!F95</f>
        <v>394480.06143632869</v>
      </c>
      <c r="G96" s="489" t="s">
        <v>530</v>
      </c>
      <c r="H96" s="489" t="s">
        <v>530</v>
      </c>
      <c r="I96" s="263">
        <f>Synthèse!H95</f>
        <v>67900.883227010068</v>
      </c>
      <c r="J96" s="493" t="s">
        <v>530</v>
      </c>
      <c r="K96" s="493" t="s">
        <v>530</v>
      </c>
    </row>
    <row r="97" spans="1:11" s="266" customFormat="1" ht="15" x14ac:dyDescent="0.25">
      <c r="A97" s="86">
        <f>Données!A97</f>
        <v>5560</v>
      </c>
      <c r="B97" s="405" t="str">
        <f>Données!B97</f>
        <v>Grandevent</v>
      </c>
      <c r="C97" s="263">
        <f>Synthèse!G96</f>
        <v>132775.34940299293</v>
      </c>
      <c r="D97" s="484" t="s">
        <v>530</v>
      </c>
      <c r="E97" s="485" t="s">
        <v>530</v>
      </c>
      <c r="F97" s="262">
        <f>Synthèse!F96</f>
        <v>7727.2874209694855</v>
      </c>
      <c r="G97" s="489" t="s">
        <v>530</v>
      </c>
      <c r="H97" s="489" t="s">
        <v>530</v>
      </c>
      <c r="I97" s="263">
        <f>Synthèse!H96</f>
        <v>21314.554374723535</v>
      </c>
      <c r="J97" s="493" t="s">
        <v>530</v>
      </c>
      <c r="K97" s="493" t="s">
        <v>530</v>
      </c>
    </row>
    <row r="98" spans="1:11" s="266" customFormat="1" ht="15" x14ac:dyDescent="0.25">
      <c r="A98" s="86">
        <f>Données!A98</f>
        <v>5561</v>
      </c>
      <c r="B98" s="405" t="str">
        <f>Données!B98</f>
        <v>Grandson</v>
      </c>
      <c r="C98" s="263">
        <f>Synthèse!G97</f>
        <v>2091686.8807075201</v>
      </c>
      <c r="D98" s="484" t="s">
        <v>530</v>
      </c>
      <c r="E98" s="485" t="s">
        <v>530</v>
      </c>
      <c r="F98" s="262">
        <f>Synthèse!F97</f>
        <v>-737431.53370683175</v>
      </c>
      <c r="G98" s="489" t="s">
        <v>530</v>
      </c>
      <c r="H98" s="489" t="s">
        <v>530</v>
      </c>
      <c r="I98" s="263">
        <f>Synthèse!H97</f>
        <v>349604.56967079284</v>
      </c>
      <c r="J98" s="493" t="s">
        <v>530</v>
      </c>
      <c r="K98" s="493" t="s">
        <v>530</v>
      </c>
    </row>
    <row r="99" spans="1:11" s="266" customFormat="1" ht="15" x14ac:dyDescent="0.25">
      <c r="A99" s="86">
        <f>Données!A99</f>
        <v>5562</v>
      </c>
      <c r="B99" s="405" t="str">
        <f>Données!B99</f>
        <v>Mauborget</v>
      </c>
      <c r="C99" s="263">
        <f>Synthèse!G98</f>
        <v>99456.67527077737</v>
      </c>
      <c r="D99" s="484" t="s">
        <v>530</v>
      </c>
      <c r="E99" s="485" t="s">
        <v>530</v>
      </c>
      <c r="F99" s="262">
        <f>Synthèse!F98</f>
        <v>83423.537954083993</v>
      </c>
      <c r="G99" s="489" t="s">
        <v>530</v>
      </c>
      <c r="H99" s="489" t="s">
        <v>530</v>
      </c>
      <c r="I99" s="263">
        <f>Synthèse!H98</f>
        <v>18722.610569951426</v>
      </c>
      <c r="J99" s="493" t="s">
        <v>530</v>
      </c>
      <c r="K99" s="493" t="s">
        <v>530</v>
      </c>
    </row>
    <row r="100" spans="1:11" s="266" customFormat="1" ht="15" x14ac:dyDescent="0.25">
      <c r="A100" s="86">
        <f>Données!A100</f>
        <v>5563</v>
      </c>
      <c r="B100" s="405" t="str">
        <f>Données!B100</f>
        <v>Mutrux</v>
      </c>
      <c r="C100" s="263">
        <f>Synthèse!G99</f>
        <v>93830.127993141519</v>
      </c>
      <c r="D100" s="484" t="s">
        <v>530</v>
      </c>
      <c r="E100" s="485" t="s">
        <v>530</v>
      </c>
      <c r="F100" s="262">
        <f>Synthèse!F99</f>
        <v>-33675.228608976424</v>
      </c>
      <c r="G100" s="489" t="s">
        <v>530</v>
      </c>
      <c r="H100" s="489" t="s">
        <v>530</v>
      </c>
      <c r="I100" s="263">
        <f>Synthèse!H99</f>
        <v>13252.208463559744</v>
      </c>
      <c r="J100" s="493" t="s">
        <v>530</v>
      </c>
      <c r="K100" s="493" t="s">
        <v>530</v>
      </c>
    </row>
    <row r="101" spans="1:11" s="266" customFormat="1" ht="15" x14ac:dyDescent="0.25">
      <c r="A101" s="86">
        <f>Données!A101</f>
        <v>5564</v>
      </c>
      <c r="B101" s="405" t="str">
        <f>Données!B101</f>
        <v>Novalles</v>
      </c>
      <c r="C101" s="263">
        <f>Synthèse!G100</f>
        <v>28483.187224289744</v>
      </c>
      <c r="D101" s="484" t="s">
        <v>530</v>
      </c>
      <c r="E101" s="485" t="s">
        <v>530</v>
      </c>
      <c r="F101" s="262">
        <f>Synthèse!F100</f>
        <v>-69456.310132981191</v>
      </c>
      <c r="G101" s="489" t="s">
        <v>530</v>
      </c>
      <c r="H101" s="489" t="s">
        <v>530</v>
      </c>
      <c r="I101" s="263">
        <f>Synthèse!H100</f>
        <v>6396.7432385064812</v>
      </c>
      <c r="J101" s="493" t="s">
        <v>530</v>
      </c>
      <c r="K101" s="493" t="s">
        <v>530</v>
      </c>
    </row>
    <row r="102" spans="1:11" s="266" customFormat="1" ht="15" x14ac:dyDescent="0.25">
      <c r="A102" s="86">
        <f>Données!A102</f>
        <v>5565</v>
      </c>
      <c r="B102" s="405" t="str">
        <f>Données!B102</f>
        <v>Onnens</v>
      </c>
      <c r="C102" s="263">
        <f>Synthèse!G101</f>
        <v>344563.58912419493</v>
      </c>
      <c r="D102" s="484" t="s">
        <v>530</v>
      </c>
      <c r="E102" s="485" t="s">
        <v>530</v>
      </c>
      <c r="F102" s="262">
        <f>Synthèse!F101</f>
        <v>288573.86423174938</v>
      </c>
      <c r="G102" s="489" t="s">
        <v>530</v>
      </c>
      <c r="H102" s="489" t="s">
        <v>530</v>
      </c>
      <c r="I102" s="263">
        <f>Synthèse!H101</f>
        <v>68308.230917162087</v>
      </c>
      <c r="J102" s="493" t="s">
        <v>530</v>
      </c>
      <c r="K102" s="493" t="s">
        <v>530</v>
      </c>
    </row>
    <row r="103" spans="1:11" s="266" customFormat="1" ht="15" x14ac:dyDescent="0.25">
      <c r="A103" s="86">
        <f>Données!A103</f>
        <v>5566</v>
      </c>
      <c r="B103" s="405" t="str">
        <f>Données!B103</f>
        <v>Provence</v>
      </c>
      <c r="C103" s="263">
        <f>Synthèse!G102</f>
        <v>146591.13102718454</v>
      </c>
      <c r="D103" s="484" t="s">
        <v>530</v>
      </c>
      <c r="E103" s="485" t="s">
        <v>530</v>
      </c>
      <c r="F103" s="262">
        <f>Synthèse!F102</f>
        <v>-526868.34524371475</v>
      </c>
      <c r="G103" s="489" t="s">
        <v>530</v>
      </c>
      <c r="H103" s="489" t="s">
        <v>530</v>
      </c>
      <c r="I103" s="263">
        <f>Synthèse!H102</f>
        <v>28843.583464014686</v>
      </c>
      <c r="J103" s="493" t="s">
        <v>530</v>
      </c>
      <c r="K103" s="493" t="s">
        <v>530</v>
      </c>
    </row>
    <row r="104" spans="1:11" s="266" customFormat="1" ht="15" x14ac:dyDescent="0.25">
      <c r="A104" s="86">
        <f>Données!A104</f>
        <v>5568</v>
      </c>
      <c r="B104" s="405" t="str">
        <f>Données!B104</f>
        <v>Sainte-Croix</v>
      </c>
      <c r="C104" s="263">
        <f>Synthèse!G103</f>
        <v>2637036.9130446548</v>
      </c>
      <c r="D104" s="484" t="s">
        <v>530</v>
      </c>
      <c r="E104" s="485" t="s">
        <v>530</v>
      </c>
      <c r="F104" s="262">
        <f>Synthèse!F103</f>
        <v>-3856487.4321040679</v>
      </c>
      <c r="G104" s="489" t="s">
        <v>530</v>
      </c>
      <c r="H104" s="489" t="s">
        <v>530</v>
      </c>
      <c r="I104" s="263">
        <f>Synthèse!H103</f>
        <v>332077.25686367694</v>
      </c>
      <c r="J104" s="493" t="s">
        <v>530</v>
      </c>
      <c r="K104" s="493" t="s">
        <v>530</v>
      </c>
    </row>
    <row r="105" spans="1:11" s="266" customFormat="1" ht="15" x14ac:dyDescent="0.25">
      <c r="A105" s="86">
        <f>Données!A105</f>
        <v>5571</v>
      </c>
      <c r="B105" s="405" t="str">
        <f>Données!B105</f>
        <v>Tévenon</v>
      </c>
      <c r="C105" s="263">
        <f>Synthèse!G104</f>
        <v>442748.87994676997</v>
      </c>
      <c r="D105" s="484" t="s">
        <v>530</v>
      </c>
      <c r="E105" s="485" t="s">
        <v>530</v>
      </c>
      <c r="F105" s="262">
        <f>Synthèse!F104</f>
        <v>-194631.6746637685</v>
      </c>
      <c r="G105" s="489" t="s">
        <v>530</v>
      </c>
      <c r="H105" s="489" t="s">
        <v>530</v>
      </c>
      <c r="I105" s="263">
        <f>Synthèse!H104</f>
        <v>76784.626638172122</v>
      </c>
      <c r="J105" s="493" t="s">
        <v>530</v>
      </c>
      <c r="K105" s="493" t="s">
        <v>530</v>
      </c>
    </row>
    <row r="106" spans="1:11" s="266" customFormat="1" ht="15" x14ac:dyDescent="0.25">
      <c r="A106" s="86">
        <f>Données!A106</f>
        <v>5581</v>
      </c>
      <c r="B106" s="405" t="str">
        <f>Données!B106</f>
        <v>Belmont-sur-Lausanne</v>
      </c>
      <c r="C106" s="263">
        <f>Synthèse!G105</f>
        <v>3971884.0853790878</v>
      </c>
      <c r="D106" s="484" t="s">
        <v>530</v>
      </c>
      <c r="E106" s="485" t="s">
        <v>530</v>
      </c>
      <c r="F106" s="262">
        <f>Synthèse!F105</f>
        <v>2035851.0236766986</v>
      </c>
      <c r="G106" s="489" t="s">
        <v>530</v>
      </c>
      <c r="H106" s="489" t="s">
        <v>530</v>
      </c>
      <c r="I106" s="263">
        <f>Synthèse!H105</f>
        <v>264022.01368846698</v>
      </c>
      <c r="J106" s="493" t="s">
        <v>530</v>
      </c>
      <c r="K106" s="493" t="s">
        <v>530</v>
      </c>
    </row>
    <row r="107" spans="1:11" s="266" customFormat="1" ht="15" x14ac:dyDescent="0.25">
      <c r="A107" s="86">
        <f>Données!A107</f>
        <v>5582</v>
      </c>
      <c r="B107" s="405" t="str">
        <f>Données!B107</f>
        <v>Cheseaux-sur-Lausanne</v>
      </c>
      <c r="C107" s="263">
        <f>Synthèse!G106</f>
        <v>3152508.3572977409</v>
      </c>
      <c r="D107" s="484" t="s">
        <v>530</v>
      </c>
      <c r="E107" s="485" t="s">
        <v>530</v>
      </c>
      <c r="F107" s="262">
        <f>Synthèse!F106</f>
        <v>173477.35864412831</v>
      </c>
      <c r="G107" s="489" t="s">
        <v>530</v>
      </c>
      <c r="H107" s="489" t="s">
        <v>530</v>
      </c>
      <c r="I107" s="263">
        <f>Synthèse!H106</f>
        <v>511894.43818170991</v>
      </c>
      <c r="J107" s="493" t="s">
        <v>530</v>
      </c>
      <c r="K107" s="493" t="s">
        <v>530</v>
      </c>
    </row>
    <row r="108" spans="1:11" s="266" customFormat="1" ht="15" x14ac:dyDescent="0.25">
      <c r="A108" s="86">
        <f>Données!A108</f>
        <v>5583</v>
      </c>
      <c r="B108" s="405" t="str">
        <f>Données!B108</f>
        <v>Crissier</v>
      </c>
      <c r="C108" s="263">
        <f>Synthèse!G107</f>
        <v>6391057.8188028848</v>
      </c>
      <c r="D108" s="484" t="s">
        <v>530</v>
      </c>
      <c r="E108" s="485" t="s">
        <v>530</v>
      </c>
      <c r="F108" s="262">
        <f>Synthèse!F107</f>
        <v>-2253387.6443834351</v>
      </c>
      <c r="G108" s="489" t="s">
        <v>530</v>
      </c>
      <c r="H108" s="489" t="s">
        <v>530</v>
      </c>
      <c r="I108" s="263">
        <f>Synthèse!H107</f>
        <v>413432.02668210963</v>
      </c>
      <c r="J108" s="493" t="s">
        <v>530</v>
      </c>
      <c r="K108" s="493" t="s">
        <v>530</v>
      </c>
    </row>
    <row r="109" spans="1:11" s="266" customFormat="1" ht="15" x14ac:dyDescent="0.25">
      <c r="A109" s="86">
        <f>Données!A109</f>
        <v>5584</v>
      </c>
      <c r="B109" s="405" t="str">
        <f>Données!B109</f>
        <v>Epalinges</v>
      </c>
      <c r="C109" s="263">
        <f>Synthèse!G108</f>
        <v>9037046.430936547</v>
      </c>
      <c r="D109" s="484" t="s">
        <v>530</v>
      </c>
      <c r="E109" s="485" t="s">
        <v>530</v>
      </c>
      <c r="F109" s="262">
        <f>Synthèse!F108</f>
        <v>882329.25988258794</v>
      </c>
      <c r="G109" s="489" t="s">
        <v>530</v>
      </c>
      <c r="H109" s="489" t="s">
        <v>530</v>
      </c>
      <c r="I109" s="263">
        <f>Synthèse!H108</f>
        <v>1501311.3356994428</v>
      </c>
      <c r="J109" s="493" t="s">
        <v>530</v>
      </c>
      <c r="K109" s="493" t="s">
        <v>530</v>
      </c>
    </row>
    <row r="110" spans="1:11" s="266" customFormat="1" ht="15" x14ac:dyDescent="0.25">
      <c r="A110" s="86">
        <f>Données!A110</f>
        <v>5585</v>
      </c>
      <c r="B110" s="405" t="str">
        <f>Données!B110</f>
        <v>Jouxtens-Mézery</v>
      </c>
      <c r="C110" s="263">
        <f>Synthèse!G109</f>
        <v>5767350.8450079691</v>
      </c>
      <c r="D110" s="484" t="s">
        <v>530</v>
      </c>
      <c r="E110" s="485" t="s">
        <v>530</v>
      </c>
      <c r="F110" s="262">
        <f>Synthèse!F109</f>
        <v>3401219.0902849464</v>
      </c>
      <c r="G110" s="489" t="s">
        <v>530</v>
      </c>
      <c r="H110" s="489" t="s">
        <v>530</v>
      </c>
      <c r="I110" s="263">
        <f>Synthèse!H109</f>
        <v>364148.25983686687</v>
      </c>
      <c r="J110" s="493" t="s">
        <v>530</v>
      </c>
      <c r="K110" s="493" t="s">
        <v>530</v>
      </c>
    </row>
    <row r="111" spans="1:11" s="266" customFormat="1" ht="15" x14ac:dyDescent="0.25">
      <c r="A111" s="86">
        <f>Données!A111</f>
        <v>5586</v>
      </c>
      <c r="B111" s="405" t="str">
        <f>Données!B111</f>
        <v>Lausanne</v>
      </c>
      <c r="C111" s="263">
        <f>Synthèse!G110</f>
        <v>106607357.99133149</v>
      </c>
      <c r="D111" s="484" t="s">
        <v>530</v>
      </c>
      <c r="E111" s="485" t="s">
        <v>530</v>
      </c>
      <c r="F111" s="262">
        <f>Synthèse!F110</f>
        <v>-78726962.494388178</v>
      </c>
      <c r="G111" s="489" t="s">
        <v>530</v>
      </c>
      <c r="H111" s="489" t="s">
        <v>530</v>
      </c>
      <c r="I111" s="263">
        <f>Synthèse!H110</f>
        <v>7914581.7503606146</v>
      </c>
      <c r="J111" s="493" t="s">
        <v>530</v>
      </c>
      <c r="K111" s="493" t="s">
        <v>530</v>
      </c>
    </row>
    <row r="112" spans="1:11" s="266" customFormat="1" ht="15" x14ac:dyDescent="0.25">
      <c r="A112" s="86">
        <f>Données!A112</f>
        <v>5587</v>
      </c>
      <c r="B112" s="405" t="str">
        <f>Données!B112</f>
        <v>Le Mont-sur-Lausanne</v>
      </c>
      <c r="C112" s="263">
        <f>Synthèse!G111</f>
        <v>9760434.2681347169</v>
      </c>
      <c r="D112" s="484" t="s">
        <v>530</v>
      </c>
      <c r="E112" s="485" t="s">
        <v>530</v>
      </c>
      <c r="F112" s="262">
        <f>Synthèse!F111</f>
        <v>2638405.8282775274</v>
      </c>
      <c r="G112" s="489" t="s">
        <v>530</v>
      </c>
      <c r="H112" s="489" t="s">
        <v>530</v>
      </c>
      <c r="I112" s="263">
        <f>Synthèse!H111</f>
        <v>1421907.0783286509</v>
      </c>
      <c r="J112" s="493" t="s">
        <v>530</v>
      </c>
      <c r="K112" s="493" t="s">
        <v>530</v>
      </c>
    </row>
    <row r="113" spans="1:11" s="266" customFormat="1" ht="15" x14ac:dyDescent="0.25">
      <c r="A113" s="86">
        <f>Données!A113</f>
        <v>5588</v>
      </c>
      <c r="B113" s="405" t="str">
        <f>Données!B113</f>
        <v>Paudex</v>
      </c>
      <c r="C113" s="263">
        <f>Synthèse!G112</f>
        <v>3402320.0676941257</v>
      </c>
      <c r="D113" s="484" t="s">
        <v>530</v>
      </c>
      <c r="E113" s="485" t="s">
        <v>530</v>
      </c>
      <c r="F113" s="262">
        <f>Synthèse!F112</f>
        <v>2383153.1895223544</v>
      </c>
      <c r="G113" s="489" t="s">
        <v>530</v>
      </c>
      <c r="H113" s="489" t="s">
        <v>530</v>
      </c>
      <c r="I113" s="263">
        <f>Synthèse!H112</f>
        <v>172223.59675769662</v>
      </c>
      <c r="J113" s="493" t="s">
        <v>530</v>
      </c>
      <c r="K113" s="493" t="s">
        <v>530</v>
      </c>
    </row>
    <row r="114" spans="1:11" s="266" customFormat="1" ht="15" x14ac:dyDescent="0.25">
      <c r="A114" s="86">
        <f>Données!A114</f>
        <v>5589</v>
      </c>
      <c r="B114" s="405" t="str">
        <f>Données!B114</f>
        <v>Prilly</v>
      </c>
      <c r="C114" s="263">
        <f>Synthèse!G113</f>
        <v>6974227.6386853801</v>
      </c>
      <c r="D114" s="484" t="s">
        <v>530</v>
      </c>
      <c r="E114" s="485" t="s">
        <v>530</v>
      </c>
      <c r="F114" s="262">
        <f>Synthèse!F113</f>
        <v>-6191841.9086043825</v>
      </c>
      <c r="G114" s="489" t="s">
        <v>530</v>
      </c>
      <c r="H114" s="489" t="s">
        <v>530</v>
      </c>
      <c r="I114" s="263">
        <f>Synthèse!H113</f>
        <v>513925.83954849298</v>
      </c>
      <c r="J114" s="493" t="s">
        <v>530</v>
      </c>
      <c r="K114" s="493" t="s">
        <v>530</v>
      </c>
    </row>
    <row r="115" spans="1:11" s="266" customFormat="1" ht="15" x14ac:dyDescent="0.25">
      <c r="A115" s="86">
        <f>Données!A115</f>
        <v>5590</v>
      </c>
      <c r="B115" s="405" t="str">
        <f>Données!B115</f>
        <v>Pully</v>
      </c>
      <c r="C115" s="263">
        <f>Synthèse!G114</f>
        <v>38213568.318354324</v>
      </c>
      <c r="D115" s="484" t="s">
        <v>530</v>
      </c>
      <c r="E115" s="485" t="s">
        <v>530</v>
      </c>
      <c r="F115" s="262">
        <f>Synthèse!F114</f>
        <v>14029836.619589906</v>
      </c>
      <c r="G115" s="489" t="s">
        <v>530</v>
      </c>
      <c r="H115" s="489" t="s">
        <v>530</v>
      </c>
      <c r="I115" s="263">
        <f>Synthèse!H114</f>
        <v>1963628.2099127939</v>
      </c>
      <c r="J115" s="493" t="s">
        <v>530</v>
      </c>
      <c r="K115" s="493" t="s">
        <v>530</v>
      </c>
    </row>
    <row r="116" spans="1:11" s="266" customFormat="1" ht="15" x14ac:dyDescent="0.25">
      <c r="A116" s="86">
        <f>Données!A116</f>
        <v>5591</v>
      </c>
      <c r="B116" s="405" t="str">
        <f>Données!B116</f>
        <v>Renens</v>
      </c>
      <c r="C116" s="263">
        <f>Synthèse!G115</f>
        <v>10353484.27677311</v>
      </c>
      <c r="D116" s="484" t="s">
        <v>530</v>
      </c>
      <c r="E116" s="485" t="s">
        <v>530</v>
      </c>
      <c r="F116" s="262">
        <f>Synthèse!F115</f>
        <v>-21941314.144008733</v>
      </c>
      <c r="G116" s="489" t="s">
        <v>530</v>
      </c>
      <c r="H116" s="489" t="s">
        <v>530</v>
      </c>
      <c r="I116" s="263">
        <f>Synthèse!H115</f>
        <v>698020.92976522562</v>
      </c>
      <c r="J116" s="493" t="s">
        <v>530</v>
      </c>
      <c r="K116" s="493" t="s">
        <v>530</v>
      </c>
    </row>
    <row r="117" spans="1:11" s="266" customFormat="1" ht="15" x14ac:dyDescent="0.25">
      <c r="A117" s="86">
        <f>Données!A117</f>
        <v>5592</v>
      </c>
      <c r="B117" s="405" t="str">
        <f>Données!B117</f>
        <v>Romanel-sur-Lausanne</v>
      </c>
      <c r="C117" s="263">
        <f>Synthèse!G116</f>
        <v>2404382.1572910701</v>
      </c>
      <c r="D117" s="484" t="s">
        <v>530</v>
      </c>
      <c r="E117" s="485" t="s">
        <v>530</v>
      </c>
      <c r="F117" s="262">
        <f>Synthèse!F116</f>
        <v>73685.247546372935</v>
      </c>
      <c r="G117" s="489" t="s">
        <v>530</v>
      </c>
      <c r="H117" s="489" t="s">
        <v>530</v>
      </c>
      <c r="I117" s="263">
        <f>Synthèse!H116</f>
        <v>368035.57538005139</v>
      </c>
      <c r="J117" s="493" t="s">
        <v>530</v>
      </c>
      <c r="K117" s="493" t="s">
        <v>530</v>
      </c>
    </row>
    <row r="118" spans="1:11" s="266" customFormat="1" ht="15" x14ac:dyDescent="0.25">
      <c r="A118" s="86">
        <f>Données!A118</f>
        <v>5601</v>
      </c>
      <c r="B118" s="405" t="str">
        <f>Données!B118</f>
        <v>Chexbres</v>
      </c>
      <c r="C118" s="263">
        <f>Synthèse!G117</f>
        <v>1628105.8998916007</v>
      </c>
      <c r="D118" s="484" t="s">
        <v>530</v>
      </c>
      <c r="E118" s="485" t="s">
        <v>530</v>
      </c>
      <c r="F118" s="262">
        <f>Synthèse!F117</f>
        <v>1166496.8636024119</v>
      </c>
      <c r="G118" s="489" t="s">
        <v>530</v>
      </c>
      <c r="H118" s="489" t="s">
        <v>530</v>
      </c>
      <c r="I118" s="263">
        <f>Synthèse!H117</f>
        <v>129866.33775282539</v>
      </c>
      <c r="J118" s="493" t="s">
        <v>530</v>
      </c>
      <c r="K118" s="493" t="s">
        <v>530</v>
      </c>
    </row>
    <row r="119" spans="1:11" s="266" customFormat="1" ht="15" x14ac:dyDescent="0.25">
      <c r="A119" s="86">
        <f>Données!A119</f>
        <v>5604</v>
      </c>
      <c r="B119" s="405" t="str">
        <f>Données!B119</f>
        <v>Forel (Lavaux)</v>
      </c>
      <c r="C119" s="263">
        <f>Synthèse!G118</f>
        <v>1187688.3890948822</v>
      </c>
      <c r="D119" s="484" t="s">
        <v>530</v>
      </c>
      <c r="E119" s="485" t="s">
        <v>530</v>
      </c>
      <c r="F119" s="262">
        <f>Synthèse!F118</f>
        <v>111432.11702481448</v>
      </c>
      <c r="G119" s="489" t="s">
        <v>530</v>
      </c>
      <c r="H119" s="489" t="s">
        <v>530</v>
      </c>
      <c r="I119" s="263">
        <f>Synthèse!H118</f>
        <v>231631.20009953302</v>
      </c>
      <c r="J119" s="493" t="s">
        <v>530</v>
      </c>
      <c r="K119" s="493" t="s">
        <v>530</v>
      </c>
    </row>
    <row r="120" spans="1:11" s="266" customFormat="1" ht="15" x14ac:dyDescent="0.25">
      <c r="A120" s="86">
        <f>Données!A120</f>
        <v>5606</v>
      </c>
      <c r="B120" s="405" t="str">
        <f>Données!B120</f>
        <v>Lutry</v>
      </c>
      <c r="C120" s="263">
        <f>Synthèse!G119</f>
        <v>23646450.471558057</v>
      </c>
      <c r="D120" s="484" t="s">
        <v>530</v>
      </c>
      <c r="E120" s="485" t="s">
        <v>530</v>
      </c>
      <c r="F120" s="262">
        <f>Synthèse!F119</f>
        <v>10584651.489055082</v>
      </c>
      <c r="G120" s="489" t="s">
        <v>530</v>
      </c>
      <c r="H120" s="489" t="s">
        <v>530</v>
      </c>
      <c r="I120" s="263">
        <f>Synthèse!H119</f>
        <v>1175791.3452941813</v>
      </c>
      <c r="J120" s="493" t="s">
        <v>530</v>
      </c>
      <c r="K120" s="493" t="s">
        <v>530</v>
      </c>
    </row>
    <row r="121" spans="1:11" s="266" customFormat="1" ht="15" x14ac:dyDescent="0.25">
      <c r="A121" s="86">
        <f>Données!A121</f>
        <v>5607</v>
      </c>
      <c r="B121" s="405" t="str">
        <f>Données!B121</f>
        <v>Puidoux</v>
      </c>
      <c r="C121" s="263">
        <f>Synthèse!G120</f>
        <v>1974482.0953331469</v>
      </c>
      <c r="D121" s="484" t="s">
        <v>530</v>
      </c>
      <c r="E121" s="485" t="s">
        <v>530</v>
      </c>
      <c r="F121" s="262">
        <f>Synthèse!F120</f>
        <v>-179997.4334103791</v>
      </c>
      <c r="G121" s="489" t="s">
        <v>530</v>
      </c>
      <c r="H121" s="489" t="s">
        <v>530</v>
      </c>
      <c r="I121" s="263">
        <f>Synthèse!H120</f>
        <v>136697.65146811341</v>
      </c>
      <c r="J121" s="493" t="s">
        <v>530</v>
      </c>
      <c r="K121" s="493" t="s">
        <v>530</v>
      </c>
    </row>
    <row r="122" spans="1:11" s="266" customFormat="1" ht="15" x14ac:dyDescent="0.25">
      <c r="A122" s="86">
        <f>Données!A122</f>
        <v>5609</v>
      </c>
      <c r="B122" s="405" t="str">
        <f>Données!B122</f>
        <v>Rivaz</v>
      </c>
      <c r="C122" s="263">
        <f>Synthèse!G121</f>
        <v>208154.49053631039</v>
      </c>
      <c r="D122" s="484" t="s">
        <v>530</v>
      </c>
      <c r="E122" s="485" t="s">
        <v>530</v>
      </c>
      <c r="F122" s="262">
        <f>Synthèse!F121</f>
        <v>179143.98601391469</v>
      </c>
      <c r="G122" s="489" t="s">
        <v>530</v>
      </c>
      <c r="H122" s="489" t="s">
        <v>530</v>
      </c>
      <c r="I122" s="263">
        <f>Synthèse!H121</f>
        <v>18255.892808376044</v>
      </c>
      <c r="J122" s="493" t="s">
        <v>530</v>
      </c>
      <c r="K122" s="493" t="s">
        <v>530</v>
      </c>
    </row>
    <row r="123" spans="1:11" s="266" customFormat="1" ht="15" x14ac:dyDescent="0.25">
      <c r="A123" s="86">
        <f>Données!A123</f>
        <v>5610</v>
      </c>
      <c r="B123" s="405" t="str">
        <f>Données!B123</f>
        <v>St-Saphorin (Lavaux)</v>
      </c>
      <c r="C123" s="263">
        <f>Synthèse!G122</f>
        <v>431174.66803342046</v>
      </c>
      <c r="D123" s="484" t="s">
        <v>530</v>
      </c>
      <c r="E123" s="485" t="s">
        <v>530</v>
      </c>
      <c r="F123" s="262">
        <f>Synthèse!F122</f>
        <v>396884.83164969564</v>
      </c>
      <c r="G123" s="489" t="s">
        <v>530</v>
      </c>
      <c r="H123" s="489" t="s">
        <v>530</v>
      </c>
      <c r="I123" s="263">
        <f>Synthèse!H122</f>
        <v>28736.828549009439</v>
      </c>
      <c r="J123" s="493" t="s">
        <v>530</v>
      </c>
      <c r="K123" s="493" t="s">
        <v>530</v>
      </c>
    </row>
    <row r="124" spans="1:11" s="266" customFormat="1" ht="15" x14ac:dyDescent="0.25">
      <c r="A124" s="86">
        <f>Données!A124</f>
        <v>5611</v>
      </c>
      <c r="B124" s="405" t="str">
        <f>Données!B124</f>
        <v>Savigny</v>
      </c>
      <c r="C124" s="263">
        <f>Synthèse!G123</f>
        <v>2234510.2768635089</v>
      </c>
      <c r="D124" s="484" t="s">
        <v>530</v>
      </c>
      <c r="E124" s="485" t="s">
        <v>530</v>
      </c>
      <c r="F124" s="262">
        <f>Synthèse!F123</f>
        <v>642570.74742873805</v>
      </c>
      <c r="G124" s="489" t="s">
        <v>530</v>
      </c>
      <c r="H124" s="489" t="s">
        <v>530</v>
      </c>
      <c r="I124" s="263">
        <f>Synthèse!H123</f>
        <v>172757.90601691231</v>
      </c>
      <c r="J124" s="493" t="s">
        <v>530</v>
      </c>
      <c r="K124" s="493" t="s">
        <v>530</v>
      </c>
    </row>
    <row r="125" spans="1:11" s="266" customFormat="1" ht="15" x14ac:dyDescent="0.25">
      <c r="A125" s="86">
        <f>Données!A125</f>
        <v>5613</v>
      </c>
      <c r="B125" s="405" t="str">
        <f>Données!B125</f>
        <v>Bourg-en-Lavaux</v>
      </c>
      <c r="C125" s="263">
        <f>Synthèse!G124</f>
        <v>7108396.0947026862</v>
      </c>
      <c r="D125" s="484" t="s">
        <v>530</v>
      </c>
      <c r="E125" s="485" t="s">
        <v>530</v>
      </c>
      <c r="F125" s="262">
        <f>Synthèse!F124</f>
        <v>4775101.9505983936</v>
      </c>
      <c r="G125" s="489" t="s">
        <v>530</v>
      </c>
      <c r="H125" s="489" t="s">
        <v>530</v>
      </c>
      <c r="I125" s="263">
        <f>Synthèse!H124</f>
        <v>437772.80801054416</v>
      </c>
      <c r="J125" s="493" t="s">
        <v>530</v>
      </c>
      <c r="K125" s="493" t="s">
        <v>530</v>
      </c>
    </row>
    <row r="126" spans="1:11" s="266" customFormat="1" ht="15" x14ac:dyDescent="0.25">
      <c r="A126" s="86">
        <f>Données!A126</f>
        <v>5621</v>
      </c>
      <c r="B126" s="405" t="str">
        <f>Données!B126</f>
        <v>Aclens</v>
      </c>
      <c r="C126" s="263">
        <f>Synthèse!G125</f>
        <v>732740.40348455356</v>
      </c>
      <c r="D126" s="484" t="s">
        <v>530</v>
      </c>
      <c r="E126" s="485" t="s">
        <v>530</v>
      </c>
      <c r="F126" s="262">
        <f>Synthèse!F125</f>
        <v>518773.17814660864</v>
      </c>
      <c r="G126" s="489" t="s">
        <v>530</v>
      </c>
      <c r="H126" s="489" t="s">
        <v>530</v>
      </c>
      <c r="I126" s="263">
        <f>Synthèse!H125</f>
        <v>85253.697296317492</v>
      </c>
      <c r="J126" s="493" t="s">
        <v>530</v>
      </c>
      <c r="K126" s="493" t="s">
        <v>530</v>
      </c>
    </row>
    <row r="127" spans="1:11" s="266" customFormat="1" ht="15" x14ac:dyDescent="0.25">
      <c r="A127" s="86">
        <f>Données!A127</f>
        <v>5622</v>
      </c>
      <c r="B127" s="405" t="str">
        <f>Données!B127</f>
        <v>Bremblens</v>
      </c>
      <c r="C127" s="263">
        <f>Synthèse!G126</f>
        <v>477498.93911202159</v>
      </c>
      <c r="D127" s="484" t="s">
        <v>530</v>
      </c>
      <c r="E127" s="485" t="s">
        <v>530</v>
      </c>
      <c r="F127" s="262">
        <f>Synthèse!F126</f>
        <v>455433.81051594991</v>
      </c>
      <c r="G127" s="489" t="s">
        <v>530</v>
      </c>
      <c r="H127" s="489" t="s">
        <v>530</v>
      </c>
      <c r="I127" s="263">
        <f>Synthèse!H126</f>
        <v>87718.291190473275</v>
      </c>
      <c r="J127" s="493" t="s">
        <v>530</v>
      </c>
      <c r="K127" s="493" t="s">
        <v>530</v>
      </c>
    </row>
    <row r="128" spans="1:11" s="266" customFormat="1" ht="15" x14ac:dyDescent="0.25">
      <c r="A128" s="86">
        <f>Données!A128</f>
        <v>5623</v>
      </c>
      <c r="B128" s="405" t="str">
        <f>Données!B128</f>
        <v>Buchillon</v>
      </c>
      <c r="C128" s="263">
        <f>Synthèse!G127</f>
        <v>2448214.161846458</v>
      </c>
      <c r="D128" s="484" t="s">
        <v>530</v>
      </c>
      <c r="E128" s="485" t="s">
        <v>530</v>
      </c>
      <c r="F128" s="262">
        <f>Synthèse!F127</f>
        <v>1633750.2793296759</v>
      </c>
      <c r="G128" s="489" t="s">
        <v>530</v>
      </c>
      <c r="H128" s="489" t="s">
        <v>530</v>
      </c>
      <c r="I128" s="263">
        <f>Synthèse!H127</f>
        <v>109349.85028919287</v>
      </c>
      <c r="J128" s="493" t="s">
        <v>530</v>
      </c>
      <c r="K128" s="493" t="s">
        <v>530</v>
      </c>
    </row>
    <row r="129" spans="1:11" s="266" customFormat="1" ht="15" x14ac:dyDescent="0.25">
      <c r="A129" s="86">
        <f>Données!A129</f>
        <v>5624</v>
      </c>
      <c r="B129" s="405" t="str">
        <f>Données!B129</f>
        <v>Bussigny</v>
      </c>
      <c r="C129" s="263">
        <f>Synthèse!G128</f>
        <v>7921178.3024115283</v>
      </c>
      <c r="D129" s="484" t="s">
        <v>530</v>
      </c>
      <c r="E129" s="485" t="s">
        <v>530</v>
      </c>
      <c r="F129" s="262">
        <f>Synthèse!F128</f>
        <v>886277.04685214348</v>
      </c>
      <c r="G129" s="489" t="s">
        <v>530</v>
      </c>
      <c r="H129" s="489" t="s">
        <v>530</v>
      </c>
      <c r="I129" s="263">
        <f>Synthèse!H128</f>
        <v>541274.28252514696</v>
      </c>
      <c r="J129" s="493" t="s">
        <v>530</v>
      </c>
      <c r="K129" s="493" t="s">
        <v>530</v>
      </c>
    </row>
    <row r="130" spans="1:11" s="266" customFormat="1" ht="15" x14ac:dyDescent="0.25">
      <c r="A130" s="86">
        <f>Données!A130</f>
        <v>5627</v>
      </c>
      <c r="B130" s="405" t="str">
        <f>Données!B130</f>
        <v>Chavannes-près-Renens</v>
      </c>
      <c r="C130" s="263">
        <f>Synthèse!G129</f>
        <v>3528160.2145293937</v>
      </c>
      <c r="D130" s="484" t="s">
        <v>530</v>
      </c>
      <c r="E130" s="485" t="s">
        <v>530</v>
      </c>
      <c r="F130" s="262">
        <f>Synthèse!F129</f>
        <v>-6976933.8400132637</v>
      </c>
      <c r="G130" s="489" t="s">
        <v>530</v>
      </c>
      <c r="H130" s="489" t="s">
        <v>530</v>
      </c>
      <c r="I130" s="263">
        <f>Synthèse!H129</f>
        <v>237776.54374318934</v>
      </c>
      <c r="J130" s="493" t="s">
        <v>530</v>
      </c>
      <c r="K130" s="493" t="s">
        <v>530</v>
      </c>
    </row>
    <row r="131" spans="1:11" s="266" customFormat="1" ht="15" x14ac:dyDescent="0.25">
      <c r="A131" s="86">
        <f>Données!A131</f>
        <v>5628</v>
      </c>
      <c r="B131" s="405" t="str">
        <f>Données!B131</f>
        <v>Chigny</v>
      </c>
      <c r="C131" s="263">
        <f>Synthèse!G130</f>
        <v>449206.04525669641</v>
      </c>
      <c r="D131" s="484" t="s">
        <v>530</v>
      </c>
      <c r="E131" s="485" t="s">
        <v>530</v>
      </c>
      <c r="F131" s="262">
        <f>Synthèse!F130</f>
        <v>444939.71216542693</v>
      </c>
      <c r="G131" s="489" t="s">
        <v>530</v>
      </c>
      <c r="H131" s="489" t="s">
        <v>530</v>
      </c>
      <c r="I131" s="263">
        <f>Synthèse!H130</f>
        <v>67435.484145785173</v>
      </c>
      <c r="J131" s="493" t="s">
        <v>530</v>
      </c>
      <c r="K131" s="493" t="s">
        <v>530</v>
      </c>
    </row>
    <row r="132" spans="1:11" s="266" customFormat="1" ht="15" x14ac:dyDescent="0.25">
      <c r="A132" s="86">
        <f>Données!A132</f>
        <v>5629</v>
      </c>
      <c r="B132" s="405" t="str">
        <f>Données!B132</f>
        <v>Clarmont</v>
      </c>
      <c r="C132" s="263">
        <f>Synthèse!G131</f>
        <v>139842.61656236945</v>
      </c>
      <c r="D132" s="484" t="s">
        <v>530</v>
      </c>
      <c r="E132" s="485" t="s">
        <v>530</v>
      </c>
      <c r="F132" s="262">
        <f>Synthèse!F131</f>
        <v>112123.61552994358</v>
      </c>
      <c r="G132" s="489" t="s">
        <v>530</v>
      </c>
      <c r="H132" s="489" t="s">
        <v>530</v>
      </c>
      <c r="I132" s="263">
        <f>Synthèse!H131</f>
        <v>30857.453890057921</v>
      </c>
      <c r="J132" s="493" t="s">
        <v>530</v>
      </c>
      <c r="K132" s="493" t="s">
        <v>530</v>
      </c>
    </row>
    <row r="133" spans="1:11" s="266" customFormat="1" ht="15" x14ac:dyDescent="0.25">
      <c r="A133" s="86">
        <f>Données!A133</f>
        <v>5631</v>
      </c>
      <c r="B133" s="405" t="str">
        <f>Données!B133</f>
        <v>Denens</v>
      </c>
      <c r="C133" s="263">
        <f>Synthèse!G132</f>
        <v>938646.11776328483</v>
      </c>
      <c r="D133" s="484" t="s">
        <v>530</v>
      </c>
      <c r="E133" s="485" t="s">
        <v>530</v>
      </c>
      <c r="F133" s="262">
        <f>Synthèse!F132</f>
        <v>739970.70541158086</v>
      </c>
      <c r="G133" s="489" t="s">
        <v>530</v>
      </c>
      <c r="H133" s="489" t="s">
        <v>530</v>
      </c>
      <c r="I133" s="263">
        <f>Synthèse!H132</f>
        <v>117897.61487643156</v>
      </c>
      <c r="J133" s="493" t="s">
        <v>530</v>
      </c>
      <c r="K133" s="493" t="s">
        <v>530</v>
      </c>
    </row>
    <row r="134" spans="1:11" s="266" customFormat="1" ht="15" x14ac:dyDescent="0.25">
      <c r="A134" s="86">
        <f>Données!A134</f>
        <v>5632</v>
      </c>
      <c r="B134" s="405" t="str">
        <f>Données!B134</f>
        <v>Denges</v>
      </c>
      <c r="C134" s="263">
        <f>Synthèse!G133</f>
        <v>1260400.0443813691</v>
      </c>
      <c r="D134" s="484" t="s">
        <v>530</v>
      </c>
      <c r="E134" s="485" t="s">
        <v>530</v>
      </c>
      <c r="F134" s="262">
        <f>Synthèse!F133</f>
        <v>1001301.6704553398</v>
      </c>
      <c r="G134" s="489" t="s">
        <v>530</v>
      </c>
      <c r="H134" s="489" t="s">
        <v>530</v>
      </c>
      <c r="I134" s="263">
        <f>Synthèse!H133</f>
        <v>246062.88117780964</v>
      </c>
      <c r="J134" s="493" t="s">
        <v>530</v>
      </c>
      <c r="K134" s="493" t="s">
        <v>530</v>
      </c>
    </row>
    <row r="135" spans="1:11" s="266" customFormat="1" ht="15" x14ac:dyDescent="0.25">
      <c r="A135" s="86">
        <f>Données!A135</f>
        <v>5633</v>
      </c>
      <c r="B135" s="405" t="str">
        <f>Données!B135</f>
        <v>Echandens</v>
      </c>
      <c r="C135" s="263">
        <f>Synthèse!G134</f>
        <v>2957283.5175579456</v>
      </c>
      <c r="D135" s="484" t="s">
        <v>530</v>
      </c>
      <c r="E135" s="485" t="s">
        <v>530</v>
      </c>
      <c r="F135" s="262">
        <f>Synthèse!F134</f>
        <v>1880574.0187200122</v>
      </c>
      <c r="G135" s="489" t="s">
        <v>530</v>
      </c>
      <c r="H135" s="489" t="s">
        <v>530</v>
      </c>
      <c r="I135" s="263">
        <f>Synthèse!H134</f>
        <v>452383.50542600569</v>
      </c>
      <c r="J135" s="493" t="s">
        <v>530</v>
      </c>
      <c r="K135" s="493" t="s">
        <v>530</v>
      </c>
    </row>
    <row r="136" spans="1:11" s="266" customFormat="1" ht="15" x14ac:dyDescent="0.25">
      <c r="A136" s="86">
        <f>Données!A136</f>
        <v>5634</v>
      </c>
      <c r="B136" s="405" t="str">
        <f>Données!B136</f>
        <v>Echichens</v>
      </c>
      <c r="C136" s="263">
        <f>Synthèse!G135</f>
        <v>2504312.1249401723</v>
      </c>
      <c r="D136" s="484" t="s">
        <v>530</v>
      </c>
      <c r="E136" s="485" t="s">
        <v>530</v>
      </c>
      <c r="F136" s="262">
        <f>Synthèse!F135</f>
        <v>1890780.9447009976</v>
      </c>
      <c r="G136" s="489" t="s">
        <v>530</v>
      </c>
      <c r="H136" s="489" t="s">
        <v>530</v>
      </c>
      <c r="I136" s="263">
        <f>Synthèse!H135</f>
        <v>464922.75516652659</v>
      </c>
      <c r="J136" s="493" t="s">
        <v>530</v>
      </c>
      <c r="K136" s="493" t="s">
        <v>530</v>
      </c>
    </row>
    <row r="137" spans="1:11" s="266" customFormat="1" ht="15" x14ac:dyDescent="0.25">
      <c r="A137" s="86">
        <f>Données!A137</f>
        <v>5635</v>
      </c>
      <c r="B137" s="405" t="str">
        <f>Données!B137</f>
        <v>Ecublens</v>
      </c>
      <c r="C137" s="263">
        <f>Synthèse!G136</f>
        <v>10724969.54943428</v>
      </c>
      <c r="D137" s="484" t="s">
        <v>530</v>
      </c>
      <c r="E137" s="485" t="s">
        <v>530</v>
      </c>
      <c r="F137" s="262">
        <f>Synthèse!F136</f>
        <v>1838645.3169634733</v>
      </c>
      <c r="G137" s="489" t="s">
        <v>530</v>
      </c>
      <c r="H137" s="489" t="s">
        <v>530</v>
      </c>
      <c r="I137" s="263">
        <f>Synthèse!H136</f>
        <v>803893.00232824264</v>
      </c>
      <c r="J137" s="493" t="s">
        <v>530</v>
      </c>
      <c r="K137" s="493" t="s">
        <v>530</v>
      </c>
    </row>
    <row r="138" spans="1:11" s="266" customFormat="1" ht="15" x14ac:dyDescent="0.25">
      <c r="A138" s="86">
        <f>Données!A138</f>
        <v>5636</v>
      </c>
      <c r="B138" s="405" t="str">
        <f>Données!B138</f>
        <v>Etoy</v>
      </c>
      <c r="C138" s="263">
        <f>Synthèse!G137</f>
        <v>4162841.4514440475</v>
      </c>
      <c r="D138" s="484" t="s">
        <v>530</v>
      </c>
      <c r="E138" s="485" t="s">
        <v>530</v>
      </c>
      <c r="F138" s="262">
        <f>Synthèse!F137</f>
        <v>2781933.9052754967</v>
      </c>
      <c r="G138" s="489" t="s">
        <v>530</v>
      </c>
      <c r="H138" s="489" t="s">
        <v>530</v>
      </c>
      <c r="I138" s="263">
        <f>Synthèse!H137</f>
        <v>487242.54852446332</v>
      </c>
      <c r="J138" s="493" t="s">
        <v>530</v>
      </c>
      <c r="K138" s="493" t="s">
        <v>530</v>
      </c>
    </row>
    <row r="139" spans="1:11" s="266" customFormat="1" ht="15" x14ac:dyDescent="0.25">
      <c r="A139" s="86">
        <f>Données!A139</f>
        <v>5637</v>
      </c>
      <c r="B139" s="405" t="str">
        <f>Données!B139</f>
        <v>Lavigny</v>
      </c>
      <c r="C139" s="263">
        <f>Synthèse!G138</f>
        <v>724933.89778061898</v>
      </c>
      <c r="D139" s="484" t="s">
        <v>530</v>
      </c>
      <c r="E139" s="485" t="s">
        <v>530</v>
      </c>
      <c r="F139" s="262">
        <f>Synthèse!F138</f>
        <v>237478.75632515497</v>
      </c>
      <c r="G139" s="489" t="s">
        <v>530</v>
      </c>
      <c r="H139" s="489" t="s">
        <v>530</v>
      </c>
      <c r="I139" s="263">
        <f>Synthèse!H138</f>
        <v>116633.46794357851</v>
      </c>
      <c r="J139" s="493" t="s">
        <v>530</v>
      </c>
      <c r="K139" s="493" t="s">
        <v>530</v>
      </c>
    </row>
    <row r="140" spans="1:11" s="266" customFormat="1" ht="15" x14ac:dyDescent="0.25">
      <c r="A140" s="86">
        <f>Données!A140</f>
        <v>5638</v>
      </c>
      <c r="B140" s="405" t="str">
        <f>Données!B140</f>
        <v>Lonay</v>
      </c>
      <c r="C140" s="263">
        <f>Synthèse!G139</f>
        <v>4987697.700979257</v>
      </c>
      <c r="D140" s="484" t="s">
        <v>530</v>
      </c>
      <c r="E140" s="485" t="s">
        <v>530</v>
      </c>
      <c r="F140" s="262">
        <f>Synthèse!F139</f>
        <v>2225879.4458114272</v>
      </c>
      <c r="G140" s="489" t="s">
        <v>530</v>
      </c>
      <c r="H140" s="489" t="s">
        <v>530</v>
      </c>
      <c r="I140" s="263">
        <f>Synthèse!H139</f>
        <v>456751.27974122413</v>
      </c>
      <c r="J140" s="493" t="s">
        <v>530</v>
      </c>
      <c r="K140" s="493" t="s">
        <v>530</v>
      </c>
    </row>
    <row r="141" spans="1:11" s="266" customFormat="1" ht="15" x14ac:dyDescent="0.25">
      <c r="A141" s="86">
        <f>Données!A141</f>
        <v>5639</v>
      </c>
      <c r="B141" s="405" t="str">
        <f>Données!B141</f>
        <v>Lully</v>
      </c>
      <c r="C141" s="263">
        <f>Synthèse!G140</f>
        <v>986625.34544502525</v>
      </c>
      <c r="D141" s="484" t="s">
        <v>530</v>
      </c>
      <c r="E141" s="485" t="s">
        <v>530</v>
      </c>
      <c r="F141" s="262">
        <f>Synthèse!F140</f>
        <v>928523.3566363228</v>
      </c>
      <c r="G141" s="489" t="s">
        <v>530</v>
      </c>
      <c r="H141" s="489" t="s">
        <v>530</v>
      </c>
      <c r="I141" s="263">
        <f>Synthèse!H140</f>
        <v>139067.64934083301</v>
      </c>
      <c r="J141" s="493" t="s">
        <v>530</v>
      </c>
      <c r="K141" s="493" t="s">
        <v>530</v>
      </c>
    </row>
    <row r="142" spans="1:11" s="266" customFormat="1" ht="15" x14ac:dyDescent="0.25">
      <c r="A142" s="86">
        <f>Données!A142</f>
        <v>5640</v>
      </c>
      <c r="B142" s="405" t="str">
        <f>Données!B142</f>
        <v>Lussy-sur-Morges</v>
      </c>
      <c r="C142" s="263">
        <f>Synthèse!G141</f>
        <v>2014595.6412449903</v>
      </c>
      <c r="D142" s="484" t="s">
        <v>530</v>
      </c>
      <c r="E142" s="485" t="s">
        <v>530</v>
      </c>
      <c r="F142" s="262">
        <f>Synthèse!F141</f>
        <v>1264110.7364945125</v>
      </c>
      <c r="G142" s="489" t="s">
        <v>530</v>
      </c>
      <c r="H142" s="489" t="s">
        <v>530</v>
      </c>
      <c r="I142" s="263">
        <f>Synthèse!H141</f>
        <v>86433.129005302355</v>
      </c>
      <c r="J142" s="493" t="s">
        <v>530</v>
      </c>
      <c r="K142" s="493" t="s">
        <v>530</v>
      </c>
    </row>
    <row r="143" spans="1:11" s="266" customFormat="1" ht="15" x14ac:dyDescent="0.25">
      <c r="A143" s="86">
        <f>Données!A143</f>
        <v>5642</v>
      </c>
      <c r="B143" s="405" t="str">
        <f>Données!B143</f>
        <v>Morges</v>
      </c>
      <c r="C143" s="263">
        <f>Synthèse!G142</f>
        <v>14154026.523068612</v>
      </c>
      <c r="D143" s="484" t="s">
        <v>530</v>
      </c>
      <c r="E143" s="485" t="s">
        <v>530</v>
      </c>
      <c r="F143" s="262">
        <f>Synthèse!F142</f>
        <v>3090556.4287314378</v>
      </c>
      <c r="G143" s="489" t="s">
        <v>530</v>
      </c>
      <c r="H143" s="489" t="s">
        <v>530</v>
      </c>
      <c r="I143" s="263">
        <f>Synthèse!H142</f>
        <v>1027139.4877777316</v>
      </c>
      <c r="J143" s="493" t="s">
        <v>530</v>
      </c>
      <c r="K143" s="493" t="s">
        <v>530</v>
      </c>
    </row>
    <row r="144" spans="1:11" s="266" customFormat="1" ht="15" x14ac:dyDescent="0.25">
      <c r="A144" s="86">
        <f>Données!A144</f>
        <v>5643</v>
      </c>
      <c r="B144" s="405" t="str">
        <f>Données!B144</f>
        <v>Préverenges</v>
      </c>
      <c r="C144" s="263">
        <f>Synthèse!G143</f>
        <v>3874397.0156307993</v>
      </c>
      <c r="D144" s="484" t="s">
        <v>530</v>
      </c>
      <c r="E144" s="485" t="s">
        <v>530</v>
      </c>
      <c r="F144" s="262">
        <f>Synthèse!F143</f>
        <v>2955786.6836082847</v>
      </c>
      <c r="G144" s="489" t="s">
        <v>530</v>
      </c>
      <c r="H144" s="489" t="s">
        <v>530</v>
      </c>
      <c r="I144" s="263">
        <f>Synthèse!H143</f>
        <v>315853.36339301366</v>
      </c>
      <c r="J144" s="493" t="s">
        <v>530</v>
      </c>
      <c r="K144" s="493" t="s">
        <v>530</v>
      </c>
    </row>
    <row r="145" spans="1:11" s="266" customFormat="1" ht="15" x14ac:dyDescent="0.25">
      <c r="A145" s="86">
        <f>Données!A145</f>
        <v>5645</v>
      </c>
      <c r="B145" s="405" t="str">
        <f>Données!B145</f>
        <v>Romanel-sur-Morges</v>
      </c>
      <c r="C145" s="263">
        <f>Synthèse!G144</f>
        <v>498303.71248439729</v>
      </c>
      <c r="D145" s="484" t="s">
        <v>530</v>
      </c>
      <c r="E145" s="485" t="s">
        <v>530</v>
      </c>
      <c r="F145" s="262">
        <f>Synthèse!F144</f>
        <v>451929.43722952169</v>
      </c>
      <c r="G145" s="489" t="s">
        <v>530</v>
      </c>
      <c r="H145" s="489" t="s">
        <v>530</v>
      </c>
      <c r="I145" s="263">
        <f>Synthèse!H144</f>
        <v>73794.919373117475</v>
      </c>
      <c r="J145" s="493" t="s">
        <v>530</v>
      </c>
      <c r="K145" s="493" t="s">
        <v>530</v>
      </c>
    </row>
    <row r="146" spans="1:11" s="266" customFormat="1" ht="15" x14ac:dyDescent="0.25">
      <c r="A146" s="86">
        <f>Données!A146</f>
        <v>5646</v>
      </c>
      <c r="B146" s="405" t="str">
        <f>Données!B146</f>
        <v>Saint-Prex</v>
      </c>
      <c r="C146" s="263">
        <f>Synthèse!G145</f>
        <v>13263641.734046079</v>
      </c>
      <c r="D146" s="484" t="s">
        <v>530</v>
      </c>
      <c r="E146" s="485" t="s">
        <v>530</v>
      </c>
      <c r="F146" s="262">
        <f>Synthèse!F145</f>
        <v>7746462.1106970999</v>
      </c>
      <c r="G146" s="489" t="s">
        <v>530</v>
      </c>
      <c r="H146" s="489" t="s">
        <v>530</v>
      </c>
      <c r="I146" s="263">
        <f>Synthèse!H145</f>
        <v>646317.60692771373</v>
      </c>
      <c r="J146" s="493" t="s">
        <v>530</v>
      </c>
      <c r="K146" s="493" t="s">
        <v>530</v>
      </c>
    </row>
    <row r="147" spans="1:11" s="266" customFormat="1" ht="15" x14ac:dyDescent="0.25">
      <c r="A147" s="86">
        <f>Données!A147</f>
        <v>5648</v>
      </c>
      <c r="B147" s="405" t="str">
        <f>Données!B147</f>
        <v>Saint-Sulpice</v>
      </c>
      <c r="C147" s="263">
        <f>Synthèse!G146</f>
        <v>9074983.263803767</v>
      </c>
      <c r="D147" s="484" t="s">
        <v>530</v>
      </c>
      <c r="E147" s="485" t="s">
        <v>530</v>
      </c>
      <c r="F147" s="262">
        <f>Synthèse!F146</f>
        <v>5753803.1808618996</v>
      </c>
      <c r="G147" s="489" t="s">
        <v>530</v>
      </c>
      <c r="H147" s="489" t="s">
        <v>530</v>
      </c>
      <c r="I147" s="263">
        <f>Synthèse!H146</f>
        <v>483311.27643643942</v>
      </c>
      <c r="J147" s="493" t="s">
        <v>530</v>
      </c>
      <c r="K147" s="493" t="s">
        <v>530</v>
      </c>
    </row>
    <row r="148" spans="1:11" s="266" customFormat="1" ht="15" x14ac:dyDescent="0.25">
      <c r="A148" s="86">
        <f>Données!A148</f>
        <v>5649</v>
      </c>
      <c r="B148" s="405" t="str">
        <f>Données!B148</f>
        <v>Tolochenaz</v>
      </c>
      <c r="C148" s="263">
        <f>Synthèse!G147</f>
        <v>3583426.1140697729</v>
      </c>
      <c r="D148" s="484" t="s">
        <v>530</v>
      </c>
      <c r="E148" s="485" t="s">
        <v>530</v>
      </c>
      <c r="F148" s="262">
        <f>Synthèse!F147</f>
        <v>2348254.4259970468</v>
      </c>
      <c r="G148" s="489" t="s">
        <v>530</v>
      </c>
      <c r="H148" s="489" t="s">
        <v>530</v>
      </c>
      <c r="I148" s="263">
        <f>Synthèse!H147</f>
        <v>190651.83386027423</v>
      </c>
      <c r="J148" s="493" t="s">
        <v>530</v>
      </c>
      <c r="K148" s="493" t="s">
        <v>530</v>
      </c>
    </row>
    <row r="149" spans="1:11" s="266" customFormat="1" ht="15" x14ac:dyDescent="0.25">
      <c r="A149" s="86">
        <f>Données!A149</f>
        <v>5650</v>
      </c>
      <c r="B149" s="405" t="str">
        <f>Données!B149</f>
        <v>Vaux-sur-Morges</v>
      </c>
      <c r="C149" s="263">
        <f>Synthèse!G148</f>
        <v>3970032.8678567163</v>
      </c>
      <c r="D149" s="484" t="s">
        <v>530</v>
      </c>
      <c r="E149" s="485" t="s">
        <v>530</v>
      </c>
      <c r="F149" s="262">
        <f>Synthèse!F148</f>
        <v>651909.58071471145</v>
      </c>
      <c r="G149" s="489" t="s">
        <v>530</v>
      </c>
      <c r="H149" s="489" t="s">
        <v>530</v>
      </c>
      <c r="I149" s="263">
        <f>Synthèse!H148</f>
        <v>119214.07837273617</v>
      </c>
      <c r="J149" s="493" t="s">
        <v>530</v>
      </c>
      <c r="K149" s="493" t="s">
        <v>530</v>
      </c>
    </row>
    <row r="150" spans="1:11" s="266" customFormat="1" ht="15" x14ac:dyDescent="0.25">
      <c r="A150" s="86">
        <f>Données!A150</f>
        <v>5651</v>
      </c>
      <c r="B150" s="405" t="str">
        <f>Données!B150</f>
        <v>Villars-Sainte-Croix</v>
      </c>
      <c r="C150" s="263">
        <f>Synthèse!G149</f>
        <v>1028821.0484503955</v>
      </c>
      <c r="D150" s="484" t="s">
        <v>530</v>
      </c>
      <c r="E150" s="485" t="s">
        <v>530</v>
      </c>
      <c r="F150" s="262">
        <f>Synthèse!F149</f>
        <v>983885.66116076952</v>
      </c>
      <c r="G150" s="489" t="s">
        <v>530</v>
      </c>
      <c r="H150" s="489" t="s">
        <v>530</v>
      </c>
      <c r="I150" s="263">
        <f>Synthèse!H149</f>
        <v>70406.51431768664</v>
      </c>
      <c r="J150" s="493" t="s">
        <v>530</v>
      </c>
      <c r="K150" s="493" t="s">
        <v>530</v>
      </c>
    </row>
    <row r="151" spans="1:11" s="266" customFormat="1" ht="15" x14ac:dyDescent="0.25">
      <c r="A151" s="86">
        <f>Données!A151</f>
        <v>5652</v>
      </c>
      <c r="B151" s="405" t="str">
        <f>Données!B151</f>
        <v>Villars-sous-Yens</v>
      </c>
      <c r="C151" s="263">
        <f>Synthèse!G150</f>
        <v>359426.93793919554</v>
      </c>
      <c r="D151" s="484" t="s">
        <v>530</v>
      </c>
      <c r="E151" s="485" t="s">
        <v>530</v>
      </c>
      <c r="F151" s="262">
        <f>Synthèse!F150</f>
        <v>297961.78425226011</v>
      </c>
      <c r="G151" s="489" t="s">
        <v>530</v>
      </c>
      <c r="H151" s="489" t="s">
        <v>530</v>
      </c>
      <c r="I151" s="263">
        <f>Synthèse!H150</f>
        <v>80472.720264003059</v>
      </c>
      <c r="J151" s="493" t="s">
        <v>530</v>
      </c>
      <c r="K151" s="493" t="s">
        <v>530</v>
      </c>
    </row>
    <row r="152" spans="1:11" s="266" customFormat="1" ht="15" x14ac:dyDescent="0.25">
      <c r="A152" s="86">
        <f>Données!A152</f>
        <v>5653</v>
      </c>
      <c r="B152" s="405" t="str">
        <f>Données!B152</f>
        <v>Vufflens-le-Château</v>
      </c>
      <c r="C152" s="263">
        <f>Synthèse!G151</f>
        <v>1431669.0912891356</v>
      </c>
      <c r="D152" s="484" t="s">
        <v>530</v>
      </c>
      <c r="E152" s="485" t="s">
        <v>530</v>
      </c>
      <c r="F152" s="262">
        <f>Synthèse!F151</f>
        <v>1189514.0271319186</v>
      </c>
      <c r="G152" s="489" t="s">
        <v>530</v>
      </c>
      <c r="H152" s="489" t="s">
        <v>530</v>
      </c>
      <c r="I152" s="263">
        <f>Synthèse!H151</f>
        <v>162039.5007229982</v>
      </c>
      <c r="J152" s="493" t="s">
        <v>530</v>
      </c>
      <c r="K152" s="493" t="s">
        <v>530</v>
      </c>
    </row>
    <row r="153" spans="1:11" s="266" customFormat="1" ht="15" x14ac:dyDescent="0.25">
      <c r="A153" s="86">
        <f>Données!A153</f>
        <v>5654</v>
      </c>
      <c r="B153" s="405" t="str">
        <f>Données!B153</f>
        <v>Vullierens</v>
      </c>
      <c r="C153" s="263">
        <f>Synthèse!G152</f>
        <v>348850.69620263245</v>
      </c>
      <c r="D153" s="484" t="s">
        <v>530</v>
      </c>
      <c r="E153" s="485" t="s">
        <v>530</v>
      </c>
      <c r="F153" s="262">
        <f>Synthèse!F152</f>
        <v>81248.851416697958</v>
      </c>
      <c r="G153" s="489" t="s">
        <v>530</v>
      </c>
      <c r="H153" s="489" t="s">
        <v>530</v>
      </c>
      <c r="I153" s="263">
        <f>Synthèse!H152</f>
        <v>63654.018761548839</v>
      </c>
      <c r="J153" s="493" t="s">
        <v>530</v>
      </c>
      <c r="K153" s="493" t="s">
        <v>530</v>
      </c>
    </row>
    <row r="154" spans="1:11" s="266" customFormat="1" ht="15" x14ac:dyDescent="0.25">
      <c r="A154" s="86">
        <f>Données!A154</f>
        <v>5655</v>
      </c>
      <c r="B154" s="405" t="str">
        <f>Données!B154</f>
        <v>Yens</v>
      </c>
      <c r="C154" s="263">
        <f>Synthèse!G153</f>
        <v>1041726.3864193198</v>
      </c>
      <c r="D154" s="484" t="s">
        <v>530</v>
      </c>
      <c r="E154" s="485" t="s">
        <v>530</v>
      </c>
      <c r="F154" s="262">
        <f>Synthèse!F153</f>
        <v>1112140.7347744782</v>
      </c>
      <c r="G154" s="489" t="s">
        <v>530</v>
      </c>
      <c r="H154" s="489" t="s">
        <v>530</v>
      </c>
      <c r="I154" s="263">
        <f>Synthèse!H153</f>
        <v>222970.42470975526</v>
      </c>
      <c r="J154" s="493" t="s">
        <v>530</v>
      </c>
      <c r="K154" s="493" t="s">
        <v>530</v>
      </c>
    </row>
    <row r="155" spans="1:11" s="266" customFormat="1" ht="15" x14ac:dyDescent="0.25">
      <c r="A155" s="86">
        <f>Données!A155</f>
        <v>5656</v>
      </c>
      <c r="B155" s="405" t="str">
        <f>Données!B155</f>
        <v>Hautemorges</v>
      </c>
      <c r="C155" s="263">
        <f>Synthèse!G154</f>
        <v>2978265.892174413</v>
      </c>
      <c r="D155" s="484" t="s">
        <v>530</v>
      </c>
      <c r="E155" s="485" t="s">
        <v>530</v>
      </c>
      <c r="F155" s="262">
        <f>Synthèse!F154</f>
        <v>-712272.21560119698</v>
      </c>
      <c r="G155" s="489" t="s">
        <v>530</v>
      </c>
      <c r="H155" s="489" t="s">
        <v>530</v>
      </c>
      <c r="I155" s="263">
        <f>Synthèse!H154</f>
        <v>531697.21268717013</v>
      </c>
      <c r="J155" s="493" t="s">
        <v>530</v>
      </c>
      <c r="K155" s="493" t="s">
        <v>530</v>
      </c>
    </row>
    <row r="156" spans="1:11" s="266" customFormat="1" ht="15" x14ac:dyDescent="0.25">
      <c r="A156" s="86">
        <f>Données!A156</f>
        <v>5661</v>
      </c>
      <c r="B156" s="405" t="str">
        <f>Données!B156</f>
        <v>Boulens</v>
      </c>
      <c r="C156" s="263">
        <f>Synthèse!G155</f>
        <v>172236.23042588582</v>
      </c>
      <c r="D156" s="484" t="s">
        <v>530</v>
      </c>
      <c r="E156" s="485" t="s">
        <v>530</v>
      </c>
      <c r="F156" s="262">
        <f>Synthèse!F155</f>
        <v>17288.928001929919</v>
      </c>
      <c r="G156" s="489" t="s">
        <v>530</v>
      </c>
      <c r="H156" s="489" t="s">
        <v>530</v>
      </c>
      <c r="I156" s="263">
        <f>Synthèse!H155</f>
        <v>34498.786717299881</v>
      </c>
      <c r="J156" s="493" t="s">
        <v>530</v>
      </c>
      <c r="K156" s="493" t="s">
        <v>530</v>
      </c>
    </row>
    <row r="157" spans="1:11" s="266" customFormat="1" ht="15" x14ac:dyDescent="0.25">
      <c r="A157" s="86">
        <f>Données!A157</f>
        <v>5663</v>
      </c>
      <c r="B157" s="405" t="str">
        <f>Données!B157</f>
        <v>Bussy-sur-Moudon</v>
      </c>
      <c r="C157" s="263">
        <f>Synthèse!G156</f>
        <v>79443.016972359561</v>
      </c>
      <c r="D157" s="484" t="s">
        <v>530</v>
      </c>
      <c r="E157" s="485" t="s">
        <v>530</v>
      </c>
      <c r="F157" s="262">
        <f>Synthèse!F156</f>
        <v>-88815.020484678578</v>
      </c>
      <c r="G157" s="489" t="s">
        <v>530</v>
      </c>
      <c r="H157" s="489" t="s">
        <v>530</v>
      </c>
      <c r="I157" s="263">
        <f>Synthèse!H156</f>
        <v>16104.851946344575</v>
      </c>
      <c r="J157" s="493" t="s">
        <v>530</v>
      </c>
      <c r="K157" s="493" t="s">
        <v>530</v>
      </c>
    </row>
    <row r="158" spans="1:11" s="266" customFormat="1" ht="15" x14ac:dyDescent="0.25">
      <c r="A158" s="86">
        <f>Données!A158</f>
        <v>5665</v>
      </c>
      <c r="B158" s="405" t="str">
        <f>Données!B158</f>
        <v>Chavannes-sur-Moudon</v>
      </c>
      <c r="C158" s="263">
        <f>Synthèse!G157</f>
        <v>67816.36072919851</v>
      </c>
      <c r="D158" s="484" t="s">
        <v>530</v>
      </c>
      <c r="E158" s="485" t="s">
        <v>530</v>
      </c>
      <c r="F158" s="262">
        <f>Synthèse!F157</f>
        <v>-48323.505347474696</v>
      </c>
      <c r="G158" s="489" t="s">
        <v>530</v>
      </c>
      <c r="H158" s="489" t="s">
        <v>530</v>
      </c>
      <c r="I158" s="263">
        <f>Synthèse!H157</f>
        <v>15054.796633531983</v>
      </c>
      <c r="J158" s="493" t="s">
        <v>530</v>
      </c>
      <c r="K158" s="493" t="s">
        <v>530</v>
      </c>
    </row>
    <row r="159" spans="1:11" s="266" customFormat="1" ht="15" x14ac:dyDescent="0.25">
      <c r="A159" s="86">
        <f>Données!A159</f>
        <v>5669</v>
      </c>
      <c r="B159" s="405" t="str">
        <f>Données!B159</f>
        <v>Curtilles</v>
      </c>
      <c r="C159" s="263">
        <f>Synthèse!G158</f>
        <v>163376.99428772228</v>
      </c>
      <c r="D159" s="484" t="s">
        <v>530</v>
      </c>
      <c r="E159" s="485" t="s">
        <v>530</v>
      </c>
      <c r="F159" s="262">
        <f>Synthèse!F158</f>
        <v>38498.371716520516</v>
      </c>
      <c r="G159" s="489" t="s">
        <v>530</v>
      </c>
      <c r="H159" s="489" t="s">
        <v>530</v>
      </c>
      <c r="I159" s="263">
        <f>Synthèse!H158</f>
        <v>28825.812438423738</v>
      </c>
      <c r="J159" s="493" t="s">
        <v>530</v>
      </c>
      <c r="K159" s="493" t="s">
        <v>530</v>
      </c>
    </row>
    <row r="160" spans="1:11" s="266" customFormat="1" ht="15" x14ac:dyDescent="0.25">
      <c r="A160" s="86">
        <f>Données!A160</f>
        <v>5671</v>
      </c>
      <c r="B160" s="405" t="str">
        <f>Données!B160</f>
        <v>Dompierre</v>
      </c>
      <c r="C160" s="263">
        <f>Synthèse!G159</f>
        <v>135458.80365421117</v>
      </c>
      <c r="D160" s="484" t="s">
        <v>530</v>
      </c>
      <c r="E160" s="485" t="s">
        <v>530</v>
      </c>
      <c r="F160" s="262">
        <f>Synthèse!F159</f>
        <v>-36632.500977764517</v>
      </c>
      <c r="G160" s="489" t="s">
        <v>530</v>
      </c>
      <c r="H160" s="489" t="s">
        <v>530</v>
      </c>
      <c r="I160" s="263">
        <f>Synthèse!H159</f>
        <v>19901.229729098974</v>
      </c>
      <c r="J160" s="493" t="s">
        <v>530</v>
      </c>
      <c r="K160" s="493" t="s">
        <v>530</v>
      </c>
    </row>
    <row r="161" spans="1:11" s="266" customFormat="1" ht="15" x14ac:dyDescent="0.25">
      <c r="A161" s="86">
        <f>Données!A161</f>
        <v>5673</v>
      </c>
      <c r="B161" s="405" t="str">
        <f>Données!B161</f>
        <v>Hermenches</v>
      </c>
      <c r="C161" s="263">
        <f>Synthèse!G160</f>
        <v>135116.8192156204</v>
      </c>
      <c r="D161" s="484" t="s">
        <v>530</v>
      </c>
      <c r="E161" s="485" t="s">
        <v>530</v>
      </c>
      <c r="F161" s="262">
        <f>Synthèse!F160</f>
        <v>-232251.44683049878</v>
      </c>
      <c r="G161" s="489" t="s">
        <v>530</v>
      </c>
      <c r="H161" s="489" t="s">
        <v>530</v>
      </c>
      <c r="I161" s="263">
        <f>Synthèse!H160</f>
        <v>31618.325680081289</v>
      </c>
      <c r="J161" s="493" t="s">
        <v>530</v>
      </c>
      <c r="K161" s="493" t="s">
        <v>530</v>
      </c>
    </row>
    <row r="162" spans="1:11" s="266" customFormat="1" ht="15" x14ac:dyDescent="0.25">
      <c r="A162" s="86">
        <f>Données!A162</f>
        <v>5674</v>
      </c>
      <c r="B162" s="405" t="str">
        <f>Données!B162</f>
        <v>Lovatens</v>
      </c>
      <c r="C162" s="263">
        <f>Synthèse!G161</f>
        <v>72616.645481532658</v>
      </c>
      <c r="D162" s="484" t="s">
        <v>530</v>
      </c>
      <c r="E162" s="485" t="s">
        <v>530</v>
      </c>
      <c r="F162" s="262">
        <f>Synthèse!F161</f>
        <v>-25505.730189656024</v>
      </c>
      <c r="G162" s="489" t="s">
        <v>530</v>
      </c>
      <c r="H162" s="489" t="s">
        <v>530</v>
      </c>
      <c r="I162" s="263">
        <f>Synthèse!H161</f>
        <v>12936.015612911804</v>
      </c>
      <c r="J162" s="493" t="s">
        <v>530</v>
      </c>
      <c r="K162" s="493" t="s">
        <v>530</v>
      </c>
    </row>
    <row r="163" spans="1:11" s="266" customFormat="1" ht="15" x14ac:dyDescent="0.25">
      <c r="A163" s="86">
        <f>Données!A163</f>
        <v>5675</v>
      </c>
      <c r="B163" s="405" t="str">
        <f>Données!B163</f>
        <v>Lucens</v>
      </c>
      <c r="C163" s="263">
        <f>Synthèse!G162</f>
        <v>1862302.8675629757</v>
      </c>
      <c r="D163" s="484" t="s">
        <v>530</v>
      </c>
      <c r="E163" s="485" t="s">
        <v>530</v>
      </c>
      <c r="F163" s="262">
        <f>Synthèse!F162</f>
        <v>-1962125.6666088894</v>
      </c>
      <c r="G163" s="489" t="s">
        <v>530</v>
      </c>
      <c r="H163" s="489" t="s">
        <v>530</v>
      </c>
      <c r="I163" s="263">
        <f>Synthèse!H162</f>
        <v>317398.23045453045</v>
      </c>
      <c r="J163" s="493" t="s">
        <v>530</v>
      </c>
      <c r="K163" s="493" t="s">
        <v>530</v>
      </c>
    </row>
    <row r="164" spans="1:11" s="266" customFormat="1" ht="15" x14ac:dyDescent="0.25">
      <c r="A164" s="86">
        <f>Données!A164</f>
        <v>5678</v>
      </c>
      <c r="B164" s="405" t="str">
        <f>Données!B164</f>
        <v>Moudon</v>
      </c>
      <c r="C164" s="263">
        <f>Synthèse!G163</f>
        <v>2520124.7096513296</v>
      </c>
      <c r="D164" s="484" t="s">
        <v>530</v>
      </c>
      <c r="E164" s="485" t="s">
        <v>530</v>
      </c>
      <c r="F164" s="262">
        <f>Synthèse!F163</f>
        <v>-4853922.8503409848</v>
      </c>
      <c r="G164" s="489" t="s">
        <v>530</v>
      </c>
      <c r="H164" s="489" t="s">
        <v>530</v>
      </c>
      <c r="I164" s="263">
        <f>Synthèse!H163</f>
        <v>376356.86813019629</v>
      </c>
      <c r="J164" s="493" t="s">
        <v>530</v>
      </c>
      <c r="K164" s="493" t="s">
        <v>530</v>
      </c>
    </row>
    <row r="165" spans="1:11" s="266" customFormat="1" ht="15" x14ac:dyDescent="0.25">
      <c r="A165" s="86">
        <f>Données!A165</f>
        <v>5680</v>
      </c>
      <c r="B165" s="405" t="str">
        <f>Données!B165</f>
        <v>Ogens</v>
      </c>
      <c r="C165" s="263">
        <f>Synthèse!G164</f>
        <v>133037.78652910076</v>
      </c>
      <c r="D165" s="484" t="s">
        <v>530</v>
      </c>
      <c r="E165" s="485" t="s">
        <v>530</v>
      </c>
      <c r="F165" s="262">
        <f>Synthèse!F164</f>
        <v>-63249.693666977575</v>
      </c>
      <c r="G165" s="489" t="s">
        <v>530</v>
      </c>
      <c r="H165" s="489" t="s">
        <v>530</v>
      </c>
      <c r="I165" s="263">
        <f>Synthèse!H164</f>
        <v>26098.64523378895</v>
      </c>
      <c r="J165" s="493" t="s">
        <v>530</v>
      </c>
      <c r="K165" s="493" t="s">
        <v>530</v>
      </c>
    </row>
    <row r="166" spans="1:11" s="266" customFormat="1" ht="15" x14ac:dyDescent="0.25">
      <c r="A166" s="86">
        <f>Données!A166</f>
        <v>5683</v>
      </c>
      <c r="B166" s="405" t="str">
        <f>Données!B166</f>
        <v>Prévonloup</v>
      </c>
      <c r="C166" s="263">
        <f>Synthèse!G165</f>
        <v>89833.371483877112</v>
      </c>
      <c r="D166" s="484" t="s">
        <v>530</v>
      </c>
      <c r="E166" s="485" t="s">
        <v>530</v>
      </c>
      <c r="F166" s="262">
        <f>Synthèse!F165</f>
        <v>-27195.88289005938</v>
      </c>
      <c r="G166" s="489" t="s">
        <v>530</v>
      </c>
      <c r="H166" s="489" t="s">
        <v>530</v>
      </c>
      <c r="I166" s="263">
        <f>Synthèse!H165</f>
        <v>16509.91342202407</v>
      </c>
      <c r="J166" s="493" t="s">
        <v>530</v>
      </c>
      <c r="K166" s="493" t="s">
        <v>530</v>
      </c>
    </row>
    <row r="167" spans="1:11" s="266" customFormat="1" ht="15" x14ac:dyDescent="0.25">
      <c r="A167" s="86">
        <f>Données!A167</f>
        <v>5684</v>
      </c>
      <c r="B167" s="405" t="str">
        <f>Données!B167</f>
        <v>Rossenges</v>
      </c>
      <c r="C167" s="263">
        <f>Synthèse!G166</f>
        <v>41308.037806500972</v>
      </c>
      <c r="D167" s="484" t="s">
        <v>530</v>
      </c>
      <c r="E167" s="485" t="s">
        <v>530</v>
      </c>
      <c r="F167" s="262">
        <f>Synthèse!F166</f>
        <v>23657.955354891325</v>
      </c>
      <c r="G167" s="489" t="s">
        <v>530</v>
      </c>
      <c r="H167" s="489" t="s">
        <v>530</v>
      </c>
      <c r="I167" s="263">
        <f>Synthèse!H166</f>
        <v>10278.760015330063</v>
      </c>
      <c r="J167" s="493" t="s">
        <v>530</v>
      </c>
      <c r="K167" s="493" t="s">
        <v>530</v>
      </c>
    </row>
    <row r="168" spans="1:11" s="266" customFormat="1" ht="15" x14ac:dyDescent="0.25">
      <c r="A168" s="86">
        <f>Données!A168</f>
        <v>5688</v>
      </c>
      <c r="B168" s="405" t="str">
        <f>Données!B168</f>
        <v>Syens</v>
      </c>
      <c r="C168" s="263">
        <f>Synthèse!G167</f>
        <v>91613.539654184598</v>
      </c>
      <c r="D168" s="484" t="s">
        <v>530</v>
      </c>
      <c r="E168" s="485" t="s">
        <v>530</v>
      </c>
      <c r="F168" s="262">
        <f>Synthèse!F167</f>
        <v>48610.444715779042</v>
      </c>
      <c r="G168" s="489" t="s">
        <v>530</v>
      </c>
      <c r="H168" s="489" t="s">
        <v>530</v>
      </c>
      <c r="I168" s="263">
        <f>Synthèse!H167</f>
        <v>19210.614112743726</v>
      </c>
      <c r="J168" s="493" t="s">
        <v>530</v>
      </c>
      <c r="K168" s="493" t="s">
        <v>530</v>
      </c>
    </row>
    <row r="169" spans="1:11" s="266" customFormat="1" ht="15" x14ac:dyDescent="0.25">
      <c r="A169" s="86">
        <f>Données!A169</f>
        <v>5690</v>
      </c>
      <c r="B169" s="405" t="str">
        <f>Données!B169</f>
        <v>Villars-le-Comte</v>
      </c>
      <c r="C169" s="263">
        <f>Synthèse!G168</f>
        <v>54272.465425779337</v>
      </c>
      <c r="D169" s="484" t="s">
        <v>530</v>
      </c>
      <c r="E169" s="485" t="s">
        <v>530</v>
      </c>
      <c r="F169" s="262">
        <f>Synthèse!F168</f>
        <v>-26559.110199863731</v>
      </c>
      <c r="G169" s="489" t="s">
        <v>530</v>
      </c>
      <c r="H169" s="489" t="s">
        <v>530</v>
      </c>
      <c r="I169" s="263">
        <f>Synthèse!H168</f>
        <v>10696.258898322729</v>
      </c>
      <c r="J169" s="493" t="s">
        <v>530</v>
      </c>
      <c r="K169" s="493" t="s">
        <v>530</v>
      </c>
    </row>
    <row r="170" spans="1:11" s="266" customFormat="1" ht="15" x14ac:dyDescent="0.25">
      <c r="A170" s="86">
        <f>Données!A170</f>
        <v>5692</v>
      </c>
      <c r="B170" s="405" t="str">
        <f>Données!B170</f>
        <v>Vucherens</v>
      </c>
      <c r="C170" s="263">
        <f>Synthèse!G169</f>
        <v>338902.50030147051</v>
      </c>
      <c r="D170" s="484" t="s">
        <v>530</v>
      </c>
      <c r="E170" s="485" t="s">
        <v>530</v>
      </c>
      <c r="F170" s="262">
        <f>Synthèse!F169</f>
        <v>-60420.414126373711</v>
      </c>
      <c r="G170" s="489" t="s">
        <v>530</v>
      </c>
      <c r="H170" s="489" t="s">
        <v>530</v>
      </c>
      <c r="I170" s="263">
        <f>Synthèse!H169</f>
        <v>57977.500185642784</v>
      </c>
      <c r="J170" s="493" t="s">
        <v>530</v>
      </c>
      <c r="K170" s="493" t="s">
        <v>530</v>
      </c>
    </row>
    <row r="171" spans="1:11" s="266" customFormat="1" ht="15" x14ac:dyDescent="0.25">
      <c r="A171" s="86">
        <f>Données!A171</f>
        <v>5693</v>
      </c>
      <c r="B171" s="405" t="str">
        <f>Données!B171</f>
        <v>Montanaire</v>
      </c>
      <c r="C171" s="263">
        <f>Synthèse!G170</f>
        <v>1222711.139557231</v>
      </c>
      <c r="D171" s="484" t="s">
        <v>530</v>
      </c>
      <c r="E171" s="485" t="s">
        <v>530</v>
      </c>
      <c r="F171" s="262">
        <f>Synthèse!F170</f>
        <v>-917905.45609132829</v>
      </c>
      <c r="G171" s="489" t="s">
        <v>530</v>
      </c>
      <c r="H171" s="489" t="s">
        <v>530</v>
      </c>
      <c r="I171" s="263">
        <f>Synthèse!H170</f>
        <v>231600.02186898998</v>
      </c>
      <c r="J171" s="493" t="s">
        <v>530</v>
      </c>
      <c r="K171" s="493" t="s">
        <v>530</v>
      </c>
    </row>
    <row r="172" spans="1:11" s="266" customFormat="1" ht="15" x14ac:dyDescent="0.25">
      <c r="A172" s="86">
        <f>Données!A172</f>
        <v>5701</v>
      </c>
      <c r="B172" s="405" t="str">
        <f>Données!B172</f>
        <v>Arnex-sur-Nyon</v>
      </c>
      <c r="C172" s="263">
        <f>Synthèse!G171</f>
        <v>327260.19763276097</v>
      </c>
      <c r="D172" s="484" t="s">
        <v>530</v>
      </c>
      <c r="E172" s="485" t="s">
        <v>530</v>
      </c>
      <c r="F172" s="262">
        <f>Synthèse!F171</f>
        <v>250153.64647170465</v>
      </c>
      <c r="G172" s="489" t="s">
        <v>530</v>
      </c>
      <c r="H172" s="489" t="s">
        <v>530</v>
      </c>
      <c r="I172" s="263">
        <f>Synthèse!H171</f>
        <v>37749.311578978995</v>
      </c>
      <c r="J172" s="493" t="s">
        <v>530</v>
      </c>
      <c r="K172" s="493" t="s">
        <v>530</v>
      </c>
    </row>
    <row r="173" spans="1:11" s="266" customFormat="1" ht="15" x14ac:dyDescent="0.25">
      <c r="A173" s="86">
        <f>Données!A173</f>
        <v>5702</v>
      </c>
      <c r="B173" s="405" t="str">
        <f>Données!B173</f>
        <v>Arzier-Le Muids</v>
      </c>
      <c r="C173" s="263">
        <f>Synthèse!G172</f>
        <v>3440742.8944313042</v>
      </c>
      <c r="D173" s="484" t="s">
        <v>530</v>
      </c>
      <c r="E173" s="485" t="s">
        <v>530</v>
      </c>
      <c r="F173" s="262">
        <f>Synthèse!F172</f>
        <v>2070169.9959546316</v>
      </c>
      <c r="G173" s="489" t="s">
        <v>530</v>
      </c>
      <c r="H173" s="489" t="s">
        <v>530</v>
      </c>
      <c r="I173" s="263">
        <f>Synthèse!H172</f>
        <v>474995.96549460274</v>
      </c>
      <c r="J173" s="493" t="s">
        <v>530</v>
      </c>
      <c r="K173" s="493" t="s">
        <v>530</v>
      </c>
    </row>
    <row r="174" spans="1:11" s="266" customFormat="1" ht="15" x14ac:dyDescent="0.25">
      <c r="A174" s="86">
        <f>Données!A174</f>
        <v>5703</v>
      </c>
      <c r="B174" s="405" t="str">
        <f>Données!B174</f>
        <v>Bassins</v>
      </c>
      <c r="C174" s="263">
        <f>Synthèse!G173</f>
        <v>1097016.3224055748</v>
      </c>
      <c r="D174" s="484" t="s">
        <v>530</v>
      </c>
      <c r="E174" s="485" t="s">
        <v>530</v>
      </c>
      <c r="F174" s="262">
        <f>Synthèse!F173</f>
        <v>888774.91644670931</v>
      </c>
      <c r="G174" s="489" t="s">
        <v>530</v>
      </c>
      <c r="H174" s="489" t="s">
        <v>530</v>
      </c>
      <c r="I174" s="263">
        <f>Synthèse!H173</f>
        <v>206091.73528307187</v>
      </c>
      <c r="J174" s="493" t="s">
        <v>530</v>
      </c>
      <c r="K174" s="493" t="s">
        <v>530</v>
      </c>
    </row>
    <row r="175" spans="1:11" s="266" customFormat="1" ht="15" x14ac:dyDescent="0.25">
      <c r="A175" s="86">
        <f>Données!A175</f>
        <v>5704</v>
      </c>
      <c r="B175" s="405" t="str">
        <f>Données!B175</f>
        <v>Begnins</v>
      </c>
      <c r="C175" s="263">
        <f>Synthèse!G174</f>
        <v>3103386.8490362512</v>
      </c>
      <c r="D175" s="484" t="s">
        <v>530</v>
      </c>
      <c r="E175" s="485" t="s">
        <v>530</v>
      </c>
      <c r="F175" s="262">
        <f>Synthèse!F174</f>
        <v>2352171.9715564642</v>
      </c>
      <c r="G175" s="489" t="s">
        <v>530</v>
      </c>
      <c r="H175" s="489" t="s">
        <v>530</v>
      </c>
      <c r="I175" s="263">
        <f>Synthèse!H174</f>
        <v>351054.74045785639</v>
      </c>
      <c r="J175" s="493" t="s">
        <v>530</v>
      </c>
      <c r="K175" s="493" t="s">
        <v>530</v>
      </c>
    </row>
    <row r="176" spans="1:11" s="266" customFormat="1" ht="15" x14ac:dyDescent="0.25">
      <c r="A176" s="86">
        <f>Données!A176</f>
        <v>5705</v>
      </c>
      <c r="B176" s="405" t="str">
        <f>Données!B176</f>
        <v>Bogis-Bossey</v>
      </c>
      <c r="C176" s="263">
        <f>Synthèse!G175</f>
        <v>1092187.6754292534</v>
      </c>
      <c r="D176" s="484" t="s">
        <v>530</v>
      </c>
      <c r="E176" s="485" t="s">
        <v>530</v>
      </c>
      <c r="F176" s="262">
        <f>Synthèse!F175</f>
        <v>886933.51011138258</v>
      </c>
      <c r="G176" s="489" t="s">
        <v>530</v>
      </c>
      <c r="H176" s="489" t="s">
        <v>530</v>
      </c>
      <c r="I176" s="263">
        <f>Synthèse!H175</f>
        <v>142223.55882502013</v>
      </c>
      <c r="J176" s="493" t="s">
        <v>530</v>
      </c>
      <c r="K176" s="493" t="s">
        <v>530</v>
      </c>
    </row>
    <row r="177" spans="1:11" s="266" customFormat="1" ht="15" x14ac:dyDescent="0.25">
      <c r="A177" s="86">
        <f>Données!A177</f>
        <v>5706</v>
      </c>
      <c r="B177" s="405" t="str">
        <f>Données!B177</f>
        <v>Borex</v>
      </c>
      <c r="C177" s="263">
        <f>Synthèse!G176</f>
        <v>1266250.2017405673</v>
      </c>
      <c r="D177" s="484" t="s">
        <v>530</v>
      </c>
      <c r="E177" s="485" t="s">
        <v>530</v>
      </c>
      <c r="F177" s="262">
        <f>Synthèse!F176</f>
        <v>1184115.4558307377</v>
      </c>
      <c r="G177" s="489" t="s">
        <v>530</v>
      </c>
      <c r="H177" s="489" t="s">
        <v>530</v>
      </c>
      <c r="I177" s="263">
        <f>Synthèse!H176</f>
        <v>190328.64462234807</v>
      </c>
      <c r="J177" s="493" t="s">
        <v>530</v>
      </c>
      <c r="K177" s="493" t="s">
        <v>530</v>
      </c>
    </row>
    <row r="178" spans="1:11" s="266" customFormat="1" ht="15" x14ac:dyDescent="0.25">
      <c r="A178" s="86">
        <f>Données!A178</f>
        <v>5707</v>
      </c>
      <c r="B178" s="405" t="str">
        <f>Données!B178</f>
        <v>Chavannes-de-Bogis</v>
      </c>
      <c r="C178" s="263">
        <f>Synthèse!G177</f>
        <v>2101778.4955710694</v>
      </c>
      <c r="D178" s="484" t="s">
        <v>530</v>
      </c>
      <c r="E178" s="485" t="s">
        <v>530</v>
      </c>
      <c r="F178" s="262">
        <f>Synthèse!F177</f>
        <v>1448317.618356437</v>
      </c>
      <c r="G178" s="489" t="s">
        <v>530</v>
      </c>
      <c r="H178" s="489" t="s">
        <v>530</v>
      </c>
      <c r="I178" s="263">
        <f>Synthèse!H177</f>
        <v>225510.62495451485</v>
      </c>
      <c r="J178" s="493" t="s">
        <v>530</v>
      </c>
      <c r="K178" s="493" t="s">
        <v>530</v>
      </c>
    </row>
    <row r="179" spans="1:11" s="266" customFormat="1" ht="15" x14ac:dyDescent="0.25">
      <c r="A179" s="86">
        <f>Données!A179</f>
        <v>5708</v>
      </c>
      <c r="B179" s="405" t="str">
        <f>Données!B179</f>
        <v>Chavannes-des-Bois</v>
      </c>
      <c r="C179" s="263">
        <f>Synthèse!G178</f>
        <v>1314019.1157511114</v>
      </c>
      <c r="D179" s="484" t="s">
        <v>530</v>
      </c>
      <c r="E179" s="485" t="s">
        <v>530</v>
      </c>
      <c r="F179" s="262">
        <f>Synthèse!F178</f>
        <v>1160683.5537871371</v>
      </c>
      <c r="G179" s="489" t="s">
        <v>530</v>
      </c>
      <c r="H179" s="489" t="s">
        <v>530</v>
      </c>
      <c r="I179" s="263">
        <f>Synthèse!H178</f>
        <v>171010.29968167996</v>
      </c>
      <c r="J179" s="493" t="s">
        <v>530</v>
      </c>
      <c r="K179" s="493" t="s">
        <v>530</v>
      </c>
    </row>
    <row r="180" spans="1:11" s="266" customFormat="1" ht="15" x14ac:dyDescent="0.25">
      <c r="A180" s="86">
        <f>Données!A180</f>
        <v>5709</v>
      </c>
      <c r="B180" s="405" t="str">
        <f>Données!B180</f>
        <v>Chéserex</v>
      </c>
      <c r="C180" s="263">
        <f>Synthèse!G179</f>
        <v>2459878.1662190785</v>
      </c>
      <c r="D180" s="484" t="s">
        <v>530</v>
      </c>
      <c r="E180" s="485" t="s">
        <v>530</v>
      </c>
      <c r="F180" s="262">
        <f>Synthèse!F179</f>
        <v>1479007.9925588779</v>
      </c>
      <c r="G180" s="489" t="s">
        <v>530</v>
      </c>
      <c r="H180" s="489" t="s">
        <v>530</v>
      </c>
      <c r="I180" s="263">
        <f>Synthèse!H179</f>
        <v>219995.93245452153</v>
      </c>
      <c r="J180" s="493" t="s">
        <v>530</v>
      </c>
      <c r="K180" s="493" t="s">
        <v>530</v>
      </c>
    </row>
    <row r="181" spans="1:11" s="266" customFormat="1" ht="15" x14ac:dyDescent="0.25">
      <c r="A181" s="86">
        <f>Données!A181</f>
        <v>5710</v>
      </c>
      <c r="B181" s="405" t="str">
        <f>Données!B181</f>
        <v>Coinsins</v>
      </c>
      <c r="C181" s="263">
        <f>Synthèse!G180</f>
        <v>945465.3338893404</v>
      </c>
      <c r="D181" s="484" t="s">
        <v>530</v>
      </c>
      <c r="E181" s="485" t="s">
        <v>530</v>
      </c>
      <c r="F181" s="262">
        <f>Synthèse!F180</f>
        <v>770908.3823976334</v>
      </c>
      <c r="G181" s="489" t="s">
        <v>530</v>
      </c>
      <c r="H181" s="489" t="s">
        <v>530</v>
      </c>
      <c r="I181" s="263">
        <f>Synthèse!H180</f>
        <v>98114.787577018433</v>
      </c>
      <c r="J181" s="493" t="s">
        <v>530</v>
      </c>
      <c r="K181" s="493" t="s">
        <v>530</v>
      </c>
    </row>
    <row r="182" spans="1:11" s="266" customFormat="1" ht="15" x14ac:dyDescent="0.25">
      <c r="A182" s="86">
        <f>Données!A182</f>
        <v>5711</v>
      </c>
      <c r="B182" s="405" t="str">
        <f>Données!B182</f>
        <v>Commugny</v>
      </c>
      <c r="C182" s="263">
        <f>Synthèse!G181</f>
        <v>7340786.5537320245</v>
      </c>
      <c r="D182" s="484" t="s">
        <v>530</v>
      </c>
      <c r="E182" s="485" t="s">
        <v>530</v>
      </c>
      <c r="F182" s="262">
        <f>Synthèse!F181</f>
        <v>4666613.3896833761</v>
      </c>
      <c r="G182" s="489" t="s">
        <v>530</v>
      </c>
      <c r="H182" s="489" t="s">
        <v>530</v>
      </c>
      <c r="I182" s="263">
        <f>Synthèse!H181</f>
        <v>616315.76665424136</v>
      </c>
      <c r="J182" s="493" t="s">
        <v>530</v>
      </c>
      <c r="K182" s="493" t="s">
        <v>530</v>
      </c>
    </row>
    <row r="183" spans="1:11" s="266" customFormat="1" ht="15" x14ac:dyDescent="0.25">
      <c r="A183" s="86">
        <f>Données!A183</f>
        <v>5712</v>
      </c>
      <c r="B183" s="405" t="str">
        <f>Données!B183</f>
        <v>Coppet</v>
      </c>
      <c r="C183" s="263">
        <f>Synthèse!G182</f>
        <v>8684081.9619715903</v>
      </c>
      <c r="D183" s="484" t="s">
        <v>530</v>
      </c>
      <c r="E183" s="485" t="s">
        <v>530</v>
      </c>
      <c r="F183" s="262">
        <f>Synthèse!F182</f>
        <v>5473476.8586755395</v>
      </c>
      <c r="G183" s="489" t="s">
        <v>530</v>
      </c>
      <c r="H183" s="489" t="s">
        <v>530</v>
      </c>
      <c r="I183" s="263">
        <f>Synthèse!H182</f>
        <v>693077.6975496962</v>
      </c>
      <c r="J183" s="493" t="s">
        <v>530</v>
      </c>
      <c r="K183" s="493" t="s">
        <v>530</v>
      </c>
    </row>
    <row r="184" spans="1:11" s="266" customFormat="1" ht="15" x14ac:dyDescent="0.25">
      <c r="A184" s="86">
        <f>Données!A184</f>
        <v>5713</v>
      </c>
      <c r="B184" s="405" t="str">
        <f>Données!B184</f>
        <v>Crans</v>
      </c>
      <c r="C184" s="263">
        <f>Synthèse!G183</f>
        <v>9698249.7027778067</v>
      </c>
      <c r="D184" s="484" t="s">
        <v>530</v>
      </c>
      <c r="E184" s="485" t="s">
        <v>530</v>
      </c>
      <c r="F184" s="262">
        <f>Synthèse!F183</f>
        <v>5206610.6048297286</v>
      </c>
      <c r="G184" s="489" t="s">
        <v>530</v>
      </c>
      <c r="H184" s="489" t="s">
        <v>530</v>
      </c>
      <c r="I184" s="263">
        <f>Synthèse!H183</f>
        <v>370735.82585590362</v>
      </c>
      <c r="J184" s="493" t="s">
        <v>530</v>
      </c>
      <c r="K184" s="493" t="s">
        <v>530</v>
      </c>
    </row>
    <row r="185" spans="1:11" s="266" customFormat="1" ht="15" x14ac:dyDescent="0.25">
      <c r="A185" s="86">
        <f>Données!A185</f>
        <v>5714</v>
      </c>
      <c r="B185" s="405" t="str">
        <f>Données!B185</f>
        <v>Crassier</v>
      </c>
      <c r="C185" s="263">
        <f>Synthèse!G184</f>
        <v>1184412.4008903641</v>
      </c>
      <c r="D185" s="484" t="s">
        <v>530</v>
      </c>
      <c r="E185" s="485" t="s">
        <v>530</v>
      </c>
      <c r="F185" s="262">
        <f>Synthèse!F184</f>
        <v>986424.76870320085</v>
      </c>
      <c r="G185" s="489" t="s">
        <v>530</v>
      </c>
      <c r="H185" s="489" t="s">
        <v>530</v>
      </c>
      <c r="I185" s="263">
        <f>Synthèse!H184</f>
        <v>184780.90818217432</v>
      </c>
      <c r="J185" s="493" t="s">
        <v>530</v>
      </c>
      <c r="K185" s="493" t="s">
        <v>530</v>
      </c>
    </row>
    <row r="186" spans="1:11" s="266" customFormat="1" ht="15" x14ac:dyDescent="0.25">
      <c r="A186" s="86">
        <f>Données!A186</f>
        <v>5715</v>
      </c>
      <c r="B186" s="405" t="str">
        <f>Données!B186</f>
        <v>Duillier</v>
      </c>
      <c r="C186" s="263">
        <f>Synthèse!G185</f>
        <v>1590381.8467500771</v>
      </c>
      <c r="D186" s="484" t="s">
        <v>530</v>
      </c>
      <c r="E186" s="485" t="s">
        <v>530</v>
      </c>
      <c r="F186" s="262">
        <f>Synthèse!F185</f>
        <v>1175269.4198254973</v>
      </c>
      <c r="G186" s="489" t="s">
        <v>530</v>
      </c>
      <c r="H186" s="489" t="s">
        <v>530</v>
      </c>
      <c r="I186" s="263">
        <f>Synthèse!H185</f>
        <v>187649.11641327868</v>
      </c>
      <c r="J186" s="493" t="s">
        <v>530</v>
      </c>
      <c r="K186" s="493" t="s">
        <v>530</v>
      </c>
    </row>
    <row r="187" spans="1:11" s="266" customFormat="1" ht="15" x14ac:dyDescent="0.25">
      <c r="A187" s="86">
        <f>Données!A187</f>
        <v>5716</v>
      </c>
      <c r="B187" s="405" t="str">
        <f>Données!B187</f>
        <v>Eysins</v>
      </c>
      <c r="C187" s="263">
        <f>Synthèse!G186</f>
        <v>5542312.600666591</v>
      </c>
      <c r="D187" s="484" t="s">
        <v>530</v>
      </c>
      <c r="E187" s="485" t="s">
        <v>530</v>
      </c>
      <c r="F187" s="262">
        <f>Synthèse!F186</f>
        <v>3527589.892114813</v>
      </c>
      <c r="G187" s="489" t="s">
        <v>530</v>
      </c>
      <c r="H187" s="489" t="s">
        <v>530</v>
      </c>
      <c r="I187" s="263">
        <f>Synthèse!H186</f>
        <v>402936.55338272633</v>
      </c>
      <c r="J187" s="493" t="s">
        <v>530</v>
      </c>
      <c r="K187" s="493" t="s">
        <v>530</v>
      </c>
    </row>
    <row r="188" spans="1:11" s="266" customFormat="1" ht="15" x14ac:dyDescent="0.25">
      <c r="A188" s="86">
        <f>Données!A188</f>
        <v>5717</v>
      </c>
      <c r="B188" s="405" t="str">
        <f>Données!B188</f>
        <v>Founex</v>
      </c>
      <c r="C188" s="263">
        <f>Synthèse!G187</f>
        <v>9993562.9606426451</v>
      </c>
      <c r="D188" s="484" t="s">
        <v>530</v>
      </c>
      <c r="E188" s="485" t="s">
        <v>530</v>
      </c>
      <c r="F188" s="262">
        <f>Synthèse!F187</f>
        <v>6256501.8393951571</v>
      </c>
      <c r="G188" s="489" t="s">
        <v>530</v>
      </c>
      <c r="H188" s="489" t="s">
        <v>530</v>
      </c>
      <c r="I188" s="263">
        <f>Synthèse!H187</f>
        <v>816954.36508257617</v>
      </c>
      <c r="J188" s="493" t="s">
        <v>530</v>
      </c>
      <c r="K188" s="493" t="s">
        <v>530</v>
      </c>
    </row>
    <row r="189" spans="1:11" s="266" customFormat="1" ht="15" x14ac:dyDescent="0.25">
      <c r="A189" s="86">
        <f>Données!A189</f>
        <v>5718</v>
      </c>
      <c r="B189" s="405" t="str">
        <f>Données!B189</f>
        <v>Genolier</v>
      </c>
      <c r="C189" s="263">
        <f>Synthèse!G188</f>
        <v>4849248.4945777934</v>
      </c>
      <c r="D189" s="484" t="s">
        <v>530</v>
      </c>
      <c r="E189" s="485" t="s">
        <v>530</v>
      </c>
      <c r="F189" s="262">
        <f>Synthèse!F188</f>
        <v>3208131.562874224</v>
      </c>
      <c r="G189" s="489" t="s">
        <v>530</v>
      </c>
      <c r="H189" s="489" t="s">
        <v>530</v>
      </c>
      <c r="I189" s="263">
        <f>Synthèse!H188</f>
        <v>414496.44497947051</v>
      </c>
      <c r="J189" s="493" t="s">
        <v>530</v>
      </c>
      <c r="K189" s="493" t="s">
        <v>530</v>
      </c>
    </row>
    <row r="190" spans="1:11" s="266" customFormat="1" ht="15" x14ac:dyDescent="0.25">
      <c r="A190" s="86">
        <f>Données!A190</f>
        <v>5719</v>
      </c>
      <c r="B190" s="405" t="str">
        <f>Données!B190</f>
        <v>Gingins</v>
      </c>
      <c r="C190" s="263">
        <f>Synthèse!G189</f>
        <v>4423680.3893012656</v>
      </c>
      <c r="D190" s="484" t="s">
        <v>530</v>
      </c>
      <c r="E190" s="485" t="s">
        <v>530</v>
      </c>
      <c r="F190" s="262">
        <f>Synthèse!F189</f>
        <v>2691829.9724605773</v>
      </c>
      <c r="G190" s="489" t="s">
        <v>530</v>
      </c>
      <c r="H190" s="489" t="s">
        <v>530</v>
      </c>
      <c r="I190" s="263">
        <f>Synthèse!H189</f>
        <v>297321.52545083215</v>
      </c>
      <c r="J190" s="493" t="s">
        <v>530</v>
      </c>
      <c r="K190" s="493" t="s">
        <v>530</v>
      </c>
    </row>
    <row r="191" spans="1:11" s="266" customFormat="1" ht="15" x14ac:dyDescent="0.25">
      <c r="A191" s="86">
        <f>Données!A191</f>
        <v>5720</v>
      </c>
      <c r="B191" s="405" t="str">
        <f>Données!B191</f>
        <v>Givrins</v>
      </c>
      <c r="C191" s="263">
        <f>Synthèse!G190</f>
        <v>1700725.9398383356</v>
      </c>
      <c r="D191" s="484" t="s">
        <v>530</v>
      </c>
      <c r="E191" s="485" t="s">
        <v>530</v>
      </c>
      <c r="F191" s="262">
        <f>Synthèse!F190</f>
        <v>1263365.6861134847</v>
      </c>
      <c r="G191" s="489" t="s">
        <v>530</v>
      </c>
      <c r="H191" s="489" t="s">
        <v>530</v>
      </c>
      <c r="I191" s="263">
        <f>Synthèse!H190</f>
        <v>181006.7466889284</v>
      </c>
      <c r="J191" s="493" t="s">
        <v>530</v>
      </c>
      <c r="K191" s="493" t="s">
        <v>530</v>
      </c>
    </row>
    <row r="192" spans="1:11" s="266" customFormat="1" ht="15" x14ac:dyDescent="0.25">
      <c r="A192" s="86">
        <f>Données!A192</f>
        <v>5721</v>
      </c>
      <c r="B192" s="405" t="str">
        <f>Données!B192</f>
        <v>Gland</v>
      </c>
      <c r="C192" s="263">
        <f>Synthèse!G191</f>
        <v>12736075.047987727</v>
      </c>
      <c r="D192" s="484" t="s">
        <v>530</v>
      </c>
      <c r="E192" s="485" t="s">
        <v>530</v>
      </c>
      <c r="F192" s="262">
        <f>Synthèse!F191</f>
        <v>5589999.8818843039</v>
      </c>
      <c r="G192" s="489" t="s">
        <v>530</v>
      </c>
      <c r="H192" s="489" t="s">
        <v>530</v>
      </c>
      <c r="I192" s="263">
        <f>Synthèse!H191</f>
        <v>2062728.0605417013</v>
      </c>
      <c r="J192" s="493" t="s">
        <v>530</v>
      </c>
      <c r="K192" s="493" t="s">
        <v>530</v>
      </c>
    </row>
    <row r="193" spans="1:11" s="266" customFormat="1" ht="15" x14ac:dyDescent="0.25">
      <c r="A193" s="86">
        <f>Données!A193</f>
        <v>5722</v>
      </c>
      <c r="B193" s="405" t="str">
        <f>Données!B193</f>
        <v>Grens</v>
      </c>
      <c r="C193" s="263">
        <f>Synthèse!G192</f>
        <v>334099.34624086408</v>
      </c>
      <c r="D193" s="484" t="s">
        <v>530</v>
      </c>
      <c r="E193" s="485" t="s">
        <v>530</v>
      </c>
      <c r="F193" s="262">
        <f>Synthèse!F192</f>
        <v>378475.63711961469</v>
      </c>
      <c r="G193" s="489" t="s">
        <v>530</v>
      </c>
      <c r="H193" s="489" t="s">
        <v>530</v>
      </c>
      <c r="I193" s="263">
        <f>Synthèse!H192</f>
        <v>62823.503312122848</v>
      </c>
      <c r="J193" s="493" t="s">
        <v>530</v>
      </c>
      <c r="K193" s="493" t="s">
        <v>530</v>
      </c>
    </row>
    <row r="194" spans="1:11" s="266" customFormat="1" ht="15" x14ac:dyDescent="0.25">
      <c r="A194" s="86">
        <f>Données!A194</f>
        <v>5723</v>
      </c>
      <c r="B194" s="405" t="str">
        <f>Données!B194</f>
        <v>Mies</v>
      </c>
      <c r="C194" s="263">
        <f>Synthèse!G193</f>
        <v>7526943.9791155178</v>
      </c>
      <c r="D194" s="484" t="s">
        <v>530</v>
      </c>
      <c r="E194" s="485" t="s">
        <v>530</v>
      </c>
      <c r="F194" s="262">
        <f>Synthèse!F193</f>
        <v>4180964.7121144384</v>
      </c>
      <c r="G194" s="489" t="s">
        <v>530</v>
      </c>
      <c r="H194" s="489" t="s">
        <v>530</v>
      </c>
      <c r="I194" s="263">
        <f>Synthèse!H193</f>
        <v>495619.6598678442</v>
      </c>
      <c r="J194" s="493" t="s">
        <v>530</v>
      </c>
      <c r="K194" s="493" t="s">
        <v>530</v>
      </c>
    </row>
    <row r="195" spans="1:11" s="266" customFormat="1" ht="15" x14ac:dyDescent="0.25">
      <c r="A195" s="86">
        <f>Données!A195</f>
        <v>5724</v>
      </c>
      <c r="B195" s="405" t="str">
        <f>Données!B195</f>
        <v>Nyon</v>
      </c>
      <c r="C195" s="263">
        <f>Synthèse!G194</f>
        <v>31381864.113869101</v>
      </c>
      <c r="D195" s="484" t="s">
        <v>530</v>
      </c>
      <c r="E195" s="485" t="s">
        <v>530</v>
      </c>
      <c r="F195" s="262">
        <f>Synthèse!F194</f>
        <v>9547599.6798585206</v>
      </c>
      <c r="G195" s="489" t="s">
        <v>530</v>
      </c>
      <c r="H195" s="489" t="s">
        <v>530</v>
      </c>
      <c r="I195" s="263">
        <f>Synthèse!H194</f>
        <v>1791039.7903085912</v>
      </c>
      <c r="J195" s="493" t="s">
        <v>530</v>
      </c>
      <c r="K195" s="493" t="s">
        <v>530</v>
      </c>
    </row>
    <row r="196" spans="1:11" s="266" customFormat="1" ht="15" x14ac:dyDescent="0.25">
      <c r="A196" s="86">
        <f>Données!A196</f>
        <v>5725</v>
      </c>
      <c r="B196" s="405" t="str">
        <f>Données!B196</f>
        <v>Prangins</v>
      </c>
      <c r="C196" s="263">
        <f>Synthèse!G195</f>
        <v>8335519.0344723566</v>
      </c>
      <c r="D196" s="484" t="s">
        <v>530</v>
      </c>
      <c r="E196" s="485" t="s">
        <v>530</v>
      </c>
      <c r="F196" s="262">
        <f>Synthèse!F195</f>
        <v>5444435.3109970074</v>
      </c>
      <c r="G196" s="489" t="s">
        <v>530</v>
      </c>
      <c r="H196" s="489" t="s">
        <v>530</v>
      </c>
      <c r="I196" s="263">
        <f>Synthèse!H195</f>
        <v>435033.67889341072</v>
      </c>
      <c r="J196" s="493" t="s">
        <v>530</v>
      </c>
      <c r="K196" s="493" t="s">
        <v>530</v>
      </c>
    </row>
    <row r="197" spans="1:11" s="266" customFormat="1" ht="15" x14ac:dyDescent="0.25">
      <c r="A197" s="86">
        <f>Données!A197</f>
        <v>5726</v>
      </c>
      <c r="B197" s="405" t="str">
        <f>Données!B197</f>
        <v>La Rippe</v>
      </c>
      <c r="C197" s="263">
        <f>Synthèse!G196</f>
        <v>1347521.867077868</v>
      </c>
      <c r="D197" s="484" t="s">
        <v>530</v>
      </c>
      <c r="E197" s="485" t="s">
        <v>530</v>
      </c>
      <c r="F197" s="262">
        <f>Synthèse!F196</f>
        <v>1167853.7100401109</v>
      </c>
      <c r="G197" s="489" t="s">
        <v>530</v>
      </c>
      <c r="H197" s="489" t="s">
        <v>530</v>
      </c>
      <c r="I197" s="263">
        <f>Synthèse!H196</f>
        <v>189294.83662487741</v>
      </c>
      <c r="J197" s="493" t="s">
        <v>530</v>
      </c>
      <c r="K197" s="493" t="s">
        <v>530</v>
      </c>
    </row>
    <row r="198" spans="1:11" s="266" customFormat="1" ht="15" x14ac:dyDescent="0.25">
      <c r="A198" s="86">
        <f>Données!A198</f>
        <v>5727</v>
      </c>
      <c r="B198" s="405" t="str">
        <f>Données!B198</f>
        <v>Saint-Cergue</v>
      </c>
      <c r="C198" s="263">
        <f>Synthèse!G197</f>
        <v>2084592.765307324</v>
      </c>
      <c r="D198" s="484" t="s">
        <v>530</v>
      </c>
      <c r="E198" s="485" t="s">
        <v>530</v>
      </c>
      <c r="F198" s="262">
        <f>Synthèse!F197</f>
        <v>361955.81352110114</v>
      </c>
      <c r="G198" s="489" t="s">
        <v>530</v>
      </c>
      <c r="H198" s="489" t="s">
        <v>530</v>
      </c>
      <c r="I198" s="263">
        <f>Synthèse!H197</f>
        <v>325873.08231457224</v>
      </c>
      <c r="J198" s="493" t="s">
        <v>530</v>
      </c>
      <c r="K198" s="493" t="s">
        <v>530</v>
      </c>
    </row>
    <row r="199" spans="1:11" s="266" customFormat="1" ht="15" x14ac:dyDescent="0.25">
      <c r="A199" s="86">
        <f>Données!A199</f>
        <v>5728</v>
      </c>
      <c r="B199" s="405" t="str">
        <f>Données!B199</f>
        <v>Signy-Avenex</v>
      </c>
      <c r="C199" s="263">
        <f>Synthèse!G198</f>
        <v>1441811.8477463061</v>
      </c>
      <c r="D199" s="484" t="s">
        <v>530</v>
      </c>
      <c r="E199" s="485" t="s">
        <v>530</v>
      </c>
      <c r="F199" s="262">
        <f>Synthèse!F198</f>
        <v>1012479.0332583964</v>
      </c>
      <c r="G199" s="489" t="s">
        <v>530</v>
      </c>
      <c r="H199" s="489" t="s">
        <v>530</v>
      </c>
      <c r="I199" s="263">
        <f>Synthèse!H198</f>
        <v>120818.70015900172</v>
      </c>
      <c r="J199" s="493" t="s">
        <v>530</v>
      </c>
      <c r="K199" s="493" t="s">
        <v>530</v>
      </c>
    </row>
    <row r="200" spans="1:11" s="266" customFormat="1" ht="15" x14ac:dyDescent="0.25">
      <c r="A200" s="86">
        <f>Données!A200</f>
        <v>5729</v>
      </c>
      <c r="B200" s="405" t="str">
        <f>Données!B200</f>
        <v>Tannay</v>
      </c>
      <c r="C200" s="263">
        <f>Synthèse!G199</f>
        <v>4381037.3001325913</v>
      </c>
      <c r="D200" s="484" t="s">
        <v>530</v>
      </c>
      <c r="E200" s="485" t="s">
        <v>530</v>
      </c>
      <c r="F200" s="262">
        <f>Synthèse!F199</f>
        <v>2754987.0057688584</v>
      </c>
      <c r="G200" s="489" t="s">
        <v>530</v>
      </c>
      <c r="H200" s="489" t="s">
        <v>530</v>
      </c>
      <c r="I200" s="263">
        <f>Synthèse!H199</f>
        <v>343568.36111671978</v>
      </c>
      <c r="J200" s="493" t="s">
        <v>530</v>
      </c>
      <c r="K200" s="493" t="s">
        <v>530</v>
      </c>
    </row>
    <row r="201" spans="1:11" s="266" customFormat="1" ht="15" x14ac:dyDescent="0.25">
      <c r="A201" s="86">
        <f>Données!A201</f>
        <v>5730</v>
      </c>
      <c r="B201" s="405" t="str">
        <f>Données!B201</f>
        <v>Trélex</v>
      </c>
      <c r="C201" s="263">
        <f>Synthèse!G200</f>
        <v>3348076.5163261089</v>
      </c>
      <c r="D201" s="484" t="s">
        <v>530</v>
      </c>
      <c r="E201" s="485" t="s">
        <v>530</v>
      </c>
      <c r="F201" s="262">
        <f>Synthèse!F200</f>
        <v>2123765.2851780467</v>
      </c>
      <c r="G201" s="489" t="s">
        <v>530</v>
      </c>
      <c r="H201" s="489" t="s">
        <v>530</v>
      </c>
      <c r="I201" s="263">
        <f>Synthèse!H200</f>
        <v>280596.66854379355</v>
      </c>
      <c r="J201" s="493" t="s">
        <v>530</v>
      </c>
      <c r="K201" s="493" t="s">
        <v>530</v>
      </c>
    </row>
    <row r="202" spans="1:11" s="266" customFormat="1" ht="15" x14ac:dyDescent="0.25">
      <c r="A202" s="86">
        <f>Données!A202</f>
        <v>5731</v>
      </c>
      <c r="B202" s="405" t="str">
        <f>Données!B202</f>
        <v>Le Vaud</v>
      </c>
      <c r="C202" s="263">
        <f>Synthèse!G201</f>
        <v>1065282.6838268621</v>
      </c>
      <c r="D202" s="484" t="s">
        <v>530</v>
      </c>
      <c r="E202" s="485" t="s">
        <v>530</v>
      </c>
      <c r="F202" s="262">
        <f>Synthèse!F201</f>
        <v>918099.08112231502</v>
      </c>
      <c r="G202" s="489" t="s">
        <v>530</v>
      </c>
      <c r="H202" s="489" t="s">
        <v>530</v>
      </c>
      <c r="I202" s="263">
        <f>Synthèse!H201</f>
        <v>207990.55443968144</v>
      </c>
      <c r="J202" s="493" t="s">
        <v>530</v>
      </c>
      <c r="K202" s="493" t="s">
        <v>530</v>
      </c>
    </row>
    <row r="203" spans="1:11" s="266" customFormat="1" ht="15" x14ac:dyDescent="0.25">
      <c r="A203" s="86">
        <f>Données!A203</f>
        <v>5732</v>
      </c>
      <c r="B203" s="405" t="str">
        <f>Données!B203</f>
        <v>Vich</v>
      </c>
      <c r="C203" s="263">
        <f>Synthèse!G202</f>
        <v>1769335.5162759984</v>
      </c>
      <c r="D203" s="484" t="s">
        <v>530</v>
      </c>
      <c r="E203" s="485" t="s">
        <v>530</v>
      </c>
      <c r="F203" s="262">
        <f>Synthèse!F202</f>
        <v>1482424.3133255143</v>
      </c>
      <c r="G203" s="489" t="s">
        <v>530</v>
      </c>
      <c r="H203" s="489" t="s">
        <v>530</v>
      </c>
      <c r="I203" s="263">
        <f>Synthèse!H202</f>
        <v>208401.59878353216</v>
      </c>
      <c r="J203" s="493" t="s">
        <v>530</v>
      </c>
      <c r="K203" s="493" t="s">
        <v>530</v>
      </c>
    </row>
    <row r="204" spans="1:11" s="266" customFormat="1" ht="15" x14ac:dyDescent="0.25">
      <c r="A204" s="86">
        <f>Données!A204</f>
        <v>5741</v>
      </c>
      <c r="B204" s="405" t="str">
        <f>Données!B204</f>
        <v>L'Abergement</v>
      </c>
      <c r="C204" s="263">
        <f>Synthèse!G203</f>
        <v>145440.56956753242</v>
      </c>
      <c r="D204" s="484" t="s">
        <v>530</v>
      </c>
      <c r="E204" s="485" t="s">
        <v>530</v>
      </c>
      <c r="F204" s="262">
        <f>Synthèse!F203</f>
        <v>-51818.610346845555</v>
      </c>
      <c r="G204" s="489" t="s">
        <v>530</v>
      </c>
      <c r="H204" s="489" t="s">
        <v>530</v>
      </c>
      <c r="I204" s="263">
        <f>Synthèse!H203</f>
        <v>27929.48377189906</v>
      </c>
      <c r="J204" s="493" t="s">
        <v>530</v>
      </c>
      <c r="K204" s="493" t="s">
        <v>530</v>
      </c>
    </row>
    <row r="205" spans="1:11" s="266" customFormat="1" ht="15" x14ac:dyDescent="0.25">
      <c r="A205" s="86">
        <f>Données!A205</f>
        <v>5742</v>
      </c>
      <c r="B205" s="405" t="str">
        <f>Données!B205</f>
        <v>Agiez</v>
      </c>
      <c r="C205" s="263">
        <f>Synthèse!G204</f>
        <v>131257.51825389126</v>
      </c>
      <c r="D205" s="484" t="s">
        <v>530</v>
      </c>
      <c r="E205" s="485" t="s">
        <v>530</v>
      </c>
      <c r="F205" s="262">
        <f>Synthèse!F204</f>
        <v>-84733.203645879345</v>
      </c>
      <c r="G205" s="489" t="s">
        <v>530</v>
      </c>
      <c r="H205" s="489" t="s">
        <v>530</v>
      </c>
      <c r="I205" s="263">
        <f>Synthèse!H204</f>
        <v>31183.606400958928</v>
      </c>
      <c r="J205" s="493" t="s">
        <v>530</v>
      </c>
      <c r="K205" s="493" t="s">
        <v>530</v>
      </c>
    </row>
    <row r="206" spans="1:11" s="266" customFormat="1" ht="15" x14ac:dyDescent="0.25">
      <c r="A206" s="86">
        <f>Données!A206</f>
        <v>5743</v>
      </c>
      <c r="B206" s="405" t="str">
        <f>Données!B206</f>
        <v>Arnex-sur-Orbe</v>
      </c>
      <c r="C206" s="263">
        <f>Synthèse!G205</f>
        <v>282508.69166413613</v>
      </c>
      <c r="D206" s="484" t="s">
        <v>530</v>
      </c>
      <c r="E206" s="485" t="s">
        <v>530</v>
      </c>
      <c r="F206" s="262">
        <f>Synthèse!F205</f>
        <v>-97670.903346397623</v>
      </c>
      <c r="G206" s="489" t="s">
        <v>530</v>
      </c>
      <c r="H206" s="489" t="s">
        <v>530</v>
      </c>
      <c r="I206" s="263">
        <f>Synthèse!H205</f>
        <v>57308.795771266821</v>
      </c>
      <c r="J206" s="493" t="s">
        <v>530</v>
      </c>
      <c r="K206" s="493" t="s">
        <v>530</v>
      </c>
    </row>
    <row r="207" spans="1:11" s="266" customFormat="1" ht="15" x14ac:dyDescent="0.25">
      <c r="A207" s="86">
        <f>Données!A207</f>
        <v>5744</v>
      </c>
      <c r="B207" s="405" t="str">
        <f>Données!B207</f>
        <v>Ballaigues</v>
      </c>
      <c r="C207" s="263">
        <f>Synthèse!G206</f>
        <v>1220265.1755654498</v>
      </c>
      <c r="D207" s="484" t="s">
        <v>530</v>
      </c>
      <c r="E207" s="485" t="s">
        <v>530</v>
      </c>
      <c r="F207" s="262">
        <f>Synthèse!F206</f>
        <v>241657.78564453707</v>
      </c>
      <c r="G207" s="489" t="s">
        <v>530</v>
      </c>
      <c r="H207" s="489" t="s">
        <v>530</v>
      </c>
      <c r="I207" s="263">
        <f>Synthèse!H206</f>
        <v>152760.36123395211</v>
      </c>
      <c r="J207" s="493" t="s">
        <v>530</v>
      </c>
      <c r="K207" s="493" t="s">
        <v>530</v>
      </c>
    </row>
    <row r="208" spans="1:11" s="266" customFormat="1" ht="15" x14ac:dyDescent="0.25">
      <c r="A208" s="86">
        <f>Données!A208</f>
        <v>5745</v>
      </c>
      <c r="B208" s="405" t="str">
        <f>Données!B208</f>
        <v>Baulmes</v>
      </c>
      <c r="C208" s="263">
        <f>Synthèse!G207</f>
        <v>531511.23219356278</v>
      </c>
      <c r="D208" s="484" t="s">
        <v>530</v>
      </c>
      <c r="E208" s="485" t="s">
        <v>530</v>
      </c>
      <c r="F208" s="262">
        <f>Synthèse!F207</f>
        <v>-658916.39251209446</v>
      </c>
      <c r="G208" s="489" t="s">
        <v>530</v>
      </c>
      <c r="H208" s="489" t="s">
        <v>530</v>
      </c>
      <c r="I208" s="263">
        <f>Synthèse!H207</f>
        <v>88019.165686920169</v>
      </c>
      <c r="J208" s="493" t="s">
        <v>530</v>
      </c>
      <c r="K208" s="493" t="s">
        <v>530</v>
      </c>
    </row>
    <row r="209" spans="1:11" s="266" customFormat="1" ht="15" x14ac:dyDescent="0.25">
      <c r="A209" s="86">
        <f>Données!A209</f>
        <v>5746</v>
      </c>
      <c r="B209" s="405" t="str">
        <f>Données!B209</f>
        <v>Bavois</v>
      </c>
      <c r="C209" s="263">
        <f>Synthèse!G208</f>
        <v>518674.46598236018</v>
      </c>
      <c r="D209" s="484" t="s">
        <v>530</v>
      </c>
      <c r="E209" s="485" t="s">
        <v>530</v>
      </c>
      <c r="F209" s="262">
        <f>Synthèse!F208</f>
        <v>-200110.83478235698</v>
      </c>
      <c r="G209" s="489" t="s">
        <v>530</v>
      </c>
      <c r="H209" s="489" t="s">
        <v>530</v>
      </c>
      <c r="I209" s="263">
        <f>Synthèse!H208</f>
        <v>83017.799266625851</v>
      </c>
      <c r="J209" s="493" t="s">
        <v>530</v>
      </c>
      <c r="K209" s="493" t="s">
        <v>530</v>
      </c>
    </row>
    <row r="210" spans="1:11" s="266" customFormat="1" ht="15" x14ac:dyDescent="0.25">
      <c r="A210" s="86">
        <f>Données!A210</f>
        <v>5747</v>
      </c>
      <c r="B210" s="405" t="str">
        <f>Données!B210</f>
        <v>Bofflens</v>
      </c>
      <c r="C210" s="263">
        <f>Synthèse!G209</f>
        <v>73921.828295590822</v>
      </c>
      <c r="D210" s="484" t="s">
        <v>530</v>
      </c>
      <c r="E210" s="485" t="s">
        <v>530</v>
      </c>
      <c r="F210" s="262">
        <f>Synthèse!F209</f>
        <v>-15402.527122783082</v>
      </c>
      <c r="G210" s="489" t="s">
        <v>530</v>
      </c>
      <c r="H210" s="489" t="s">
        <v>530</v>
      </c>
      <c r="I210" s="263">
        <f>Synthèse!H209</f>
        <v>17791.062362134482</v>
      </c>
      <c r="J210" s="493" t="s">
        <v>530</v>
      </c>
      <c r="K210" s="493" t="s">
        <v>530</v>
      </c>
    </row>
    <row r="211" spans="1:11" s="266" customFormat="1" ht="15" x14ac:dyDescent="0.25">
      <c r="A211" s="86">
        <f>Données!A211</f>
        <v>5748</v>
      </c>
      <c r="B211" s="405" t="str">
        <f>Données!B211</f>
        <v>Bretonnières</v>
      </c>
      <c r="C211" s="263">
        <f>Synthèse!G210</f>
        <v>101233.27905040931</v>
      </c>
      <c r="D211" s="484" t="s">
        <v>530</v>
      </c>
      <c r="E211" s="485" t="s">
        <v>530</v>
      </c>
      <c r="F211" s="262">
        <f>Synthèse!F210</f>
        <v>-85163.618243439298</v>
      </c>
      <c r="G211" s="489" t="s">
        <v>530</v>
      </c>
      <c r="H211" s="489" t="s">
        <v>530</v>
      </c>
      <c r="I211" s="263">
        <f>Synthèse!H210</f>
        <v>20318.878977044118</v>
      </c>
      <c r="J211" s="493" t="s">
        <v>530</v>
      </c>
      <c r="K211" s="493" t="s">
        <v>530</v>
      </c>
    </row>
    <row r="212" spans="1:11" s="266" customFormat="1" ht="15" x14ac:dyDescent="0.25">
      <c r="A212" s="86">
        <f>Données!A212</f>
        <v>5749</v>
      </c>
      <c r="B212" s="405" t="str">
        <f>Données!B212</f>
        <v>Chavornay</v>
      </c>
      <c r="C212" s="263">
        <f>Synthèse!G211</f>
        <v>2422668.8411779185</v>
      </c>
      <c r="D212" s="484" t="s">
        <v>530</v>
      </c>
      <c r="E212" s="485" t="s">
        <v>530</v>
      </c>
      <c r="F212" s="262">
        <f>Synthèse!F211</f>
        <v>-1851484.7319870447</v>
      </c>
      <c r="G212" s="489" t="s">
        <v>530</v>
      </c>
      <c r="H212" s="489" t="s">
        <v>530</v>
      </c>
      <c r="I212" s="263">
        <f>Synthèse!H211</f>
        <v>467575.17285337136</v>
      </c>
      <c r="J212" s="493" t="s">
        <v>530</v>
      </c>
      <c r="K212" s="493" t="s">
        <v>530</v>
      </c>
    </row>
    <row r="213" spans="1:11" s="266" customFormat="1" ht="15" x14ac:dyDescent="0.25">
      <c r="A213" s="86">
        <f>Données!A213</f>
        <v>5750</v>
      </c>
      <c r="B213" s="405" t="str">
        <f>Données!B213</f>
        <v>Les Clées</v>
      </c>
      <c r="C213" s="263">
        <f>Synthèse!G212</f>
        <v>83752.269312148506</v>
      </c>
      <c r="D213" s="484" t="s">
        <v>530</v>
      </c>
      <c r="E213" s="485" t="s">
        <v>530</v>
      </c>
      <c r="F213" s="262">
        <f>Synthèse!F212</f>
        <v>-76124.880026615239</v>
      </c>
      <c r="G213" s="489" t="s">
        <v>530</v>
      </c>
      <c r="H213" s="489" t="s">
        <v>530</v>
      </c>
      <c r="I213" s="263">
        <f>Synthèse!H212</f>
        <v>14960.688533314587</v>
      </c>
      <c r="J213" s="493" t="s">
        <v>530</v>
      </c>
      <c r="K213" s="493" t="s">
        <v>530</v>
      </c>
    </row>
    <row r="214" spans="1:11" s="266" customFormat="1" ht="15" x14ac:dyDescent="0.25">
      <c r="A214" s="86">
        <f>Données!A214</f>
        <v>5752</v>
      </c>
      <c r="B214" s="405" t="str">
        <f>Données!B214</f>
        <v>Croy</v>
      </c>
      <c r="C214" s="263">
        <f>Synthèse!G213</f>
        <v>141985.75747207197</v>
      </c>
      <c r="D214" s="484" t="s">
        <v>530</v>
      </c>
      <c r="E214" s="485" t="s">
        <v>530</v>
      </c>
      <c r="F214" s="262">
        <f>Synthèse!F213</f>
        <v>-61272.345083996886</v>
      </c>
      <c r="G214" s="489" t="s">
        <v>530</v>
      </c>
      <c r="H214" s="489" t="s">
        <v>530</v>
      </c>
      <c r="I214" s="263">
        <f>Synthèse!H213</f>
        <v>29510.495784644307</v>
      </c>
      <c r="J214" s="493" t="s">
        <v>530</v>
      </c>
      <c r="K214" s="493" t="s">
        <v>530</v>
      </c>
    </row>
    <row r="215" spans="1:11" s="266" customFormat="1" ht="15" x14ac:dyDescent="0.25">
      <c r="A215" s="86">
        <f>Données!A215</f>
        <v>5754</v>
      </c>
      <c r="B215" s="405" t="str">
        <f>Données!B215</f>
        <v>Juriens</v>
      </c>
      <c r="C215" s="263">
        <f>Synthèse!G214</f>
        <v>180304.12466733859</v>
      </c>
      <c r="D215" s="484" t="s">
        <v>530</v>
      </c>
      <c r="E215" s="485" t="s">
        <v>530</v>
      </c>
      <c r="F215" s="262">
        <f>Synthèse!F214</f>
        <v>-98797.875795339263</v>
      </c>
      <c r="G215" s="489" t="s">
        <v>530</v>
      </c>
      <c r="H215" s="489" t="s">
        <v>530</v>
      </c>
      <c r="I215" s="263">
        <f>Synthèse!H214</f>
        <v>28112.117864690546</v>
      </c>
      <c r="J215" s="493" t="s">
        <v>530</v>
      </c>
      <c r="K215" s="493" t="s">
        <v>530</v>
      </c>
    </row>
    <row r="216" spans="1:11" s="266" customFormat="1" ht="15" x14ac:dyDescent="0.25">
      <c r="A216" s="86">
        <f>Données!A216</f>
        <v>5755</v>
      </c>
      <c r="B216" s="405" t="str">
        <f>Données!B216</f>
        <v>Lignerolle</v>
      </c>
      <c r="C216" s="263">
        <f>Synthèse!G215</f>
        <v>173091.01652818295</v>
      </c>
      <c r="D216" s="484" t="s">
        <v>530</v>
      </c>
      <c r="E216" s="485" t="s">
        <v>530</v>
      </c>
      <c r="F216" s="262">
        <f>Synthèse!F215</f>
        <v>-354506.86157448567</v>
      </c>
      <c r="G216" s="489" t="s">
        <v>530</v>
      </c>
      <c r="H216" s="489" t="s">
        <v>530</v>
      </c>
      <c r="I216" s="263">
        <f>Synthèse!H215</f>
        <v>32914.210067690809</v>
      </c>
      <c r="J216" s="493" t="s">
        <v>530</v>
      </c>
      <c r="K216" s="493" t="s">
        <v>530</v>
      </c>
    </row>
    <row r="217" spans="1:11" s="266" customFormat="1" ht="15" x14ac:dyDescent="0.25">
      <c r="A217" s="86">
        <f>Données!A217</f>
        <v>5756</v>
      </c>
      <c r="B217" s="405" t="str">
        <f>Données!B217</f>
        <v>Montcherand</v>
      </c>
      <c r="C217" s="263">
        <f>Synthèse!G216</f>
        <v>255184.86784178327</v>
      </c>
      <c r="D217" s="484" t="s">
        <v>530</v>
      </c>
      <c r="E217" s="485" t="s">
        <v>530</v>
      </c>
      <c r="F217" s="262">
        <f>Synthèse!F216</f>
        <v>111121.93126265172</v>
      </c>
      <c r="G217" s="489" t="s">
        <v>530</v>
      </c>
      <c r="H217" s="489" t="s">
        <v>530</v>
      </c>
      <c r="I217" s="263">
        <f>Synthèse!H216</f>
        <v>54813.017992379682</v>
      </c>
      <c r="J217" s="493" t="s">
        <v>530</v>
      </c>
      <c r="K217" s="493" t="s">
        <v>530</v>
      </c>
    </row>
    <row r="218" spans="1:11" s="266" customFormat="1" ht="15" x14ac:dyDescent="0.25">
      <c r="A218" s="86">
        <f>Données!A218</f>
        <v>5757</v>
      </c>
      <c r="B218" s="405" t="str">
        <f>Données!B218</f>
        <v>Orbe</v>
      </c>
      <c r="C218" s="263">
        <f>Synthèse!G217</f>
        <v>4409747.6739591584</v>
      </c>
      <c r="D218" s="484" t="s">
        <v>530</v>
      </c>
      <c r="E218" s="485" t="s">
        <v>530</v>
      </c>
      <c r="F218" s="262">
        <f>Synthèse!F217</f>
        <v>-4641328.5828185789</v>
      </c>
      <c r="G218" s="489" t="s">
        <v>530</v>
      </c>
      <c r="H218" s="489" t="s">
        <v>530</v>
      </c>
      <c r="I218" s="263">
        <f>Synthèse!H217</f>
        <v>656904.727503328</v>
      </c>
      <c r="J218" s="493" t="s">
        <v>530</v>
      </c>
      <c r="K218" s="493" t="s">
        <v>530</v>
      </c>
    </row>
    <row r="219" spans="1:11" s="266" customFormat="1" ht="15" x14ac:dyDescent="0.25">
      <c r="A219" s="86">
        <f>Données!A219</f>
        <v>5758</v>
      </c>
      <c r="B219" s="405" t="str">
        <f>Données!B219</f>
        <v>La Praz</v>
      </c>
      <c r="C219" s="263">
        <f>Synthèse!G218</f>
        <v>82471.386413366257</v>
      </c>
      <c r="D219" s="484" t="s">
        <v>530</v>
      </c>
      <c r="E219" s="485" t="s">
        <v>530</v>
      </c>
      <c r="F219" s="262">
        <f>Synthèse!F218</f>
        <v>-80249.918456341562</v>
      </c>
      <c r="G219" s="489" t="s">
        <v>530</v>
      </c>
      <c r="H219" s="489" t="s">
        <v>530</v>
      </c>
      <c r="I219" s="263">
        <f>Synthèse!H218</f>
        <v>14682.803579716598</v>
      </c>
      <c r="J219" s="493" t="s">
        <v>530</v>
      </c>
      <c r="K219" s="493" t="s">
        <v>530</v>
      </c>
    </row>
    <row r="220" spans="1:11" s="266" customFormat="1" ht="15" x14ac:dyDescent="0.25">
      <c r="A220" s="86">
        <f>Données!A220</f>
        <v>5759</v>
      </c>
      <c r="B220" s="405" t="str">
        <f>Données!B220</f>
        <v>Premier</v>
      </c>
      <c r="C220" s="263">
        <f>Synthèse!G219</f>
        <v>76233.798051924707</v>
      </c>
      <c r="D220" s="484" t="s">
        <v>530</v>
      </c>
      <c r="E220" s="485" t="s">
        <v>530</v>
      </c>
      <c r="F220" s="262">
        <f>Synthèse!F219</f>
        <v>-120850.02383250708</v>
      </c>
      <c r="G220" s="489" t="s">
        <v>530</v>
      </c>
      <c r="H220" s="489" t="s">
        <v>530</v>
      </c>
      <c r="I220" s="263">
        <f>Synthèse!H219</f>
        <v>18218.523333292254</v>
      </c>
      <c r="J220" s="493" t="s">
        <v>530</v>
      </c>
      <c r="K220" s="493" t="s">
        <v>530</v>
      </c>
    </row>
    <row r="221" spans="1:11" s="266" customFormat="1" ht="15" x14ac:dyDescent="0.25">
      <c r="A221" s="86">
        <f>Données!A221</f>
        <v>5760</v>
      </c>
      <c r="B221" s="405" t="str">
        <f>Données!B221</f>
        <v>Rances</v>
      </c>
      <c r="C221" s="263">
        <f>Synthèse!G220</f>
        <v>240173.337336611</v>
      </c>
      <c r="D221" s="484" t="s">
        <v>530</v>
      </c>
      <c r="E221" s="485" t="s">
        <v>530</v>
      </c>
      <c r="F221" s="262">
        <f>Synthèse!F220</f>
        <v>-149632.93346877035</v>
      </c>
      <c r="G221" s="489" t="s">
        <v>530</v>
      </c>
      <c r="H221" s="489" t="s">
        <v>530</v>
      </c>
      <c r="I221" s="263">
        <f>Synthèse!H220</f>
        <v>44562.80958363734</v>
      </c>
      <c r="J221" s="493" t="s">
        <v>530</v>
      </c>
      <c r="K221" s="493" t="s">
        <v>530</v>
      </c>
    </row>
    <row r="222" spans="1:11" s="266" customFormat="1" ht="15" x14ac:dyDescent="0.25">
      <c r="A222" s="86">
        <f>Données!A222</f>
        <v>5761</v>
      </c>
      <c r="B222" s="405" t="str">
        <f>Données!B222</f>
        <v>Romainmôtier-Envy</v>
      </c>
      <c r="C222" s="263">
        <f>Synthèse!G221</f>
        <v>259331.819946353</v>
      </c>
      <c r="D222" s="484" t="s">
        <v>530</v>
      </c>
      <c r="E222" s="485" t="s">
        <v>530</v>
      </c>
      <c r="F222" s="262">
        <f>Synthèse!F221</f>
        <v>-347113.98273447738</v>
      </c>
      <c r="G222" s="489" t="s">
        <v>530</v>
      </c>
      <c r="H222" s="489" t="s">
        <v>530</v>
      </c>
      <c r="I222" s="263">
        <f>Synthèse!H221</f>
        <v>39397.144069626971</v>
      </c>
      <c r="J222" s="493" t="s">
        <v>530</v>
      </c>
      <c r="K222" s="493" t="s">
        <v>530</v>
      </c>
    </row>
    <row r="223" spans="1:11" s="266" customFormat="1" ht="15" x14ac:dyDescent="0.25">
      <c r="A223" s="86">
        <f>Données!A223</f>
        <v>5762</v>
      </c>
      <c r="B223" s="405" t="str">
        <f>Données!B223</f>
        <v>Sergey</v>
      </c>
      <c r="C223" s="263">
        <f>Synthèse!G222</f>
        <v>52526.011406400794</v>
      </c>
      <c r="D223" s="484" t="s">
        <v>530</v>
      </c>
      <c r="E223" s="485" t="s">
        <v>530</v>
      </c>
      <c r="F223" s="262">
        <f>Synthèse!F222</f>
        <v>-41121.648242260941</v>
      </c>
      <c r="G223" s="489" t="s">
        <v>530</v>
      </c>
      <c r="H223" s="489" t="s">
        <v>530</v>
      </c>
      <c r="I223" s="263">
        <f>Synthèse!H222</f>
        <v>11865.261679992695</v>
      </c>
      <c r="J223" s="493" t="s">
        <v>530</v>
      </c>
      <c r="K223" s="493" t="s">
        <v>530</v>
      </c>
    </row>
    <row r="224" spans="1:11" s="266" customFormat="1" ht="15" x14ac:dyDescent="0.25">
      <c r="A224" s="86">
        <f>Données!A224</f>
        <v>5763</v>
      </c>
      <c r="B224" s="405" t="str">
        <f>Données!B224</f>
        <v>Valeyres-sous-Rances</v>
      </c>
      <c r="C224" s="263">
        <f>Synthèse!G223</f>
        <v>311245.45037044259</v>
      </c>
      <c r="D224" s="484" t="s">
        <v>530</v>
      </c>
      <c r="E224" s="485" t="s">
        <v>530</v>
      </c>
      <c r="F224" s="262">
        <f>Synthèse!F223</f>
        <v>161178.00951584929</v>
      </c>
      <c r="G224" s="489" t="s">
        <v>530</v>
      </c>
      <c r="H224" s="489" t="s">
        <v>530</v>
      </c>
      <c r="I224" s="263">
        <f>Synthèse!H223</f>
        <v>70212.380433711296</v>
      </c>
      <c r="J224" s="493" t="s">
        <v>530</v>
      </c>
      <c r="K224" s="493" t="s">
        <v>530</v>
      </c>
    </row>
    <row r="225" spans="1:11" s="266" customFormat="1" ht="15" x14ac:dyDescent="0.25">
      <c r="A225" s="86">
        <f>Données!A225</f>
        <v>5764</v>
      </c>
      <c r="B225" s="405" t="str">
        <f>Données!B225</f>
        <v>Vallorbe</v>
      </c>
      <c r="C225" s="263">
        <f>Synthèse!G224</f>
        <v>1953848.5141976869</v>
      </c>
      <c r="D225" s="484" t="s">
        <v>530</v>
      </c>
      <c r="E225" s="485" t="s">
        <v>530</v>
      </c>
      <c r="F225" s="262">
        <f>Synthèse!F224</f>
        <v>-4008155.2149030995</v>
      </c>
      <c r="G225" s="489" t="s">
        <v>530</v>
      </c>
      <c r="H225" s="489" t="s">
        <v>530</v>
      </c>
      <c r="I225" s="263">
        <f>Synthèse!H224</f>
        <v>255621.61544677641</v>
      </c>
      <c r="J225" s="493" t="s">
        <v>530</v>
      </c>
      <c r="K225" s="493" t="s">
        <v>530</v>
      </c>
    </row>
    <row r="226" spans="1:11" s="266" customFormat="1" ht="15" x14ac:dyDescent="0.25">
      <c r="A226" s="86">
        <f>Données!A226</f>
        <v>5765</v>
      </c>
      <c r="B226" s="405" t="str">
        <f>Données!B226</f>
        <v>Vaulion</v>
      </c>
      <c r="C226" s="263">
        <f>Synthèse!G225</f>
        <v>180420.14872282406</v>
      </c>
      <c r="D226" s="484" t="s">
        <v>530</v>
      </c>
      <c r="E226" s="485" t="s">
        <v>530</v>
      </c>
      <c r="F226" s="262">
        <f>Synthèse!F225</f>
        <v>-346581.79823417251</v>
      </c>
      <c r="G226" s="489" t="s">
        <v>530</v>
      </c>
      <c r="H226" s="489" t="s">
        <v>530</v>
      </c>
      <c r="I226" s="263">
        <f>Synthèse!H225</f>
        <v>31543.809125553009</v>
      </c>
      <c r="J226" s="493" t="s">
        <v>530</v>
      </c>
      <c r="K226" s="493" t="s">
        <v>530</v>
      </c>
    </row>
    <row r="227" spans="1:11" s="266" customFormat="1" ht="15" x14ac:dyDescent="0.25">
      <c r="A227" s="86">
        <f>Données!A227</f>
        <v>5766</v>
      </c>
      <c r="B227" s="405" t="str">
        <f>Données!B227</f>
        <v>Vuiteboeuf</v>
      </c>
      <c r="C227" s="263">
        <f>Synthèse!G226</f>
        <v>249379.60653320947</v>
      </c>
      <c r="D227" s="484" t="s">
        <v>530</v>
      </c>
      <c r="E227" s="485" t="s">
        <v>530</v>
      </c>
      <c r="F227" s="262">
        <f>Synthèse!F226</f>
        <v>-124274.86855427141</v>
      </c>
      <c r="G227" s="489" t="s">
        <v>530</v>
      </c>
      <c r="H227" s="489" t="s">
        <v>530</v>
      </c>
      <c r="I227" s="263">
        <f>Synthèse!H226</f>
        <v>47906.566531586883</v>
      </c>
      <c r="J227" s="493" t="s">
        <v>530</v>
      </c>
      <c r="K227" s="493" t="s">
        <v>530</v>
      </c>
    </row>
    <row r="228" spans="1:11" s="266" customFormat="1" ht="15" x14ac:dyDescent="0.25">
      <c r="A228" s="86">
        <f>Données!A228</f>
        <v>5785</v>
      </c>
      <c r="B228" s="405" t="str">
        <f>Données!B228</f>
        <v>Corcelles-le-Jorat</v>
      </c>
      <c r="C228" s="263">
        <f>Synthèse!G227</f>
        <v>223058.96365355139</v>
      </c>
      <c r="D228" s="484" t="s">
        <v>530</v>
      </c>
      <c r="E228" s="485" t="s">
        <v>530</v>
      </c>
      <c r="F228" s="262">
        <f>Synthèse!F227</f>
        <v>-53708.909008317161</v>
      </c>
      <c r="G228" s="489" t="s">
        <v>530</v>
      </c>
      <c r="H228" s="489" t="s">
        <v>530</v>
      </c>
      <c r="I228" s="263">
        <f>Synthèse!H227</f>
        <v>45015.35147827625</v>
      </c>
      <c r="J228" s="493" t="s">
        <v>530</v>
      </c>
      <c r="K228" s="493" t="s">
        <v>530</v>
      </c>
    </row>
    <row r="229" spans="1:11" s="266" customFormat="1" ht="15" x14ac:dyDescent="0.25">
      <c r="A229" s="86">
        <f>Données!A229</f>
        <v>5790</v>
      </c>
      <c r="B229" s="405" t="str">
        <f>Données!B229</f>
        <v>Maracon</v>
      </c>
      <c r="C229" s="263">
        <f>Synthèse!G228</f>
        <v>225800.97967737494</v>
      </c>
      <c r="D229" s="484" t="s">
        <v>530</v>
      </c>
      <c r="E229" s="485" t="s">
        <v>530</v>
      </c>
      <c r="F229" s="262">
        <f>Synthèse!F228</f>
        <v>-131420.0432532627</v>
      </c>
      <c r="G229" s="489" t="s">
        <v>530</v>
      </c>
      <c r="H229" s="489" t="s">
        <v>530</v>
      </c>
      <c r="I229" s="263">
        <f>Synthèse!H228</f>
        <v>46229.007579699843</v>
      </c>
      <c r="J229" s="493" t="s">
        <v>530</v>
      </c>
      <c r="K229" s="493" t="s">
        <v>530</v>
      </c>
    </row>
    <row r="230" spans="1:11" s="266" customFormat="1" ht="15" x14ac:dyDescent="0.25">
      <c r="A230" s="86">
        <f>Données!A230</f>
        <v>5792</v>
      </c>
      <c r="B230" s="405" t="str">
        <f>Données!B230</f>
        <v>Montpreveyres</v>
      </c>
      <c r="C230" s="263">
        <f>Synthèse!G229</f>
        <v>343506.97182051413</v>
      </c>
      <c r="D230" s="484" t="s">
        <v>530</v>
      </c>
      <c r="E230" s="485" t="s">
        <v>530</v>
      </c>
      <c r="F230" s="262">
        <f>Synthèse!F229</f>
        <v>-106061.18370923621</v>
      </c>
      <c r="G230" s="489" t="s">
        <v>530</v>
      </c>
      <c r="H230" s="489" t="s">
        <v>530</v>
      </c>
      <c r="I230" s="263">
        <f>Synthèse!H229</f>
        <v>61766.945834036334</v>
      </c>
      <c r="J230" s="493" t="s">
        <v>530</v>
      </c>
      <c r="K230" s="493" t="s">
        <v>530</v>
      </c>
    </row>
    <row r="231" spans="1:11" s="266" customFormat="1" ht="15" x14ac:dyDescent="0.25">
      <c r="A231" s="86">
        <f>Données!A231</f>
        <v>5798</v>
      </c>
      <c r="B231" s="405" t="str">
        <f>Données!B231</f>
        <v>Ropraz</v>
      </c>
      <c r="C231" s="263">
        <f>Synthèse!G230</f>
        <v>290480.97804450162</v>
      </c>
      <c r="D231" s="484" t="s">
        <v>530</v>
      </c>
      <c r="E231" s="485" t="s">
        <v>530</v>
      </c>
      <c r="F231" s="262">
        <f>Synthèse!F230</f>
        <v>19963.865466569318</v>
      </c>
      <c r="G231" s="489" t="s">
        <v>530</v>
      </c>
      <c r="H231" s="489" t="s">
        <v>530</v>
      </c>
      <c r="I231" s="263">
        <f>Synthèse!H230</f>
        <v>53686.36869193161</v>
      </c>
      <c r="J231" s="493" t="s">
        <v>530</v>
      </c>
      <c r="K231" s="493" t="s">
        <v>530</v>
      </c>
    </row>
    <row r="232" spans="1:11" s="266" customFormat="1" ht="15" x14ac:dyDescent="0.25">
      <c r="A232" s="86">
        <f>Données!A232</f>
        <v>5799</v>
      </c>
      <c r="B232" s="405" t="str">
        <f>Données!B232</f>
        <v>Servion</v>
      </c>
      <c r="C232" s="263">
        <f>Synthèse!G231</f>
        <v>1160029.7915861816</v>
      </c>
      <c r="D232" s="484" t="s">
        <v>530</v>
      </c>
      <c r="E232" s="485" t="s">
        <v>530</v>
      </c>
      <c r="F232" s="262">
        <f>Synthèse!F231</f>
        <v>-39922.435181027977</v>
      </c>
      <c r="G232" s="489" t="s">
        <v>530</v>
      </c>
      <c r="H232" s="489" t="s">
        <v>530</v>
      </c>
      <c r="I232" s="263">
        <f>Synthèse!H231</f>
        <v>218735.56102816836</v>
      </c>
      <c r="J232" s="493" t="s">
        <v>530</v>
      </c>
      <c r="K232" s="493" t="s">
        <v>530</v>
      </c>
    </row>
    <row r="233" spans="1:11" s="266" customFormat="1" ht="15" x14ac:dyDescent="0.25">
      <c r="A233" s="86">
        <f>Données!A233</f>
        <v>5803</v>
      </c>
      <c r="B233" s="405" t="str">
        <f>Données!B233</f>
        <v>Vulliens</v>
      </c>
      <c r="C233" s="263">
        <f>Synthèse!G232</f>
        <v>282527.04103986936</v>
      </c>
      <c r="D233" s="484" t="s">
        <v>530</v>
      </c>
      <c r="E233" s="485" t="s">
        <v>530</v>
      </c>
      <c r="F233" s="262">
        <f>Synthèse!F232</f>
        <v>-75852.145151898207</v>
      </c>
      <c r="G233" s="489" t="s">
        <v>530</v>
      </c>
      <c r="H233" s="489" t="s">
        <v>530</v>
      </c>
      <c r="I233" s="263">
        <f>Synthèse!H232</f>
        <v>55326.131033583719</v>
      </c>
      <c r="J233" s="493" t="s">
        <v>530</v>
      </c>
      <c r="K233" s="493" t="s">
        <v>530</v>
      </c>
    </row>
    <row r="234" spans="1:11" s="266" customFormat="1" ht="15" x14ac:dyDescent="0.25">
      <c r="A234" s="86">
        <f>Données!A234</f>
        <v>5804</v>
      </c>
      <c r="B234" s="405" t="str">
        <f>Données!B234</f>
        <v>Jorat-Menthue</v>
      </c>
      <c r="C234" s="263">
        <f>Synthèse!G233</f>
        <v>680670.81006519753</v>
      </c>
      <c r="D234" s="484" t="s">
        <v>530</v>
      </c>
      <c r="E234" s="485" t="s">
        <v>530</v>
      </c>
      <c r="F234" s="262">
        <f>Synthèse!F233</f>
        <v>-570366.19169226696</v>
      </c>
      <c r="G234" s="489" t="s">
        <v>530</v>
      </c>
      <c r="H234" s="489" t="s">
        <v>530</v>
      </c>
      <c r="I234" s="263">
        <f>Synthèse!H233</f>
        <v>143239.57668701609</v>
      </c>
      <c r="J234" s="493" t="s">
        <v>530</v>
      </c>
      <c r="K234" s="493" t="s">
        <v>530</v>
      </c>
    </row>
    <row r="235" spans="1:11" s="266" customFormat="1" ht="15" x14ac:dyDescent="0.25">
      <c r="A235" s="86">
        <f>Données!A235</f>
        <v>5805</v>
      </c>
      <c r="B235" s="405" t="str">
        <f>Données!B235</f>
        <v>Oron</v>
      </c>
      <c r="C235" s="263">
        <f>Synthèse!G234</f>
        <v>2561862.7988433857</v>
      </c>
      <c r="D235" s="484" t="s">
        <v>530</v>
      </c>
      <c r="E235" s="485" t="s">
        <v>530</v>
      </c>
      <c r="F235" s="262">
        <f>Synthèse!F234</f>
        <v>-2393155.5008758963</v>
      </c>
      <c r="G235" s="489" t="s">
        <v>530</v>
      </c>
      <c r="H235" s="489" t="s">
        <v>530</v>
      </c>
      <c r="I235" s="263">
        <f>Synthèse!H234</f>
        <v>532902.31668594922</v>
      </c>
      <c r="J235" s="493" t="s">
        <v>530</v>
      </c>
      <c r="K235" s="493" t="s">
        <v>530</v>
      </c>
    </row>
    <row r="236" spans="1:11" s="266" customFormat="1" ht="15" x14ac:dyDescent="0.25">
      <c r="A236" s="86">
        <f>Données!A236</f>
        <v>5806</v>
      </c>
      <c r="B236" s="405" t="str">
        <f>Données!B236</f>
        <v>Jorat-Mézières</v>
      </c>
      <c r="C236" s="263">
        <f>Synthèse!G235</f>
        <v>1791074.6635852938</v>
      </c>
      <c r="D236" s="484" t="s">
        <v>530</v>
      </c>
      <c r="E236" s="485" t="s">
        <v>530</v>
      </c>
      <c r="F236" s="262">
        <f>Synthèse!F235</f>
        <v>-328121.44505386148</v>
      </c>
      <c r="G236" s="489" t="s">
        <v>530</v>
      </c>
      <c r="H236" s="489" t="s">
        <v>530</v>
      </c>
      <c r="I236" s="263">
        <f>Synthèse!H235</f>
        <v>313999.88119048486</v>
      </c>
      <c r="J236" s="493" t="s">
        <v>530</v>
      </c>
      <c r="K236" s="493" t="s">
        <v>530</v>
      </c>
    </row>
    <row r="237" spans="1:11" s="266" customFormat="1" ht="15" x14ac:dyDescent="0.25">
      <c r="A237" s="86">
        <f>Données!A237</f>
        <v>5812</v>
      </c>
      <c r="B237" s="405" t="str">
        <f>Données!B237</f>
        <v>Champtauroz</v>
      </c>
      <c r="C237" s="263">
        <f>Synthèse!G236</f>
        <v>49656.72745539801</v>
      </c>
      <c r="D237" s="484" t="s">
        <v>530</v>
      </c>
      <c r="E237" s="485" t="s">
        <v>530</v>
      </c>
      <c r="F237" s="262">
        <f>Synthèse!F236</f>
        <v>-90009.807400711768</v>
      </c>
      <c r="G237" s="489" t="s">
        <v>530</v>
      </c>
      <c r="H237" s="489" t="s">
        <v>530</v>
      </c>
      <c r="I237" s="263">
        <f>Synthèse!H236</f>
        <v>10299.88144622869</v>
      </c>
      <c r="J237" s="493" t="s">
        <v>530</v>
      </c>
      <c r="K237" s="493" t="s">
        <v>530</v>
      </c>
    </row>
    <row r="238" spans="1:11" s="266" customFormat="1" ht="15" x14ac:dyDescent="0.25">
      <c r="A238" s="86">
        <f>Données!A238</f>
        <v>5813</v>
      </c>
      <c r="B238" s="405" t="str">
        <f>Données!B238</f>
        <v>Chevroux</v>
      </c>
      <c r="C238" s="263">
        <f>Synthèse!G237</f>
        <v>270111.51636788249</v>
      </c>
      <c r="D238" s="484" t="s">
        <v>530</v>
      </c>
      <c r="E238" s="485" t="s">
        <v>530</v>
      </c>
      <c r="F238" s="262">
        <f>Synthèse!F237</f>
        <v>-283555.77906541486</v>
      </c>
      <c r="G238" s="489" t="s">
        <v>530</v>
      </c>
      <c r="H238" s="489" t="s">
        <v>530</v>
      </c>
      <c r="I238" s="263">
        <f>Synthèse!H237</f>
        <v>46401.431960590286</v>
      </c>
      <c r="J238" s="493" t="s">
        <v>530</v>
      </c>
      <c r="K238" s="493" t="s">
        <v>530</v>
      </c>
    </row>
    <row r="239" spans="1:11" s="266" customFormat="1" ht="15" x14ac:dyDescent="0.25">
      <c r="A239" s="86">
        <f>Données!A239</f>
        <v>5816</v>
      </c>
      <c r="B239" s="405" t="str">
        <f>Données!B239</f>
        <v>Corcelles-près-Payerne</v>
      </c>
      <c r="C239" s="263">
        <f>Synthèse!G238</f>
        <v>969008.35063929367</v>
      </c>
      <c r="D239" s="484" t="s">
        <v>530</v>
      </c>
      <c r="E239" s="485" t="s">
        <v>530</v>
      </c>
      <c r="F239" s="262">
        <f>Synthèse!F238</f>
        <v>-1078088.6747237588</v>
      </c>
      <c r="G239" s="489" t="s">
        <v>530</v>
      </c>
      <c r="H239" s="489" t="s">
        <v>530</v>
      </c>
      <c r="I239" s="263">
        <f>Synthèse!H238</f>
        <v>199628.19891884999</v>
      </c>
      <c r="J239" s="493" t="s">
        <v>530</v>
      </c>
      <c r="K239" s="493" t="s">
        <v>530</v>
      </c>
    </row>
    <row r="240" spans="1:11" s="266" customFormat="1" ht="15" x14ac:dyDescent="0.25">
      <c r="A240" s="86">
        <f>Données!A240</f>
        <v>5817</v>
      </c>
      <c r="B240" s="405" t="str">
        <f>Données!B240</f>
        <v>Grandcour</v>
      </c>
      <c r="C240" s="263">
        <f>Synthèse!G239</f>
        <v>335493.04363135609</v>
      </c>
      <c r="D240" s="484" t="s">
        <v>530</v>
      </c>
      <c r="E240" s="485" t="s">
        <v>530</v>
      </c>
      <c r="F240" s="262">
        <f>Synthèse!F239</f>
        <v>-300440.26871419483</v>
      </c>
      <c r="G240" s="489" t="s">
        <v>530</v>
      </c>
      <c r="H240" s="489" t="s">
        <v>530</v>
      </c>
      <c r="I240" s="263">
        <f>Synthèse!H239</f>
        <v>75604.130687555356</v>
      </c>
      <c r="J240" s="493" t="s">
        <v>530</v>
      </c>
      <c r="K240" s="493" t="s">
        <v>530</v>
      </c>
    </row>
    <row r="241" spans="1:11" s="266" customFormat="1" ht="15" x14ac:dyDescent="0.25">
      <c r="A241" s="86">
        <f>Données!A241</f>
        <v>5819</v>
      </c>
      <c r="B241" s="405" t="str">
        <f>Données!B241</f>
        <v>Henniez</v>
      </c>
      <c r="C241" s="263">
        <f>Synthèse!G240</f>
        <v>161427.47405314824</v>
      </c>
      <c r="D241" s="484" t="s">
        <v>530</v>
      </c>
      <c r="E241" s="485" t="s">
        <v>530</v>
      </c>
      <c r="F241" s="262">
        <f>Synthèse!F240</f>
        <v>-169288.76716851167</v>
      </c>
      <c r="G241" s="489" t="s">
        <v>530</v>
      </c>
      <c r="H241" s="489" t="s">
        <v>530</v>
      </c>
      <c r="I241" s="263">
        <f>Synthèse!H240</f>
        <v>29853.878733354883</v>
      </c>
      <c r="J241" s="493" t="s">
        <v>530</v>
      </c>
      <c r="K241" s="493" t="s">
        <v>530</v>
      </c>
    </row>
    <row r="242" spans="1:11" s="266" customFormat="1" ht="15" x14ac:dyDescent="0.25">
      <c r="A242" s="86">
        <f>Données!A242</f>
        <v>5821</v>
      </c>
      <c r="B242" s="405" t="str">
        <f>Données!B242</f>
        <v>Missy</v>
      </c>
      <c r="C242" s="263">
        <f>Synthèse!G241</f>
        <v>114430.68157897716</v>
      </c>
      <c r="D242" s="484" t="s">
        <v>530</v>
      </c>
      <c r="E242" s="485" t="s">
        <v>530</v>
      </c>
      <c r="F242" s="262">
        <f>Synthèse!F241</f>
        <v>-115903.27929838846</v>
      </c>
      <c r="G242" s="489" t="s">
        <v>530</v>
      </c>
      <c r="H242" s="489" t="s">
        <v>530</v>
      </c>
      <c r="I242" s="263">
        <f>Synthèse!H241</f>
        <v>24384.440852777243</v>
      </c>
      <c r="J242" s="493" t="s">
        <v>530</v>
      </c>
      <c r="K242" s="493" t="s">
        <v>530</v>
      </c>
    </row>
    <row r="243" spans="1:11" s="266" customFormat="1" ht="15" x14ac:dyDescent="0.25">
      <c r="A243" s="86">
        <f>Données!A243</f>
        <v>5822</v>
      </c>
      <c r="B243" s="405" t="str">
        <f>Données!B243</f>
        <v>Payerne</v>
      </c>
      <c r="C243" s="263">
        <f>Synthèse!G242</f>
        <v>4186783.8893533442</v>
      </c>
      <c r="D243" s="484" t="s">
        <v>530</v>
      </c>
      <c r="E243" s="485" t="s">
        <v>530</v>
      </c>
      <c r="F243" s="262">
        <f>Synthèse!F242</f>
        <v>-7727068.789490331</v>
      </c>
      <c r="G243" s="489" t="s">
        <v>530</v>
      </c>
      <c r="H243" s="489" t="s">
        <v>530</v>
      </c>
      <c r="I243" s="263">
        <f>Synthèse!H242</f>
        <v>726210.86823412497</v>
      </c>
      <c r="J243" s="493" t="s">
        <v>530</v>
      </c>
      <c r="K243" s="493" t="s">
        <v>530</v>
      </c>
    </row>
    <row r="244" spans="1:11" s="266" customFormat="1" ht="15" x14ac:dyDescent="0.25">
      <c r="A244" s="86">
        <f>Données!A244</f>
        <v>5827</v>
      </c>
      <c r="B244" s="405" t="str">
        <f>Données!B244</f>
        <v>Trey</v>
      </c>
      <c r="C244" s="263">
        <f>Synthèse!G243</f>
        <v>156054.63922201883</v>
      </c>
      <c r="D244" s="484" t="s">
        <v>530</v>
      </c>
      <c r="E244" s="485" t="s">
        <v>530</v>
      </c>
      <c r="F244" s="262">
        <f>Synthèse!F243</f>
        <v>-111816.51295670352</v>
      </c>
      <c r="G244" s="489" t="s">
        <v>530</v>
      </c>
      <c r="H244" s="489" t="s">
        <v>530</v>
      </c>
      <c r="I244" s="263">
        <f>Synthèse!H243</f>
        <v>23838.606248106185</v>
      </c>
      <c r="J244" s="493" t="s">
        <v>530</v>
      </c>
      <c r="K244" s="493" t="s">
        <v>530</v>
      </c>
    </row>
    <row r="245" spans="1:11" s="266" customFormat="1" ht="15" x14ac:dyDescent="0.25">
      <c r="A245" s="86">
        <f>Données!A245</f>
        <v>5828</v>
      </c>
      <c r="B245" s="405" t="str">
        <f>Données!B245</f>
        <v>Treytorrens (Payerne)</v>
      </c>
      <c r="C245" s="263">
        <f>Synthèse!G244</f>
        <v>43647.598914216585</v>
      </c>
      <c r="D245" s="484" t="s">
        <v>530</v>
      </c>
      <c r="E245" s="485" t="s">
        <v>530</v>
      </c>
      <c r="F245" s="262">
        <f>Synthèse!F244</f>
        <v>-45403.471216835351</v>
      </c>
      <c r="G245" s="489" t="s">
        <v>530</v>
      </c>
      <c r="H245" s="489" t="s">
        <v>530</v>
      </c>
      <c r="I245" s="263">
        <f>Synthèse!H244</f>
        <v>8950.8561851211616</v>
      </c>
      <c r="J245" s="493" t="s">
        <v>530</v>
      </c>
      <c r="K245" s="493" t="s">
        <v>530</v>
      </c>
    </row>
    <row r="246" spans="1:11" s="266" customFormat="1" ht="15" x14ac:dyDescent="0.25">
      <c r="A246" s="86">
        <f>Données!A246</f>
        <v>5830</v>
      </c>
      <c r="B246" s="405" t="str">
        <f>Données!B246</f>
        <v>Villarzel</v>
      </c>
      <c r="C246" s="263">
        <f>Synthèse!G245</f>
        <v>222266.0596393611</v>
      </c>
      <c r="D246" s="484" t="s">
        <v>530</v>
      </c>
      <c r="E246" s="485" t="s">
        <v>530</v>
      </c>
      <c r="F246" s="262">
        <f>Synthèse!F245</f>
        <v>-215934.7628770828</v>
      </c>
      <c r="G246" s="489" t="s">
        <v>530</v>
      </c>
      <c r="H246" s="489" t="s">
        <v>530</v>
      </c>
      <c r="I246" s="263">
        <f>Synthèse!H245</f>
        <v>38384.474067718256</v>
      </c>
      <c r="J246" s="493" t="s">
        <v>530</v>
      </c>
      <c r="K246" s="493" t="s">
        <v>530</v>
      </c>
    </row>
    <row r="247" spans="1:11" s="266" customFormat="1" ht="15" x14ac:dyDescent="0.25">
      <c r="A247" s="86">
        <f>Données!A247</f>
        <v>5831</v>
      </c>
      <c r="B247" s="405" t="str">
        <f>Données!B247</f>
        <v>Valbroye</v>
      </c>
      <c r="C247" s="263">
        <f>Synthèse!G246</f>
        <v>1461524.4661836002</v>
      </c>
      <c r="D247" s="484" t="s">
        <v>530</v>
      </c>
      <c r="E247" s="485" t="s">
        <v>530</v>
      </c>
      <c r="F247" s="262">
        <f>Synthèse!F246</f>
        <v>-2018761.8243944873</v>
      </c>
      <c r="G247" s="489" t="s">
        <v>530</v>
      </c>
      <c r="H247" s="489" t="s">
        <v>530</v>
      </c>
      <c r="I247" s="263">
        <f>Synthèse!H246</f>
        <v>246605.27875409415</v>
      </c>
      <c r="J247" s="493" t="s">
        <v>530</v>
      </c>
      <c r="K247" s="493" t="s">
        <v>530</v>
      </c>
    </row>
    <row r="248" spans="1:11" s="266" customFormat="1" ht="15" x14ac:dyDescent="0.25">
      <c r="A248" s="86">
        <f>Données!A248</f>
        <v>5841</v>
      </c>
      <c r="B248" s="405" t="str">
        <f>Données!B248</f>
        <v>Château-d'Oex</v>
      </c>
      <c r="C248" s="263">
        <f>Synthèse!G247</f>
        <v>2301853.3438852439</v>
      </c>
      <c r="D248" s="484" t="s">
        <v>530</v>
      </c>
      <c r="E248" s="485" t="s">
        <v>530</v>
      </c>
      <c r="F248" s="262">
        <f>Synthèse!F247</f>
        <v>-2974464.1222294006</v>
      </c>
      <c r="G248" s="489" t="s">
        <v>530</v>
      </c>
      <c r="H248" s="489" t="s">
        <v>530</v>
      </c>
      <c r="I248" s="263">
        <f>Synthèse!H247</f>
        <v>331855.35206262412</v>
      </c>
      <c r="J248" s="493" t="s">
        <v>530</v>
      </c>
      <c r="K248" s="493" t="s">
        <v>530</v>
      </c>
    </row>
    <row r="249" spans="1:11" s="266" customFormat="1" ht="15" x14ac:dyDescent="0.25">
      <c r="A249" s="86">
        <f>Données!A249</f>
        <v>5842</v>
      </c>
      <c r="B249" s="405" t="str">
        <f>Données!B249</f>
        <v>Rossinière</v>
      </c>
      <c r="C249" s="263">
        <f>Synthèse!G248</f>
        <v>233289.39243676543</v>
      </c>
      <c r="D249" s="484" t="s">
        <v>530</v>
      </c>
      <c r="E249" s="485" t="s">
        <v>530</v>
      </c>
      <c r="F249" s="262">
        <f>Synthèse!F248</f>
        <v>-396554.21806992788</v>
      </c>
      <c r="G249" s="489" t="s">
        <v>530</v>
      </c>
      <c r="H249" s="489" t="s">
        <v>530</v>
      </c>
      <c r="I249" s="263">
        <f>Synthèse!H248</f>
        <v>45810.356764366385</v>
      </c>
      <c r="J249" s="493" t="s">
        <v>530</v>
      </c>
      <c r="K249" s="493" t="s">
        <v>530</v>
      </c>
    </row>
    <row r="250" spans="1:11" s="266" customFormat="1" ht="15" x14ac:dyDescent="0.25">
      <c r="A250" s="86">
        <f>Données!A250</f>
        <v>5843</v>
      </c>
      <c r="B250" s="405" t="str">
        <f>Données!B250</f>
        <v>Rougemont</v>
      </c>
      <c r="C250" s="263">
        <f>Synthèse!G249</f>
        <v>3937660.1961858952</v>
      </c>
      <c r="D250" s="484" t="s">
        <v>530</v>
      </c>
      <c r="E250" s="485" t="s">
        <v>530</v>
      </c>
      <c r="F250" s="262">
        <f>Synthèse!F249</f>
        <v>1760351.3723426193</v>
      </c>
      <c r="G250" s="489" t="s">
        <v>530</v>
      </c>
      <c r="H250" s="489" t="s">
        <v>530</v>
      </c>
      <c r="I250" s="263">
        <f>Synthèse!H249</f>
        <v>195236.06393539478</v>
      </c>
      <c r="J250" s="493" t="s">
        <v>530</v>
      </c>
      <c r="K250" s="493" t="s">
        <v>530</v>
      </c>
    </row>
    <row r="251" spans="1:11" s="266" customFormat="1" ht="15" x14ac:dyDescent="0.25">
      <c r="A251" s="86">
        <f>Données!A251</f>
        <v>5851</v>
      </c>
      <c r="B251" s="405" t="str">
        <f>Données!B251</f>
        <v>Allaman</v>
      </c>
      <c r="C251" s="263">
        <f>Synthèse!G250</f>
        <v>421441.63681910693</v>
      </c>
      <c r="D251" s="484" t="s">
        <v>530</v>
      </c>
      <c r="E251" s="485" t="s">
        <v>530</v>
      </c>
      <c r="F251" s="262">
        <f>Synthèse!F250</f>
        <v>406496.08350971102</v>
      </c>
      <c r="G251" s="489" t="s">
        <v>530</v>
      </c>
      <c r="H251" s="489" t="s">
        <v>530</v>
      </c>
      <c r="I251" s="263">
        <f>Synthèse!H250</f>
        <v>68520.624761903571</v>
      </c>
      <c r="J251" s="493" t="s">
        <v>530</v>
      </c>
      <c r="K251" s="493" t="s">
        <v>530</v>
      </c>
    </row>
    <row r="252" spans="1:11" s="266" customFormat="1" ht="15" x14ac:dyDescent="0.25">
      <c r="A252" s="86">
        <f>Données!A252</f>
        <v>5852</v>
      </c>
      <c r="B252" s="405" t="str">
        <f>Données!B252</f>
        <v>Bursinel</v>
      </c>
      <c r="C252" s="263">
        <f>Synthèse!G251</f>
        <v>764833.56828180421</v>
      </c>
      <c r="D252" s="484" t="s">
        <v>530</v>
      </c>
      <c r="E252" s="485" t="s">
        <v>530</v>
      </c>
      <c r="F252" s="262">
        <f>Synthèse!F251</f>
        <v>601271.84929187922</v>
      </c>
      <c r="G252" s="489" t="s">
        <v>530</v>
      </c>
      <c r="H252" s="489" t="s">
        <v>530</v>
      </c>
      <c r="I252" s="263">
        <f>Synthèse!H251</f>
        <v>88007.139023368116</v>
      </c>
      <c r="J252" s="493" t="s">
        <v>530</v>
      </c>
      <c r="K252" s="493" t="s">
        <v>530</v>
      </c>
    </row>
    <row r="253" spans="1:11" s="266" customFormat="1" ht="15" x14ac:dyDescent="0.25">
      <c r="A253" s="86">
        <f>Données!A253</f>
        <v>5853</v>
      </c>
      <c r="B253" s="405" t="str">
        <f>Données!B253</f>
        <v>Bursins</v>
      </c>
      <c r="C253" s="263">
        <f>Synthèse!G252</f>
        <v>956323.74019361963</v>
      </c>
      <c r="D253" s="484" t="s">
        <v>530</v>
      </c>
      <c r="E253" s="485" t="s">
        <v>530</v>
      </c>
      <c r="F253" s="262">
        <f>Synthèse!F252</f>
        <v>750692.87711079326</v>
      </c>
      <c r="G253" s="489" t="s">
        <v>530</v>
      </c>
      <c r="H253" s="489" t="s">
        <v>530</v>
      </c>
      <c r="I253" s="263">
        <f>Synthèse!H252</f>
        <v>122899.99169004557</v>
      </c>
      <c r="J253" s="493" t="s">
        <v>530</v>
      </c>
      <c r="K253" s="493" t="s">
        <v>530</v>
      </c>
    </row>
    <row r="254" spans="1:11" s="266" customFormat="1" ht="15" x14ac:dyDescent="0.25">
      <c r="A254" s="86">
        <f>Données!A254</f>
        <v>5854</v>
      </c>
      <c r="B254" s="405" t="str">
        <f>Données!B254</f>
        <v>Burtigny</v>
      </c>
      <c r="C254" s="263">
        <f>Synthèse!G253</f>
        <v>229051.80659945004</v>
      </c>
      <c r="D254" s="484" t="s">
        <v>530</v>
      </c>
      <c r="E254" s="485" t="s">
        <v>530</v>
      </c>
      <c r="F254" s="262">
        <f>Synthèse!F253</f>
        <v>40237.190121784108</v>
      </c>
      <c r="G254" s="489" t="s">
        <v>530</v>
      </c>
      <c r="H254" s="489" t="s">
        <v>530</v>
      </c>
      <c r="I254" s="263">
        <f>Synthèse!H253</f>
        <v>47246.677012282737</v>
      </c>
      <c r="J254" s="493" t="s">
        <v>530</v>
      </c>
      <c r="K254" s="493" t="s">
        <v>530</v>
      </c>
    </row>
    <row r="255" spans="1:11" s="266" customFormat="1" ht="15" x14ac:dyDescent="0.25">
      <c r="A255" s="86">
        <f>Données!A255</f>
        <v>5855</v>
      </c>
      <c r="B255" s="405" t="str">
        <f>Données!B255</f>
        <v>Dully</v>
      </c>
      <c r="C255" s="263">
        <f>Synthèse!G254</f>
        <v>2833305.9292807733</v>
      </c>
      <c r="D255" s="484" t="s">
        <v>530</v>
      </c>
      <c r="E255" s="485" t="s">
        <v>530</v>
      </c>
      <c r="F255" s="262">
        <f>Synthèse!F254</f>
        <v>1724129.2438680988</v>
      </c>
      <c r="G255" s="489" t="s">
        <v>530</v>
      </c>
      <c r="H255" s="489" t="s">
        <v>530</v>
      </c>
      <c r="I255" s="263">
        <f>Synthèse!H254</f>
        <v>170893.69114594522</v>
      </c>
      <c r="J255" s="493" t="s">
        <v>530</v>
      </c>
      <c r="K255" s="493" t="s">
        <v>530</v>
      </c>
    </row>
    <row r="256" spans="1:11" s="266" customFormat="1" ht="15" x14ac:dyDescent="0.25">
      <c r="A256" s="86">
        <f>Données!A256</f>
        <v>5856</v>
      </c>
      <c r="B256" s="405" t="str">
        <f>Données!B256</f>
        <v>Essertines-sur-Rolle</v>
      </c>
      <c r="C256" s="263">
        <f>Synthèse!G255</f>
        <v>848229.23121430178</v>
      </c>
      <c r="D256" s="484" t="s">
        <v>530</v>
      </c>
      <c r="E256" s="485" t="s">
        <v>530</v>
      </c>
      <c r="F256" s="262">
        <f>Synthèse!F255</f>
        <v>713678.16468356922</v>
      </c>
      <c r="G256" s="489" t="s">
        <v>530</v>
      </c>
      <c r="H256" s="489" t="s">
        <v>530</v>
      </c>
      <c r="I256" s="263">
        <f>Synthèse!H255</f>
        <v>118159.41942579669</v>
      </c>
      <c r="J256" s="493" t="s">
        <v>530</v>
      </c>
      <c r="K256" s="493" t="s">
        <v>530</v>
      </c>
    </row>
    <row r="257" spans="1:11" s="266" customFormat="1" ht="15" x14ac:dyDescent="0.25">
      <c r="A257" s="86">
        <f>Données!A257</f>
        <v>5857</v>
      </c>
      <c r="B257" s="405" t="str">
        <f>Données!B257</f>
        <v>Gilly</v>
      </c>
      <c r="C257" s="263">
        <f>Synthèse!G256</f>
        <v>1670941.1488937777</v>
      </c>
      <c r="D257" s="484" t="s">
        <v>530</v>
      </c>
      <c r="E257" s="485" t="s">
        <v>530</v>
      </c>
      <c r="F257" s="262">
        <f>Synthèse!F256</f>
        <v>1425888.8716300852</v>
      </c>
      <c r="G257" s="489" t="s">
        <v>530</v>
      </c>
      <c r="H257" s="489" t="s">
        <v>530</v>
      </c>
      <c r="I257" s="263">
        <f>Synthèse!H256</f>
        <v>236119.14048949513</v>
      </c>
      <c r="J257" s="493" t="s">
        <v>530</v>
      </c>
      <c r="K257" s="493" t="s">
        <v>530</v>
      </c>
    </row>
    <row r="258" spans="1:11" s="266" customFormat="1" ht="15" x14ac:dyDescent="0.25">
      <c r="A258" s="86">
        <f>Données!A258</f>
        <v>5858</v>
      </c>
      <c r="B258" s="405" t="str">
        <f>Données!B258</f>
        <v>Luins</v>
      </c>
      <c r="C258" s="263">
        <f>Synthèse!G257</f>
        <v>645899.4336912951</v>
      </c>
      <c r="D258" s="484" t="s">
        <v>530</v>
      </c>
      <c r="E258" s="485" t="s">
        <v>530</v>
      </c>
      <c r="F258" s="262">
        <f>Synthèse!F257</f>
        <v>656150.814332054</v>
      </c>
      <c r="G258" s="489" t="s">
        <v>530</v>
      </c>
      <c r="H258" s="489" t="s">
        <v>530</v>
      </c>
      <c r="I258" s="263">
        <f>Synthèse!H257</f>
        <v>102612.43626358578</v>
      </c>
      <c r="J258" s="493" t="s">
        <v>530</v>
      </c>
      <c r="K258" s="493" t="s">
        <v>530</v>
      </c>
    </row>
    <row r="259" spans="1:11" s="266" customFormat="1" ht="15" x14ac:dyDescent="0.25">
      <c r="A259" s="86">
        <f>Données!A259</f>
        <v>5859</v>
      </c>
      <c r="B259" s="405" t="str">
        <f>Données!B259</f>
        <v>Mont-sur-Rolle</v>
      </c>
      <c r="C259" s="263">
        <f>Synthèse!G258</f>
        <v>3312026.0109268888</v>
      </c>
      <c r="D259" s="484" t="s">
        <v>530</v>
      </c>
      <c r="E259" s="485" t="s">
        <v>530</v>
      </c>
      <c r="F259" s="262">
        <f>Synthèse!F258</f>
        <v>2344663.5181369772</v>
      </c>
      <c r="G259" s="489" t="s">
        <v>530</v>
      </c>
      <c r="H259" s="489" t="s">
        <v>530</v>
      </c>
      <c r="I259" s="263">
        <f>Synthèse!H258</f>
        <v>439498.08960375242</v>
      </c>
      <c r="J259" s="493" t="s">
        <v>530</v>
      </c>
      <c r="K259" s="493" t="s">
        <v>530</v>
      </c>
    </row>
    <row r="260" spans="1:11" s="266" customFormat="1" ht="15" x14ac:dyDescent="0.25">
      <c r="A260" s="86">
        <f>Données!A260</f>
        <v>5860</v>
      </c>
      <c r="B260" s="405" t="str">
        <f>Données!B260</f>
        <v>Perroy</v>
      </c>
      <c r="C260" s="263">
        <f>Synthèse!G259</f>
        <v>3001520.867550618</v>
      </c>
      <c r="D260" s="484" t="s">
        <v>530</v>
      </c>
      <c r="E260" s="485" t="s">
        <v>530</v>
      </c>
      <c r="F260" s="262">
        <f>Synthèse!F259</f>
        <v>2080357.0209759763</v>
      </c>
      <c r="G260" s="489" t="s">
        <v>530</v>
      </c>
      <c r="H260" s="489" t="s">
        <v>530</v>
      </c>
      <c r="I260" s="263">
        <f>Synthèse!H259</f>
        <v>286194.28202683514</v>
      </c>
      <c r="J260" s="493" t="s">
        <v>530</v>
      </c>
      <c r="K260" s="493" t="s">
        <v>530</v>
      </c>
    </row>
    <row r="261" spans="1:11" s="266" customFormat="1" ht="15" x14ac:dyDescent="0.25">
      <c r="A261" s="86">
        <f>Données!A261</f>
        <v>5861</v>
      </c>
      <c r="B261" s="405" t="str">
        <f>Données!B261</f>
        <v>Rolle</v>
      </c>
      <c r="C261" s="263">
        <f>Synthèse!G260</f>
        <v>26180814.215301841</v>
      </c>
      <c r="D261" s="484" t="s">
        <v>530</v>
      </c>
      <c r="E261" s="485" t="s">
        <v>530</v>
      </c>
      <c r="F261" s="262">
        <f>Synthèse!F260</f>
        <v>14138803.798109893</v>
      </c>
      <c r="G261" s="489" t="s">
        <v>530</v>
      </c>
      <c r="H261" s="489" t="s">
        <v>530</v>
      </c>
      <c r="I261" s="263">
        <f>Synthèse!H260</f>
        <v>1625948.9406142095</v>
      </c>
      <c r="J261" s="493" t="s">
        <v>530</v>
      </c>
      <c r="K261" s="493" t="s">
        <v>530</v>
      </c>
    </row>
    <row r="262" spans="1:11" s="266" customFormat="1" ht="15" x14ac:dyDescent="0.25">
      <c r="A262" s="86">
        <f>Données!A262</f>
        <v>5862</v>
      </c>
      <c r="B262" s="405" t="str">
        <f>Données!B262</f>
        <v>Tartegnin</v>
      </c>
      <c r="C262" s="263">
        <f>Synthèse!G261</f>
        <v>118224.47277195574</v>
      </c>
      <c r="D262" s="484" t="s">
        <v>530</v>
      </c>
      <c r="E262" s="485" t="s">
        <v>530</v>
      </c>
      <c r="F262" s="262">
        <f>Synthèse!F261</f>
        <v>29753.464069259629</v>
      </c>
      <c r="G262" s="489" t="s">
        <v>530</v>
      </c>
      <c r="H262" s="489" t="s">
        <v>530</v>
      </c>
      <c r="I262" s="263">
        <f>Synthèse!H261</f>
        <v>24180.835346454493</v>
      </c>
      <c r="J262" s="493" t="s">
        <v>530</v>
      </c>
      <c r="K262" s="493" t="s">
        <v>530</v>
      </c>
    </row>
    <row r="263" spans="1:11" s="266" customFormat="1" ht="15" x14ac:dyDescent="0.25">
      <c r="A263" s="86">
        <f>Données!A263</f>
        <v>5863</v>
      </c>
      <c r="B263" s="405" t="str">
        <f>Données!B263</f>
        <v>Vinzel</v>
      </c>
      <c r="C263" s="263">
        <f>Synthèse!G262</f>
        <v>428036.87843637058</v>
      </c>
      <c r="D263" s="484" t="s">
        <v>530</v>
      </c>
      <c r="E263" s="485" t="s">
        <v>530</v>
      </c>
      <c r="F263" s="262">
        <f>Synthèse!F262</f>
        <v>365384.14149827173</v>
      </c>
      <c r="G263" s="489" t="s">
        <v>530</v>
      </c>
      <c r="H263" s="489" t="s">
        <v>530</v>
      </c>
      <c r="I263" s="263">
        <f>Synthèse!H262</f>
        <v>58897.957165640481</v>
      </c>
      <c r="J263" s="493" t="s">
        <v>530</v>
      </c>
      <c r="K263" s="493" t="s">
        <v>530</v>
      </c>
    </row>
    <row r="264" spans="1:11" s="266" customFormat="1" ht="15" x14ac:dyDescent="0.25">
      <c r="A264" s="86">
        <f>Données!A264</f>
        <v>5871</v>
      </c>
      <c r="B264" s="405" t="str">
        <f>Données!B264</f>
        <v>L'Abbaye</v>
      </c>
      <c r="C264" s="263">
        <f>Synthèse!G263</f>
        <v>1147874.983284181</v>
      </c>
      <c r="D264" s="484" t="s">
        <v>530</v>
      </c>
      <c r="E264" s="485" t="s">
        <v>530</v>
      </c>
      <c r="F264" s="262">
        <f>Synthèse!F263</f>
        <v>-229315.35488185822</v>
      </c>
      <c r="G264" s="489" t="s">
        <v>530</v>
      </c>
      <c r="H264" s="489" t="s">
        <v>530</v>
      </c>
      <c r="I264" s="263">
        <f>Synthèse!H263</f>
        <v>160989.13624952454</v>
      </c>
      <c r="J264" s="493" t="s">
        <v>530</v>
      </c>
      <c r="K264" s="493" t="s">
        <v>530</v>
      </c>
    </row>
    <row r="265" spans="1:11" s="266" customFormat="1" ht="15" x14ac:dyDescent="0.25">
      <c r="A265" s="86">
        <f>Données!A265</f>
        <v>5872</v>
      </c>
      <c r="B265" s="405" t="str">
        <f>Données!B265</f>
        <v>Le Chenit</v>
      </c>
      <c r="C265" s="263">
        <f>Synthèse!G264</f>
        <v>5389877.3161661765</v>
      </c>
      <c r="D265" s="484" t="s">
        <v>530</v>
      </c>
      <c r="E265" s="485" t="s">
        <v>530</v>
      </c>
      <c r="F265" s="262">
        <f>Synthèse!F264</f>
        <v>97008.648478407878</v>
      </c>
      <c r="G265" s="489" t="s">
        <v>530</v>
      </c>
      <c r="H265" s="489" t="s">
        <v>530</v>
      </c>
      <c r="I265" s="263">
        <f>Synthèse!H264</f>
        <v>616800.53128233063</v>
      </c>
      <c r="J265" s="493" t="s">
        <v>530</v>
      </c>
      <c r="K265" s="493" t="s">
        <v>530</v>
      </c>
    </row>
    <row r="266" spans="1:11" s="266" customFormat="1" ht="15" x14ac:dyDescent="0.25">
      <c r="A266" s="86">
        <f>Données!A266</f>
        <v>5873</v>
      </c>
      <c r="B266" s="405" t="str">
        <f>Données!B266</f>
        <v>Le Lieu</v>
      </c>
      <c r="C266" s="263">
        <f>Synthèse!G265</f>
        <v>772414.46003883705</v>
      </c>
      <c r="D266" s="484" t="s">
        <v>530</v>
      </c>
      <c r="E266" s="485" t="s">
        <v>530</v>
      </c>
      <c r="F266" s="262">
        <f>Synthèse!F265</f>
        <v>-421301.19241071458</v>
      </c>
      <c r="G266" s="489" t="s">
        <v>530</v>
      </c>
      <c r="H266" s="489" t="s">
        <v>530</v>
      </c>
      <c r="I266" s="263">
        <f>Synthèse!H265</f>
        <v>97237.6443584238</v>
      </c>
      <c r="J266" s="493" t="s">
        <v>530</v>
      </c>
      <c r="K266" s="493" t="s">
        <v>530</v>
      </c>
    </row>
    <row r="267" spans="1:11" s="266" customFormat="1" ht="15" x14ac:dyDescent="0.25">
      <c r="A267" s="86">
        <f>Données!A267</f>
        <v>5882</v>
      </c>
      <c r="B267" s="405" t="str">
        <f>Données!B267</f>
        <v>Chardonne</v>
      </c>
      <c r="C267" s="263">
        <f>Synthèse!G266</f>
        <v>3710925.5519850962</v>
      </c>
      <c r="D267" s="484" t="s">
        <v>530</v>
      </c>
      <c r="E267" s="485" t="s">
        <v>530</v>
      </c>
      <c r="F267" s="262">
        <f>Synthèse!F266</f>
        <v>2395629.160006715</v>
      </c>
      <c r="G267" s="489" t="s">
        <v>530</v>
      </c>
      <c r="H267" s="489" t="s">
        <v>530</v>
      </c>
      <c r="I267" s="263">
        <f>Synthèse!H266</f>
        <v>229107.65449226188</v>
      </c>
      <c r="J267" s="493" t="s">
        <v>530</v>
      </c>
      <c r="K267" s="493" t="s">
        <v>530</v>
      </c>
    </row>
    <row r="268" spans="1:11" s="266" customFormat="1" ht="15" x14ac:dyDescent="0.25">
      <c r="A268" s="86">
        <f>Données!A268</f>
        <v>5883</v>
      </c>
      <c r="B268" s="405" t="str">
        <f>Données!B268</f>
        <v>Corseaux</v>
      </c>
      <c r="C268" s="263">
        <f>Synthèse!G267</f>
        <v>5674413.7569019049</v>
      </c>
      <c r="D268" s="484" t="s">
        <v>530</v>
      </c>
      <c r="E268" s="485" t="s">
        <v>530</v>
      </c>
      <c r="F268" s="262">
        <f>Synthèse!F267</f>
        <v>3112918.3951981254</v>
      </c>
      <c r="G268" s="489" t="s">
        <v>530</v>
      </c>
      <c r="H268" s="489" t="s">
        <v>530</v>
      </c>
      <c r="I268" s="263">
        <f>Synthèse!H267</f>
        <v>236645.95160432969</v>
      </c>
      <c r="J268" s="493" t="s">
        <v>530</v>
      </c>
      <c r="K268" s="493" t="s">
        <v>530</v>
      </c>
    </row>
    <row r="269" spans="1:11" s="266" customFormat="1" ht="15" x14ac:dyDescent="0.25">
      <c r="A269" s="86">
        <f>Données!A269</f>
        <v>5884</v>
      </c>
      <c r="B269" s="405" t="str">
        <f>Données!B269</f>
        <v>Corsier-sur-Vevey</v>
      </c>
      <c r="C269" s="263">
        <f>Synthèse!G268</f>
        <v>2446552.1817200901</v>
      </c>
      <c r="D269" s="484" t="s">
        <v>530</v>
      </c>
      <c r="E269" s="485" t="s">
        <v>530</v>
      </c>
      <c r="F269" s="262">
        <f>Synthèse!F268</f>
        <v>223326.48249507556</v>
      </c>
      <c r="G269" s="489" t="s">
        <v>530</v>
      </c>
      <c r="H269" s="489" t="s">
        <v>530</v>
      </c>
      <c r="I269" s="263">
        <f>Synthèse!H268</f>
        <v>182369.23461635597</v>
      </c>
      <c r="J269" s="493" t="s">
        <v>530</v>
      </c>
      <c r="K269" s="493" t="s">
        <v>530</v>
      </c>
    </row>
    <row r="270" spans="1:11" s="266" customFormat="1" ht="15" x14ac:dyDescent="0.25">
      <c r="A270" s="86">
        <f>Données!A270</f>
        <v>5885</v>
      </c>
      <c r="B270" s="405" t="str">
        <f>Données!B270</f>
        <v>Jongny</v>
      </c>
      <c r="C270" s="263">
        <f>Synthèse!G269</f>
        <v>1960560.3193560885</v>
      </c>
      <c r="D270" s="484" t="s">
        <v>530</v>
      </c>
      <c r="E270" s="485" t="s">
        <v>530</v>
      </c>
      <c r="F270" s="262">
        <f>Synthèse!F269</f>
        <v>1375908.8085637577</v>
      </c>
      <c r="G270" s="489" t="s">
        <v>530</v>
      </c>
      <c r="H270" s="489" t="s">
        <v>530</v>
      </c>
      <c r="I270" s="263">
        <f>Synthèse!H269</f>
        <v>118971.4332596746</v>
      </c>
      <c r="J270" s="493" t="s">
        <v>530</v>
      </c>
      <c r="K270" s="493" t="s">
        <v>530</v>
      </c>
    </row>
    <row r="271" spans="1:11" s="266" customFormat="1" ht="15" x14ac:dyDescent="0.25">
      <c r="A271" s="86">
        <f>Données!A271</f>
        <v>5886</v>
      </c>
      <c r="B271" s="405" t="str">
        <f>Données!B271</f>
        <v>Montreux</v>
      </c>
      <c r="C271" s="263">
        <f>Synthèse!G270</f>
        <v>26938435.073930092</v>
      </c>
      <c r="D271" s="484" t="s">
        <v>530</v>
      </c>
      <c r="E271" s="485" t="s">
        <v>530</v>
      </c>
      <c r="F271" s="262">
        <f>Synthèse!F270</f>
        <v>-7083334.0201716945</v>
      </c>
      <c r="G271" s="489" t="s">
        <v>530</v>
      </c>
      <c r="H271" s="489" t="s">
        <v>530</v>
      </c>
      <c r="I271" s="263">
        <f>Synthèse!H270</f>
        <v>1438774.3182637091</v>
      </c>
      <c r="J271" s="493" t="s">
        <v>530</v>
      </c>
      <c r="K271" s="493" t="s">
        <v>530</v>
      </c>
    </row>
    <row r="272" spans="1:11" s="266" customFormat="1" ht="15" x14ac:dyDescent="0.25">
      <c r="A272" s="86">
        <f>Données!A272</f>
        <v>5889</v>
      </c>
      <c r="B272" s="405" t="str">
        <f>Données!B272</f>
        <v>La Tour-de-Peilz</v>
      </c>
      <c r="C272" s="263">
        <f>Synthèse!G271</f>
        <v>13596739.884234596</v>
      </c>
      <c r="D272" s="484" t="s">
        <v>530</v>
      </c>
      <c r="E272" s="485" t="s">
        <v>530</v>
      </c>
      <c r="F272" s="262">
        <f>Synthèse!F271</f>
        <v>6880458.0825280342</v>
      </c>
      <c r="G272" s="489" t="s">
        <v>530</v>
      </c>
      <c r="H272" s="489" t="s">
        <v>530</v>
      </c>
      <c r="I272" s="263">
        <f>Synthèse!H271</f>
        <v>907027.35686152359</v>
      </c>
      <c r="J272" s="493" t="s">
        <v>530</v>
      </c>
      <c r="K272" s="493" t="s">
        <v>530</v>
      </c>
    </row>
    <row r="273" spans="1:11" s="266" customFormat="1" ht="15" x14ac:dyDescent="0.25">
      <c r="A273" s="86">
        <f>Données!A273</f>
        <v>5890</v>
      </c>
      <c r="B273" s="405" t="str">
        <f>Données!B273</f>
        <v>Vevey</v>
      </c>
      <c r="C273" s="263">
        <f>Synthèse!G272</f>
        <v>15998284.058411624</v>
      </c>
      <c r="D273" s="484" t="s">
        <v>530</v>
      </c>
      <c r="E273" s="485" t="s">
        <v>530</v>
      </c>
      <c r="F273" s="262">
        <f>Synthèse!F272</f>
        <v>-189907.29863455892</v>
      </c>
      <c r="G273" s="489" t="s">
        <v>530</v>
      </c>
      <c r="H273" s="489" t="s">
        <v>530</v>
      </c>
      <c r="I273" s="263">
        <f>Synthèse!H272</f>
        <v>1187441.6361814677</v>
      </c>
      <c r="J273" s="493" t="s">
        <v>530</v>
      </c>
      <c r="K273" s="493" t="s">
        <v>530</v>
      </c>
    </row>
    <row r="274" spans="1:11" s="266" customFormat="1" ht="15" x14ac:dyDescent="0.25">
      <c r="A274" s="86">
        <f>Données!A274</f>
        <v>5891</v>
      </c>
      <c r="B274" s="405" t="str">
        <f>Données!B274</f>
        <v>Veytaux</v>
      </c>
      <c r="C274" s="263">
        <f>Synthèse!G273</f>
        <v>627587.95986469497</v>
      </c>
      <c r="D274" s="484" t="s">
        <v>530</v>
      </c>
      <c r="E274" s="485" t="s">
        <v>530</v>
      </c>
      <c r="F274" s="262">
        <f>Synthèse!F273</f>
        <v>-75541.392666209373</v>
      </c>
      <c r="G274" s="489" t="s">
        <v>530</v>
      </c>
      <c r="H274" s="489" t="s">
        <v>530</v>
      </c>
      <c r="I274" s="263">
        <f>Synthèse!H273</f>
        <v>47942.681719439373</v>
      </c>
      <c r="J274" s="493" t="s">
        <v>530</v>
      </c>
      <c r="K274" s="493" t="s">
        <v>530</v>
      </c>
    </row>
    <row r="275" spans="1:11" s="266" customFormat="1" ht="15" x14ac:dyDescent="0.25">
      <c r="A275" s="86">
        <f>Données!A275</f>
        <v>5892</v>
      </c>
      <c r="B275" s="405" t="str">
        <f>Données!B275</f>
        <v>Blonay-St-Légier</v>
      </c>
      <c r="C275" s="263">
        <f>Synthèse!G274</f>
        <v>14750967.12440414</v>
      </c>
      <c r="D275" s="484" t="s">
        <v>530</v>
      </c>
      <c r="E275" s="485" t="s">
        <v>530</v>
      </c>
      <c r="F275" s="262">
        <f>Synthèse!F274</f>
        <v>3966902.4355019294</v>
      </c>
      <c r="G275" s="489" t="s">
        <v>530</v>
      </c>
      <c r="H275" s="489" t="s">
        <v>530</v>
      </c>
      <c r="I275" s="263">
        <f>Synthèse!H274</f>
        <v>864376.71618441341</v>
      </c>
      <c r="J275" s="493" t="s">
        <v>530</v>
      </c>
      <c r="K275" s="493" t="s">
        <v>530</v>
      </c>
    </row>
    <row r="276" spans="1:11" s="266" customFormat="1" ht="15" x14ac:dyDescent="0.25">
      <c r="A276" s="86">
        <f>Données!A276</f>
        <v>5902</v>
      </c>
      <c r="B276" s="405" t="str">
        <f>Données!B276</f>
        <v>Belmont-sur-Yverdon</v>
      </c>
      <c r="C276" s="263">
        <f>Synthèse!G275</f>
        <v>185133.91096278638</v>
      </c>
      <c r="D276" s="484" t="s">
        <v>530</v>
      </c>
      <c r="E276" s="485" t="s">
        <v>530</v>
      </c>
      <c r="F276" s="262">
        <f>Synthèse!F275</f>
        <v>-87946.073060294177</v>
      </c>
      <c r="G276" s="489" t="s">
        <v>530</v>
      </c>
      <c r="H276" s="489" t="s">
        <v>530</v>
      </c>
      <c r="I276" s="263">
        <f>Synthèse!H275</f>
        <v>37350.332182715683</v>
      </c>
      <c r="J276" s="493" t="s">
        <v>530</v>
      </c>
      <c r="K276" s="493" t="s">
        <v>530</v>
      </c>
    </row>
    <row r="277" spans="1:11" s="266" customFormat="1" ht="15" x14ac:dyDescent="0.25">
      <c r="A277" s="86">
        <f>Données!A277</f>
        <v>5903</v>
      </c>
      <c r="B277" s="405" t="str">
        <f>Données!B277</f>
        <v>Bioley-Magnoux</v>
      </c>
      <c r="C277" s="263">
        <f>Synthèse!G276</f>
        <v>87734.844306973668</v>
      </c>
      <c r="D277" s="484" t="s">
        <v>530</v>
      </c>
      <c r="E277" s="485" t="s">
        <v>530</v>
      </c>
      <c r="F277" s="262">
        <f>Synthèse!F276</f>
        <v>-172974.92867519081</v>
      </c>
      <c r="G277" s="489" t="s">
        <v>530</v>
      </c>
      <c r="H277" s="489" t="s">
        <v>530</v>
      </c>
      <c r="I277" s="263">
        <f>Synthèse!H276</f>
        <v>18479.67817877559</v>
      </c>
      <c r="J277" s="493" t="s">
        <v>530</v>
      </c>
      <c r="K277" s="493" t="s">
        <v>530</v>
      </c>
    </row>
    <row r="278" spans="1:11" s="266" customFormat="1" ht="15" x14ac:dyDescent="0.25">
      <c r="A278" s="86">
        <f>Données!A278</f>
        <v>5904</v>
      </c>
      <c r="B278" s="405" t="str">
        <f>Données!B278</f>
        <v>Chamblon</v>
      </c>
      <c r="C278" s="263">
        <f>Synthèse!G277</f>
        <v>314635.10684835131</v>
      </c>
      <c r="D278" s="484" t="s">
        <v>530</v>
      </c>
      <c r="E278" s="485" t="s">
        <v>530</v>
      </c>
      <c r="F278" s="262">
        <f>Synthèse!F277</f>
        <v>273137.76431282016</v>
      </c>
      <c r="G278" s="489" t="s">
        <v>530</v>
      </c>
      <c r="H278" s="489" t="s">
        <v>530</v>
      </c>
      <c r="I278" s="263">
        <f>Synthèse!H277</f>
        <v>27179.721854684558</v>
      </c>
      <c r="J278" s="493" t="s">
        <v>530</v>
      </c>
      <c r="K278" s="493" t="s">
        <v>530</v>
      </c>
    </row>
    <row r="279" spans="1:11" s="266" customFormat="1" ht="15" x14ac:dyDescent="0.25">
      <c r="A279" s="86">
        <f>Données!A279</f>
        <v>5905</v>
      </c>
      <c r="B279" s="405" t="str">
        <f>Données!B279</f>
        <v>Champvent</v>
      </c>
      <c r="C279" s="263">
        <f>Synthèse!G278</f>
        <v>470468.32272509404</v>
      </c>
      <c r="D279" s="484" t="s">
        <v>530</v>
      </c>
      <c r="E279" s="485" t="s">
        <v>530</v>
      </c>
      <c r="F279" s="262">
        <f>Synthèse!F278</f>
        <v>121822.90794091171</v>
      </c>
      <c r="G279" s="489" t="s">
        <v>530</v>
      </c>
      <c r="H279" s="489" t="s">
        <v>530</v>
      </c>
      <c r="I279" s="263">
        <f>Synthèse!H278</f>
        <v>71956.461846251594</v>
      </c>
      <c r="J279" s="493" t="s">
        <v>530</v>
      </c>
      <c r="K279" s="493" t="s">
        <v>530</v>
      </c>
    </row>
    <row r="280" spans="1:11" s="266" customFormat="1" ht="15" x14ac:dyDescent="0.25">
      <c r="A280" s="86">
        <f>Données!A280</f>
        <v>5907</v>
      </c>
      <c r="B280" s="405" t="str">
        <f>Données!B280</f>
        <v>Chavannes-le-Chêne</v>
      </c>
      <c r="C280" s="263">
        <f>Synthèse!G279</f>
        <v>111978.41678332245</v>
      </c>
      <c r="D280" s="484" t="s">
        <v>530</v>
      </c>
      <c r="E280" s="485" t="s">
        <v>530</v>
      </c>
      <c r="F280" s="262">
        <f>Synthèse!F279</f>
        <v>-133728.87847877631</v>
      </c>
      <c r="G280" s="489" t="s">
        <v>530</v>
      </c>
      <c r="H280" s="489" t="s">
        <v>530</v>
      </c>
      <c r="I280" s="263">
        <f>Synthèse!H279</f>
        <v>23868.435246785433</v>
      </c>
      <c r="J280" s="493" t="s">
        <v>530</v>
      </c>
      <c r="K280" s="493" t="s">
        <v>530</v>
      </c>
    </row>
    <row r="281" spans="1:11" s="266" customFormat="1" ht="15" x14ac:dyDescent="0.25">
      <c r="A281" s="86">
        <f>Données!A281</f>
        <v>5908</v>
      </c>
      <c r="B281" s="405" t="str">
        <f>Données!B281</f>
        <v>Chêne-Pâquier</v>
      </c>
      <c r="C281" s="263">
        <f>Synthèse!G280</f>
        <v>63470.312013710813</v>
      </c>
      <c r="D281" s="484" t="s">
        <v>530</v>
      </c>
      <c r="E281" s="485" t="s">
        <v>530</v>
      </c>
      <c r="F281" s="262">
        <f>Synthèse!F280</f>
        <v>-35499.78561861167</v>
      </c>
      <c r="G281" s="489" t="s">
        <v>530</v>
      </c>
      <c r="H281" s="489" t="s">
        <v>530</v>
      </c>
      <c r="I281" s="263">
        <f>Synthèse!H280</f>
        <v>13635.538793717555</v>
      </c>
      <c r="J281" s="493" t="s">
        <v>530</v>
      </c>
      <c r="K281" s="493" t="s">
        <v>530</v>
      </c>
    </row>
    <row r="282" spans="1:11" s="266" customFormat="1" ht="15" x14ac:dyDescent="0.25">
      <c r="A282" s="86">
        <f>Données!A282</f>
        <v>5909</v>
      </c>
      <c r="B282" s="405" t="str">
        <f>Données!B282</f>
        <v>Cheseaux-Noréaz</v>
      </c>
      <c r="C282" s="263">
        <f>Synthèse!G281</f>
        <v>630625.89032091259</v>
      </c>
      <c r="D282" s="484" t="s">
        <v>530</v>
      </c>
      <c r="E282" s="485" t="s">
        <v>530</v>
      </c>
      <c r="F282" s="262">
        <f>Synthèse!F281</f>
        <v>574947.09812503308</v>
      </c>
      <c r="G282" s="489" t="s">
        <v>530</v>
      </c>
      <c r="H282" s="489" t="s">
        <v>530</v>
      </c>
      <c r="I282" s="263">
        <f>Synthèse!H281</f>
        <v>45239.186254446991</v>
      </c>
      <c r="J282" s="493" t="s">
        <v>530</v>
      </c>
      <c r="K282" s="493" t="s">
        <v>530</v>
      </c>
    </row>
    <row r="283" spans="1:11" s="266" customFormat="1" ht="15" x14ac:dyDescent="0.25">
      <c r="A283" s="86">
        <f>Données!A283</f>
        <v>5910</v>
      </c>
      <c r="B283" s="405" t="str">
        <f>Données!B283</f>
        <v>Cronay</v>
      </c>
      <c r="C283" s="263">
        <f>Synthèse!G282</f>
        <v>163466.58714637897</v>
      </c>
      <c r="D283" s="484" t="s">
        <v>530</v>
      </c>
      <c r="E283" s="485" t="s">
        <v>530</v>
      </c>
      <c r="F283" s="262">
        <f>Synthèse!F282</f>
        <v>-105383.92047777021</v>
      </c>
      <c r="G283" s="489" t="s">
        <v>530</v>
      </c>
      <c r="H283" s="489" t="s">
        <v>530</v>
      </c>
      <c r="I283" s="263">
        <f>Synthèse!H282</f>
        <v>32548.889162862495</v>
      </c>
      <c r="J283" s="493" t="s">
        <v>530</v>
      </c>
      <c r="K283" s="493" t="s">
        <v>530</v>
      </c>
    </row>
    <row r="284" spans="1:11" s="266" customFormat="1" ht="15" x14ac:dyDescent="0.25">
      <c r="A284" s="86">
        <f>Données!A284</f>
        <v>5911</v>
      </c>
      <c r="B284" s="405" t="str">
        <f>Données!B284</f>
        <v>Cuarny</v>
      </c>
      <c r="C284" s="263">
        <f>Synthèse!G283</f>
        <v>119522.80602826066</v>
      </c>
      <c r="D284" s="484" t="s">
        <v>530</v>
      </c>
      <c r="E284" s="485" t="s">
        <v>530</v>
      </c>
      <c r="F284" s="262">
        <f>Synthèse!F283</f>
        <v>-11980.344306679617</v>
      </c>
      <c r="G284" s="489" t="s">
        <v>530</v>
      </c>
      <c r="H284" s="489" t="s">
        <v>530</v>
      </c>
      <c r="I284" s="263">
        <f>Synthèse!H283</f>
        <v>23179.988162976078</v>
      </c>
      <c r="J284" s="493" t="s">
        <v>530</v>
      </c>
      <c r="K284" s="493" t="s">
        <v>530</v>
      </c>
    </row>
    <row r="285" spans="1:11" s="266" customFormat="1" ht="15" x14ac:dyDescent="0.25">
      <c r="A285" s="86">
        <f>Données!A285</f>
        <v>5912</v>
      </c>
      <c r="B285" s="405" t="str">
        <f>Données!B285</f>
        <v>Démoret</v>
      </c>
      <c r="C285" s="263">
        <f>Synthèse!G284</f>
        <v>76818.198772999662</v>
      </c>
      <c r="D285" s="484" t="s">
        <v>530</v>
      </c>
      <c r="E285" s="485" t="s">
        <v>530</v>
      </c>
      <c r="F285" s="262">
        <f>Synthèse!F284</f>
        <v>-30761.229989805739</v>
      </c>
      <c r="G285" s="489" t="s">
        <v>530</v>
      </c>
      <c r="H285" s="489" t="s">
        <v>530</v>
      </c>
      <c r="I285" s="263">
        <f>Synthèse!H284</f>
        <v>14670.463152610391</v>
      </c>
      <c r="J285" s="493" t="s">
        <v>530</v>
      </c>
      <c r="K285" s="493" t="s">
        <v>530</v>
      </c>
    </row>
    <row r="286" spans="1:11" s="266" customFormat="1" ht="15" x14ac:dyDescent="0.25">
      <c r="A286" s="86">
        <f>Données!A286</f>
        <v>5913</v>
      </c>
      <c r="B286" s="405" t="str">
        <f>Données!B286</f>
        <v>Donneloye</v>
      </c>
      <c r="C286" s="263">
        <f>Synthèse!G285</f>
        <v>383774.79404285207</v>
      </c>
      <c r="D286" s="484" t="s">
        <v>530</v>
      </c>
      <c r="E286" s="485" t="s">
        <v>530</v>
      </c>
      <c r="F286" s="262">
        <f>Synthèse!F285</f>
        <v>-81737.84333856561</v>
      </c>
      <c r="G286" s="489" t="s">
        <v>530</v>
      </c>
      <c r="H286" s="489" t="s">
        <v>530</v>
      </c>
      <c r="I286" s="263">
        <f>Synthèse!H285</f>
        <v>73690.643455088852</v>
      </c>
      <c r="J286" s="493" t="s">
        <v>530</v>
      </c>
      <c r="K286" s="493" t="s">
        <v>530</v>
      </c>
    </row>
    <row r="287" spans="1:11" s="266" customFormat="1" ht="15" x14ac:dyDescent="0.25">
      <c r="A287" s="86">
        <f>Données!A287</f>
        <v>5914</v>
      </c>
      <c r="B287" s="405" t="str">
        <f>Données!B287</f>
        <v>Ependes</v>
      </c>
      <c r="C287" s="263">
        <f>Synthèse!G286</f>
        <v>188775.80125879406</v>
      </c>
      <c r="D287" s="484" t="s">
        <v>530</v>
      </c>
      <c r="E287" s="485" t="s">
        <v>530</v>
      </c>
      <c r="F287" s="262">
        <f>Synthèse!F286</f>
        <v>-101246.79016743173</v>
      </c>
      <c r="G287" s="489" t="s">
        <v>530</v>
      </c>
      <c r="H287" s="489" t="s">
        <v>530</v>
      </c>
      <c r="I287" s="263">
        <f>Synthèse!H286</f>
        <v>12045.519487726837</v>
      </c>
      <c r="J287" s="493" t="s">
        <v>530</v>
      </c>
      <c r="K287" s="493" t="s">
        <v>530</v>
      </c>
    </row>
    <row r="288" spans="1:11" s="266" customFormat="1" ht="15" x14ac:dyDescent="0.25">
      <c r="A288" s="86">
        <f>Données!A288</f>
        <v>5919</v>
      </c>
      <c r="B288" s="405" t="str">
        <f>Données!B288</f>
        <v>Mathod</v>
      </c>
      <c r="C288" s="263">
        <f>Synthèse!G287</f>
        <v>285017.71493567474</v>
      </c>
      <c r="D288" s="484" t="s">
        <v>530</v>
      </c>
      <c r="E288" s="485" t="s">
        <v>530</v>
      </c>
      <c r="F288" s="262">
        <f>Synthèse!F287</f>
        <v>-128794.36483204644</v>
      </c>
      <c r="G288" s="489" t="s">
        <v>530</v>
      </c>
      <c r="H288" s="489" t="s">
        <v>530</v>
      </c>
      <c r="I288" s="263">
        <f>Synthèse!H287</f>
        <v>22898.754117213251</v>
      </c>
      <c r="J288" s="493" t="s">
        <v>530</v>
      </c>
      <c r="K288" s="493" t="s">
        <v>530</v>
      </c>
    </row>
    <row r="289" spans="1:11" s="266" customFormat="1" ht="15" x14ac:dyDescent="0.25">
      <c r="A289" s="86">
        <f>Données!A289</f>
        <v>5921</v>
      </c>
      <c r="B289" s="405" t="str">
        <f>Données!B289</f>
        <v>Molondin</v>
      </c>
      <c r="C289" s="263">
        <f>Synthèse!G288</f>
        <v>79137.307979918987</v>
      </c>
      <c r="D289" s="484" t="s">
        <v>530</v>
      </c>
      <c r="E289" s="485" t="s">
        <v>530</v>
      </c>
      <c r="F289" s="262">
        <f>Synthèse!F288</f>
        <v>-100602.81169686031</v>
      </c>
      <c r="G289" s="489" t="s">
        <v>530</v>
      </c>
      <c r="H289" s="489" t="s">
        <v>530</v>
      </c>
      <c r="I289" s="263">
        <f>Synthèse!H288</f>
        <v>18063.776709968541</v>
      </c>
      <c r="J289" s="493" t="s">
        <v>530</v>
      </c>
      <c r="K289" s="493" t="s">
        <v>530</v>
      </c>
    </row>
    <row r="290" spans="1:11" s="266" customFormat="1" ht="15" x14ac:dyDescent="0.25">
      <c r="A290" s="86">
        <f>Données!A290</f>
        <v>5922</v>
      </c>
      <c r="B290" s="405" t="str">
        <f>Données!B290</f>
        <v>Montagny-près-Yverdon</v>
      </c>
      <c r="C290" s="263">
        <f>Synthèse!G289</f>
        <v>810485.43736695719</v>
      </c>
      <c r="D290" s="484" t="s">
        <v>530</v>
      </c>
      <c r="E290" s="485" t="s">
        <v>530</v>
      </c>
      <c r="F290" s="262">
        <f>Synthèse!F289</f>
        <v>514733.21755584143</v>
      </c>
      <c r="G290" s="489" t="s">
        <v>530</v>
      </c>
      <c r="H290" s="489" t="s">
        <v>530</v>
      </c>
      <c r="I290" s="263">
        <f>Synthèse!H289</f>
        <v>116607.28855455323</v>
      </c>
      <c r="J290" s="493" t="s">
        <v>530</v>
      </c>
      <c r="K290" s="493" t="s">
        <v>530</v>
      </c>
    </row>
    <row r="291" spans="1:11" s="266" customFormat="1" ht="15" x14ac:dyDescent="0.25">
      <c r="A291" s="86">
        <f>Données!A291</f>
        <v>5923</v>
      </c>
      <c r="B291" s="405" t="str">
        <f>Données!B291</f>
        <v>Oppens</v>
      </c>
      <c r="C291" s="263">
        <f>Synthèse!G290</f>
        <v>99433.443930396068</v>
      </c>
      <c r="D291" s="484" t="s">
        <v>530</v>
      </c>
      <c r="E291" s="485" t="s">
        <v>530</v>
      </c>
      <c r="F291" s="262">
        <f>Synthèse!F290</f>
        <v>-83679.874068450226</v>
      </c>
      <c r="G291" s="489" t="s">
        <v>530</v>
      </c>
      <c r="H291" s="489" t="s">
        <v>530</v>
      </c>
      <c r="I291" s="263">
        <f>Synthèse!H290</f>
        <v>15785.639589756354</v>
      </c>
      <c r="J291" s="493" t="s">
        <v>530</v>
      </c>
      <c r="K291" s="493" t="s">
        <v>530</v>
      </c>
    </row>
    <row r="292" spans="1:11" s="266" customFormat="1" ht="15" x14ac:dyDescent="0.25">
      <c r="A292" s="86">
        <f>Données!A292</f>
        <v>5924</v>
      </c>
      <c r="B292" s="405" t="str">
        <f>Données!B292</f>
        <v>Orges</v>
      </c>
      <c r="C292" s="263">
        <f>Synthèse!G291</f>
        <v>213142.7967355203</v>
      </c>
      <c r="D292" s="484" t="s">
        <v>530</v>
      </c>
      <c r="E292" s="485" t="s">
        <v>530</v>
      </c>
      <c r="F292" s="262">
        <f>Synthèse!F291</f>
        <v>77846.348638773576</v>
      </c>
      <c r="G292" s="489" t="s">
        <v>530</v>
      </c>
      <c r="H292" s="489" t="s">
        <v>530</v>
      </c>
      <c r="I292" s="263">
        <f>Synthèse!H291</f>
        <v>40713.060145715586</v>
      </c>
      <c r="J292" s="493" t="s">
        <v>530</v>
      </c>
      <c r="K292" s="493" t="s">
        <v>530</v>
      </c>
    </row>
    <row r="293" spans="1:11" s="266" customFormat="1" ht="15" x14ac:dyDescent="0.25">
      <c r="A293" s="86">
        <f>Données!A293</f>
        <v>5925</v>
      </c>
      <c r="B293" s="405" t="str">
        <f>Données!B293</f>
        <v>Orzens</v>
      </c>
      <c r="C293" s="263">
        <f>Synthèse!G292</f>
        <v>135071.3553832852</v>
      </c>
      <c r="D293" s="484" t="s">
        <v>530</v>
      </c>
      <c r="E293" s="485" t="s">
        <v>530</v>
      </c>
      <c r="F293" s="262">
        <f>Synthèse!F292</f>
        <v>-46105.043905538885</v>
      </c>
      <c r="G293" s="489" t="s">
        <v>530</v>
      </c>
      <c r="H293" s="489" t="s">
        <v>530</v>
      </c>
      <c r="I293" s="263">
        <f>Synthèse!H292</f>
        <v>16047.721869006826</v>
      </c>
      <c r="J293" s="493" t="s">
        <v>530</v>
      </c>
      <c r="K293" s="493" t="s">
        <v>530</v>
      </c>
    </row>
    <row r="294" spans="1:11" s="266" customFormat="1" ht="15" x14ac:dyDescent="0.25">
      <c r="A294" s="86">
        <f>Données!A294</f>
        <v>5926</v>
      </c>
      <c r="B294" s="405" t="str">
        <f>Données!B294</f>
        <v>Pomy</v>
      </c>
      <c r="C294" s="263">
        <f>Synthèse!G293</f>
        <v>460368.86692698434</v>
      </c>
      <c r="D294" s="484" t="s">
        <v>530</v>
      </c>
      <c r="E294" s="485" t="s">
        <v>530</v>
      </c>
      <c r="F294" s="262">
        <f>Synthèse!F293</f>
        <v>136649.07651667384</v>
      </c>
      <c r="G294" s="489" t="s">
        <v>530</v>
      </c>
      <c r="H294" s="489" t="s">
        <v>530</v>
      </c>
      <c r="I294" s="263">
        <f>Synthèse!H293</f>
        <v>34161.596099105125</v>
      </c>
      <c r="J294" s="493" t="s">
        <v>530</v>
      </c>
      <c r="K294" s="493" t="s">
        <v>530</v>
      </c>
    </row>
    <row r="295" spans="1:11" s="266" customFormat="1" ht="15" x14ac:dyDescent="0.25">
      <c r="A295" s="86">
        <f>Données!A295</f>
        <v>5928</v>
      </c>
      <c r="B295" s="405" t="str">
        <f>Données!B295</f>
        <v>Rovray</v>
      </c>
      <c r="C295" s="263">
        <f>Synthèse!G294</f>
        <v>82332.007079590781</v>
      </c>
      <c r="D295" s="484" t="s">
        <v>530</v>
      </c>
      <c r="E295" s="485" t="s">
        <v>530</v>
      </c>
      <c r="F295" s="262">
        <f>Synthèse!F294</f>
        <v>-36029.098394553992</v>
      </c>
      <c r="G295" s="489" t="s">
        <v>530</v>
      </c>
      <c r="H295" s="489" t="s">
        <v>530</v>
      </c>
      <c r="I295" s="263">
        <f>Synthèse!H294</f>
        <v>16953.206187612326</v>
      </c>
      <c r="J295" s="493" t="s">
        <v>530</v>
      </c>
      <c r="K295" s="493" t="s">
        <v>530</v>
      </c>
    </row>
    <row r="296" spans="1:11" s="266" customFormat="1" ht="15" x14ac:dyDescent="0.25">
      <c r="A296" s="86">
        <f>Données!A296</f>
        <v>5929</v>
      </c>
      <c r="B296" s="405" t="str">
        <f>Données!B296</f>
        <v>Suchy</v>
      </c>
      <c r="C296" s="263">
        <f>Synthèse!G295</f>
        <v>330830.29979004827</v>
      </c>
      <c r="D296" s="484" t="s">
        <v>530</v>
      </c>
      <c r="E296" s="485" t="s">
        <v>530</v>
      </c>
      <c r="F296" s="262">
        <f>Synthèse!F295</f>
        <v>51933.777354690072</v>
      </c>
      <c r="G296" s="489" t="s">
        <v>530</v>
      </c>
      <c r="H296" s="489" t="s">
        <v>530</v>
      </c>
      <c r="I296" s="263">
        <f>Synthèse!H295</f>
        <v>24835.647934800523</v>
      </c>
      <c r="J296" s="493" t="s">
        <v>530</v>
      </c>
      <c r="K296" s="493" t="s">
        <v>530</v>
      </c>
    </row>
    <row r="297" spans="1:11" s="266" customFormat="1" ht="15" x14ac:dyDescent="0.25">
      <c r="A297" s="86">
        <f>Données!A297</f>
        <v>5930</v>
      </c>
      <c r="B297" s="405" t="str">
        <f>Données!B297</f>
        <v>Suscévaz</v>
      </c>
      <c r="C297" s="263">
        <f>Synthèse!G296</f>
        <v>124503.52000359251</v>
      </c>
      <c r="D297" s="484" t="s">
        <v>530</v>
      </c>
      <c r="E297" s="485" t="s">
        <v>530</v>
      </c>
      <c r="F297" s="262">
        <f>Synthèse!F296</f>
        <v>-2737.1941264067573</v>
      </c>
      <c r="G297" s="489" t="s">
        <v>530</v>
      </c>
      <c r="H297" s="489" t="s">
        <v>530</v>
      </c>
      <c r="I297" s="263">
        <f>Synthèse!H296</f>
        <v>8164.4106989237634</v>
      </c>
      <c r="J297" s="493" t="s">
        <v>530</v>
      </c>
      <c r="K297" s="493" t="s">
        <v>530</v>
      </c>
    </row>
    <row r="298" spans="1:11" s="266" customFormat="1" ht="15" x14ac:dyDescent="0.25">
      <c r="A298" s="86">
        <f>Données!A298</f>
        <v>5931</v>
      </c>
      <c r="B298" s="405" t="str">
        <f>Données!B298</f>
        <v>Treycovagnes</v>
      </c>
      <c r="C298" s="263">
        <f>Synthèse!G297</f>
        <v>275125.73653811257</v>
      </c>
      <c r="D298" s="484" t="s">
        <v>530</v>
      </c>
      <c r="E298" s="485" t="s">
        <v>530</v>
      </c>
      <c r="F298" s="262">
        <f>Synthèse!F297</f>
        <v>-15473.020930349536</v>
      </c>
      <c r="G298" s="489" t="s">
        <v>530</v>
      </c>
      <c r="H298" s="489" t="s">
        <v>530</v>
      </c>
      <c r="I298" s="263">
        <f>Synthèse!H297</f>
        <v>18713.867118811515</v>
      </c>
      <c r="J298" s="493" t="s">
        <v>530</v>
      </c>
      <c r="K298" s="493" t="s">
        <v>530</v>
      </c>
    </row>
    <row r="299" spans="1:11" s="266" customFormat="1" ht="15" x14ac:dyDescent="0.25">
      <c r="A299" s="86">
        <f>Données!A299</f>
        <v>5932</v>
      </c>
      <c r="B299" s="405" t="str">
        <f>Données!B299</f>
        <v>Ursins</v>
      </c>
      <c r="C299" s="263">
        <f>Synthèse!G298</f>
        <v>102731.24640632825</v>
      </c>
      <c r="D299" s="484" t="s">
        <v>530</v>
      </c>
      <c r="E299" s="485" t="s">
        <v>530</v>
      </c>
      <c r="F299" s="262">
        <f>Synthèse!F298</f>
        <v>38576.925283574295</v>
      </c>
      <c r="G299" s="489" t="s">
        <v>530</v>
      </c>
      <c r="H299" s="489" t="s">
        <v>530</v>
      </c>
      <c r="I299" s="263">
        <f>Synthèse!H298</f>
        <v>23910.718106113192</v>
      </c>
      <c r="J299" s="493" t="s">
        <v>530</v>
      </c>
      <c r="K299" s="493" t="s">
        <v>530</v>
      </c>
    </row>
    <row r="300" spans="1:11" s="266" customFormat="1" ht="15" x14ac:dyDescent="0.25">
      <c r="A300" s="86">
        <f>Données!A300</f>
        <v>5933</v>
      </c>
      <c r="B300" s="405" t="str">
        <f>Données!B300</f>
        <v>Valeyres-sous-Montagny</v>
      </c>
      <c r="C300" s="263">
        <f>Synthèse!G299</f>
        <v>320395.97091311053</v>
      </c>
      <c r="D300" s="484" t="s">
        <v>530</v>
      </c>
      <c r="E300" s="485" t="s">
        <v>530</v>
      </c>
      <c r="F300" s="262">
        <f>Synthèse!F299</f>
        <v>-431194.00877522962</v>
      </c>
      <c r="G300" s="489" t="s">
        <v>530</v>
      </c>
      <c r="H300" s="489" t="s">
        <v>530</v>
      </c>
      <c r="I300" s="263">
        <f>Synthèse!H299</f>
        <v>59654.503972688508</v>
      </c>
      <c r="J300" s="493" t="s">
        <v>530</v>
      </c>
      <c r="K300" s="493" t="s">
        <v>530</v>
      </c>
    </row>
    <row r="301" spans="1:11" s="266" customFormat="1" ht="15" x14ac:dyDescent="0.25">
      <c r="A301" s="86">
        <f>Données!A301</f>
        <v>5934</v>
      </c>
      <c r="B301" s="405" t="str">
        <f>Données!B301</f>
        <v>Valeyres-sous-Ursins</v>
      </c>
      <c r="C301" s="263">
        <f>Synthèse!G300</f>
        <v>95134.021214753913</v>
      </c>
      <c r="D301" s="484" t="s">
        <v>530</v>
      </c>
      <c r="E301" s="485" t="s">
        <v>530</v>
      </c>
      <c r="F301" s="262">
        <f>Synthèse!F300</f>
        <v>-18037.149066140119</v>
      </c>
      <c r="G301" s="489" t="s">
        <v>530</v>
      </c>
      <c r="H301" s="489" t="s">
        <v>530</v>
      </c>
      <c r="I301" s="263">
        <f>Synthèse!H300</f>
        <v>21855.75560945112</v>
      </c>
      <c r="J301" s="493" t="s">
        <v>530</v>
      </c>
      <c r="K301" s="493" t="s">
        <v>530</v>
      </c>
    </row>
    <row r="302" spans="1:11" s="266" customFormat="1" ht="15" x14ac:dyDescent="0.25">
      <c r="A302" s="86">
        <f>Données!A302</f>
        <v>5935</v>
      </c>
      <c r="B302" s="405" t="str">
        <f>Données!B302</f>
        <v>Villars-Epeney</v>
      </c>
      <c r="C302" s="263">
        <f>Synthèse!G301</f>
        <v>48841.041727429627</v>
      </c>
      <c r="D302" s="484" t="s">
        <v>530</v>
      </c>
      <c r="E302" s="485" t="s">
        <v>530</v>
      </c>
      <c r="F302" s="262">
        <f>Synthèse!F301</f>
        <v>28420.742348621941</v>
      </c>
      <c r="G302" s="489" t="s">
        <v>530</v>
      </c>
      <c r="H302" s="489" t="s">
        <v>530</v>
      </c>
      <c r="I302" s="263">
        <f>Synthèse!H301</f>
        <v>10437.429328680042</v>
      </c>
      <c r="J302" s="493" t="s">
        <v>530</v>
      </c>
      <c r="K302" s="493" t="s">
        <v>530</v>
      </c>
    </row>
    <row r="303" spans="1:11" s="266" customFormat="1" ht="15" x14ac:dyDescent="0.25">
      <c r="A303" s="86">
        <f>Données!A303</f>
        <v>5937</v>
      </c>
      <c r="B303" s="405" t="str">
        <f>Données!B303</f>
        <v>Vugelles-La Mothe</v>
      </c>
      <c r="C303" s="263">
        <f>Synthèse!G302</f>
        <v>49293.313346285955</v>
      </c>
      <c r="D303" s="484" t="s">
        <v>530</v>
      </c>
      <c r="E303" s="485" t="s">
        <v>530</v>
      </c>
      <c r="F303" s="262">
        <f>Synthèse!F302</f>
        <v>-35533.201476064496</v>
      </c>
      <c r="G303" s="489" t="s">
        <v>530</v>
      </c>
      <c r="H303" s="489" t="s">
        <v>530</v>
      </c>
      <c r="I303" s="263">
        <f>Synthèse!H302</f>
        <v>10726.820554078717</v>
      </c>
      <c r="J303" s="493" t="s">
        <v>530</v>
      </c>
      <c r="K303" s="493" t="s">
        <v>530</v>
      </c>
    </row>
    <row r="304" spans="1:11" s="266" customFormat="1" ht="15" x14ac:dyDescent="0.25">
      <c r="A304" s="86">
        <f>Données!A304</f>
        <v>5938</v>
      </c>
      <c r="B304" s="405" t="str">
        <f>Données!B304</f>
        <v>Yverdon-les-Bains</v>
      </c>
      <c r="C304" s="263">
        <f>Synthèse!G303</f>
        <v>14266748.636798732</v>
      </c>
      <c r="D304" s="484" t="s">
        <v>530</v>
      </c>
      <c r="E304" s="485" t="s">
        <v>530</v>
      </c>
      <c r="F304" s="262">
        <f>Synthèse!F303</f>
        <v>-30126433.330665395</v>
      </c>
      <c r="G304" s="489" t="s">
        <v>530</v>
      </c>
      <c r="H304" s="489" t="s">
        <v>530</v>
      </c>
      <c r="I304" s="263">
        <f>Synthèse!H303</f>
        <v>934609.25751257408</v>
      </c>
      <c r="J304" s="493" t="s">
        <v>530</v>
      </c>
      <c r="K304" s="493" t="s">
        <v>530</v>
      </c>
    </row>
    <row r="305" spans="1:11" s="266" customFormat="1" ht="15" x14ac:dyDescent="0.25">
      <c r="A305" s="86">
        <f>Données!A305</f>
        <v>5939</v>
      </c>
      <c r="B305" s="405" t="str">
        <f>Données!B305</f>
        <v>Yvonand</v>
      </c>
      <c r="C305" s="263">
        <f>Synthèse!G304</f>
        <v>1690832.2097809745</v>
      </c>
      <c r="D305" s="484" t="s">
        <v>530</v>
      </c>
      <c r="E305" s="485" t="s">
        <v>530</v>
      </c>
      <c r="F305" s="262">
        <f>Synthèse!F304</f>
        <v>-826451.556899491</v>
      </c>
      <c r="G305" s="489" t="s">
        <v>530</v>
      </c>
      <c r="H305" s="489" t="s">
        <v>530</v>
      </c>
      <c r="I305" s="263">
        <f>Synthèse!H304</f>
        <v>321757.08797338302</v>
      </c>
      <c r="J305" s="493" t="s">
        <v>530</v>
      </c>
      <c r="K305" s="493" t="s">
        <v>530</v>
      </c>
    </row>
    <row r="306" spans="1:11" s="266" customFormat="1" ht="15" x14ac:dyDescent="0.25">
      <c r="A306" s="25"/>
      <c r="B306" s="19">
        <v>300</v>
      </c>
      <c r="C306" s="264">
        <f>SUM(C6:C305)</f>
        <v>796046499.99999976</v>
      </c>
      <c r="D306" s="486" t="s">
        <v>530</v>
      </c>
      <c r="E306" s="486" t="s">
        <v>530</v>
      </c>
      <c r="F306" s="264">
        <f>SUM(F6:F305)</f>
        <v>449999.99999971013</v>
      </c>
      <c r="G306" s="490" t="s">
        <v>530</v>
      </c>
      <c r="H306" s="490" t="s">
        <v>530</v>
      </c>
      <c r="I306" s="264">
        <f>SUM(I6:I305)</f>
        <v>72090822.99999997</v>
      </c>
      <c r="J306" s="494" t="s">
        <v>530</v>
      </c>
      <c r="K306" s="494" t="s">
        <v>530</v>
      </c>
    </row>
    <row r="307" spans="1:11" s="266" customFormat="1" ht="15" x14ac:dyDescent="0.25">
      <c r="A307" s="267"/>
      <c r="B307" s="267"/>
      <c r="C307" s="267"/>
      <c r="D307" s="218"/>
      <c r="E307" s="267"/>
      <c r="F307" s="267"/>
      <c r="G307" s="267"/>
      <c r="H307" s="267"/>
      <c r="I307" s="265"/>
      <c r="J307" s="5"/>
      <c r="K307" s="267"/>
    </row>
    <row r="308" spans="1:11" s="266" customFormat="1" ht="15" x14ac:dyDescent="0.25">
      <c r="A308" s="267"/>
      <c r="B308" s="267"/>
      <c r="C308" s="267"/>
      <c r="D308" s="267"/>
      <c r="E308" s="267"/>
      <c r="F308" s="267"/>
      <c r="G308" s="267"/>
      <c r="H308" s="267"/>
      <c r="I308" s="265"/>
      <c r="J308" s="5"/>
      <c r="K308" s="267"/>
    </row>
    <row r="309" spans="1:11" s="266" customFormat="1" ht="15" x14ac:dyDescent="0.25">
      <c r="A309" s="267"/>
      <c r="B309" s="267"/>
      <c r="C309" s="267"/>
      <c r="D309" s="267"/>
      <c r="E309" s="267"/>
      <c r="F309" s="267"/>
      <c r="G309" s="267"/>
      <c r="H309" s="267"/>
      <c r="I309" s="265"/>
      <c r="J309" s="267"/>
      <c r="K309" s="267"/>
    </row>
    <row r="310" spans="1:11" s="266" customFormat="1" ht="15" x14ac:dyDescent="0.25">
      <c r="A310" s="267"/>
      <c r="B310" s="267"/>
      <c r="C310" s="267"/>
      <c r="D310" s="267"/>
      <c r="E310" s="267"/>
      <c r="F310" s="267"/>
      <c r="G310" s="267"/>
      <c r="H310" s="267"/>
      <c r="I310" s="238"/>
      <c r="J310" s="267"/>
      <c r="K310" s="267"/>
    </row>
  </sheetData>
  <mergeCells count="5">
    <mergeCell ref="I4:K4"/>
    <mergeCell ref="A4:A5"/>
    <mergeCell ref="B4:B5"/>
    <mergeCell ref="C4:E4"/>
    <mergeCell ref="F4:H4"/>
  </mergeCells>
  <hyperlinks>
    <hyperlink ref="C1" location="Synthèse!A1" display="← Précédent" xr:uid="{D046A632-CF30-4412-9AE7-773599330617}"/>
    <hyperlink ref="D1" location="'Table des matières'!A1" display="Table des             matières" xr:uid="{312CF942-877A-4E96-8B85-400AB3A21C9A}"/>
  </hyperlink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tabColor theme="3" tint="0.59999389629810485"/>
  </sheetPr>
  <dimension ref="A1:L537"/>
  <sheetViews>
    <sheetView zoomScaleNormal="100" workbookViewId="0">
      <pane ySplit="2" topLeftCell="A3" activePane="bottomLeft" state="frozen"/>
      <selection pane="bottomLeft" activeCell="A3" sqref="A3"/>
    </sheetView>
  </sheetViews>
  <sheetFormatPr baseColWidth="10" defaultColWidth="10.75" defaultRowHeight="15" x14ac:dyDescent="0.25"/>
  <cols>
    <col min="1" max="1" width="66.625" style="88" customWidth="1"/>
    <col min="2" max="2" width="12.5" style="88" bestFit="1" customWidth="1"/>
    <col min="3" max="3" width="13.875" style="88" customWidth="1"/>
    <col min="4" max="4" width="12.125" style="88" customWidth="1"/>
    <col min="5" max="8" width="13.125" style="88" customWidth="1"/>
    <col min="9" max="10" width="12.125" style="88" bestFit="1" customWidth="1"/>
    <col min="11" max="11" width="12" style="88" bestFit="1" customWidth="1"/>
    <col min="12" max="16384" width="10.75" style="88"/>
  </cols>
  <sheetData>
    <row r="1" spans="1:11" ht="26.25" x14ac:dyDescent="0.4">
      <c r="A1" s="278" t="s">
        <v>408</v>
      </c>
      <c r="B1" s="315" t="s">
        <v>406</v>
      </c>
      <c r="C1" s="302" t="s">
        <v>398</v>
      </c>
      <c r="D1" s="315" t="s">
        <v>407</v>
      </c>
      <c r="E1" s="300"/>
    </row>
    <row r="3" spans="1:11" ht="21" customHeight="1" x14ac:dyDescent="0.35">
      <c r="A3" s="103" t="s">
        <v>410</v>
      </c>
      <c r="D3" s="222"/>
      <c r="E3" s="222"/>
      <c r="F3" s="222"/>
      <c r="G3" s="222"/>
      <c r="H3" s="222"/>
      <c r="I3" s="222"/>
      <c r="J3" s="222"/>
    </row>
    <row r="4" spans="1:11" s="222" customFormat="1" ht="14.45" customHeight="1" x14ac:dyDescent="0.25">
      <c r="A4" s="222" t="s">
        <v>447</v>
      </c>
      <c r="B4" s="368" t="s">
        <v>561</v>
      </c>
      <c r="D4" s="597" t="s">
        <v>569</v>
      </c>
      <c r="E4" s="598"/>
      <c r="F4" s="598"/>
      <c r="G4" s="598"/>
      <c r="H4" s="599"/>
      <c r="I4" s="390"/>
      <c r="J4" s="390"/>
      <c r="K4" s="390"/>
    </row>
    <row r="5" spans="1:11" x14ac:dyDescent="0.25">
      <c r="A5" s="88" t="s">
        <v>484</v>
      </c>
      <c r="B5" s="369">
        <v>2021</v>
      </c>
      <c r="C5" s="222"/>
      <c r="D5" s="600"/>
      <c r="E5" s="601"/>
      <c r="F5" s="601"/>
      <c r="G5" s="601"/>
      <c r="H5" s="602"/>
      <c r="I5" s="390"/>
      <c r="J5" s="390"/>
      <c r="K5" s="390"/>
    </row>
    <row r="6" spans="1:11" x14ac:dyDescent="0.25">
      <c r="A6" s="88" t="s">
        <v>483</v>
      </c>
      <c r="B6" s="104">
        <v>43099</v>
      </c>
      <c r="D6" s="600"/>
      <c r="E6" s="601"/>
      <c r="F6" s="601"/>
      <c r="G6" s="601"/>
      <c r="H6" s="602"/>
      <c r="I6" s="390"/>
      <c r="J6" s="390"/>
      <c r="K6" s="390"/>
    </row>
    <row r="7" spans="1:11" s="222" customFormat="1" x14ac:dyDescent="0.25">
      <c r="A7" s="222" t="s">
        <v>482</v>
      </c>
      <c r="B7" s="104" t="s">
        <v>562</v>
      </c>
      <c r="D7" s="600"/>
      <c r="E7" s="601"/>
      <c r="F7" s="601"/>
      <c r="G7" s="601"/>
      <c r="H7" s="602"/>
      <c r="I7" s="390"/>
      <c r="J7" s="390"/>
      <c r="K7" s="390"/>
    </row>
    <row r="8" spans="1:11" s="222" customFormat="1" x14ac:dyDescent="0.25">
      <c r="A8" s="222" t="s">
        <v>481</v>
      </c>
      <c r="B8" s="369">
        <v>2023</v>
      </c>
      <c r="D8" s="600"/>
      <c r="E8" s="601"/>
      <c r="F8" s="601"/>
      <c r="G8" s="601"/>
      <c r="H8" s="602"/>
      <c r="I8" s="390"/>
      <c r="J8" s="390"/>
      <c r="K8" s="390"/>
    </row>
    <row r="9" spans="1:11" s="222" customFormat="1" x14ac:dyDescent="0.25">
      <c r="D9" s="600"/>
      <c r="E9" s="601"/>
      <c r="F9" s="601"/>
      <c r="G9" s="601"/>
      <c r="H9" s="602"/>
      <c r="I9" s="390"/>
      <c r="J9" s="390"/>
      <c r="K9" s="390"/>
    </row>
    <row r="10" spans="1:11" ht="21" x14ac:dyDescent="0.35">
      <c r="A10" s="116" t="s">
        <v>427</v>
      </c>
      <c r="B10" s="223"/>
      <c r="C10" s="222"/>
      <c r="D10" s="600"/>
      <c r="E10" s="601"/>
      <c r="F10" s="601"/>
      <c r="G10" s="601"/>
      <c r="H10" s="602"/>
      <c r="I10" s="390"/>
      <c r="J10" s="390"/>
      <c r="K10" s="390"/>
    </row>
    <row r="11" spans="1:11" s="222" customFormat="1" ht="30" x14ac:dyDescent="0.25">
      <c r="A11" s="572" t="s">
        <v>567</v>
      </c>
      <c r="B11" s="110">
        <v>796046500</v>
      </c>
      <c r="D11" s="600"/>
      <c r="E11" s="601"/>
      <c r="F11" s="601"/>
      <c r="G11" s="601"/>
      <c r="H11" s="602"/>
      <c r="I11" s="390"/>
      <c r="J11" s="390"/>
      <c r="K11" s="390"/>
    </row>
    <row r="12" spans="1:11" s="222" customFormat="1" x14ac:dyDescent="0.25">
      <c r="A12" s="427" t="s">
        <v>566</v>
      </c>
      <c r="B12" s="563">
        <v>16732600</v>
      </c>
      <c r="C12" s="594" t="s">
        <v>568</v>
      </c>
      <c r="D12" s="600"/>
      <c r="E12" s="601"/>
      <c r="F12" s="601"/>
      <c r="G12" s="601"/>
      <c r="H12" s="602"/>
      <c r="I12" s="390"/>
      <c r="J12" s="390"/>
      <c r="K12" s="390"/>
    </row>
    <row r="13" spans="1:11" s="222" customFormat="1" x14ac:dyDescent="0.25">
      <c r="A13" s="427" t="s">
        <v>563</v>
      </c>
      <c r="B13" s="110">
        <v>43384400</v>
      </c>
      <c r="C13" s="595"/>
      <c r="D13" s="600"/>
      <c r="E13" s="601"/>
      <c r="F13" s="601"/>
      <c r="G13" s="601"/>
      <c r="H13" s="602"/>
      <c r="I13" s="390"/>
      <c r="J13" s="390"/>
      <c r="K13" s="390"/>
    </row>
    <row r="14" spans="1:11" s="222" customFormat="1" x14ac:dyDescent="0.25">
      <c r="A14" s="427" t="s">
        <v>564</v>
      </c>
      <c r="B14" s="110">
        <v>9883000</v>
      </c>
      <c r="C14" s="596"/>
      <c r="D14" s="600"/>
      <c r="E14" s="601"/>
      <c r="F14" s="601"/>
      <c r="G14" s="601"/>
      <c r="H14" s="602"/>
      <c r="I14" s="390"/>
      <c r="J14" s="390"/>
      <c r="K14" s="390"/>
    </row>
    <row r="15" spans="1:11" s="222" customFormat="1" x14ac:dyDescent="0.25">
      <c r="A15" s="427" t="s">
        <v>493</v>
      </c>
      <c r="B15" s="110">
        <v>25000000</v>
      </c>
      <c r="C15" s="398"/>
      <c r="D15" s="600"/>
      <c r="E15" s="601"/>
      <c r="F15" s="601"/>
      <c r="G15" s="601"/>
      <c r="H15" s="602"/>
      <c r="I15" s="390"/>
      <c r="J15" s="390"/>
      <c r="K15" s="390"/>
    </row>
    <row r="16" spans="1:11" s="222" customFormat="1" x14ac:dyDescent="0.25">
      <c r="A16" s="223" t="s">
        <v>565</v>
      </c>
      <c r="B16" s="110">
        <f>+B11+B13+B14+B15</f>
        <v>874313900</v>
      </c>
      <c r="C16" s="398"/>
      <c r="D16" s="600"/>
      <c r="E16" s="601"/>
      <c r="F16" s="601"/>
      <c r="G16" s="601"/>
      <c r="H16" s="602"/>
      <c r="I16" s="390"/>
      <c r="J16" s="390"/>
      <c r="K16" s="390"/>
    </row>
    <row r="17" spans="1:12" x14ac:dyDescent="0.25">
      <c r="D17" s="600"/>
      <c r="E17" s="601"/>
      <c r="F17" s="601"/>
      <c r="G17" s="601"/>
      <c r="H17" s="602"/>
      <c r="I17" s="390"/>
      <c r="J17" s="390"/>
      <c r="K17" s="390"/>
    </row>
    <row r="18" spans="1:12" ht="21" x14ac:dyDescent="0.35">
      <c r="A18" s="103" t="s">
        <v>453</v>
      </c>
      <c r="C18" s="89"/>
      <c r="D18" s="600"/>
      <c r="E18" s="601"/>
      <c r="F18" s="601"/>
      <c r="G18" s="601"/>
      <c r="H18" s="602"/>
      <c r="I18" s="390"/>
      <c r="J18" s="390"/>
      <c r="K18" s="390"/>
    </row>
    <row r="19" spans="1:12" x14ac:dyDescent="0.25">
      <c r="A19" s="88" t="s">
        <v>454</v>
      </c>
      <c r="B19" s="105">
        <v>0.5</v>
      </c>
      <c r="C19" s="94"/>
      <c r="D19" s="600"/>
      <c r="E19" s="601"/>
      <c r="F19" s="601"/>
      <c r="G19" s="601"/>
      <c r="H19" s="602"/>
      <c r="I19" s="390"/>
      <c r="J19" s="390"/>
      <c r="K19" s="390"/>
    </row>
    <row r="20" spans="1:12" x14ac:dyDescent="0.25">
      <c r="A20" s="88" t="s">
        <v>422</v>
      </c>
      <c r="B20" s="105">
        <v>0.3</v>
      </c>
      <c r="C20" s="95"/>
      <c r="D20" s="603"/>
      <c r="E20" s="604"/>
      <c r="F20" s="604"/>
      <c r="G20" s="604"/>
      <c r="H20" s="605"/>
      <c r="I20" s="390"/>
      <c r="J20" s="390"/>
      <c r="K20" s="390"/>
    </row>
    <row r="21" spans="1:12" x14ac:dyDescent="0.25">
      <c r="D21" s="390"/>
      <c r="E21" s="390"/>
      <c r="F21" s="390"/>
      <c r="G21" s="390"/>
      <c r="H21" s="390"/>
      <c r="I21" s="390"/>
      <c r="J21" s="390"/>
      <c r="K21" s="390"/>
    </row>
    <row r="22" spans="1:12" ht="21" x14ac:dyDescent="0.35">
      <c r="A22" s="103" t="s">
        <v>456</v>
      </c>
      <c r="H22" s="222"/>
      <c r="I22" s="222"/>
      <c r="J22" s="222"/>
      <c r="K22" s="222"/>
    </row>
    <row r="23" spans="1:12" x14ac:dyDescent="0.25">
      <c r="B23" s="96" t="s">
        <v>249</v>
      </c>
      <c r="C23" s="96" t="s">
        <v>250</v>
      </c>
      <c r="D23" s="96" t="s">
        <v>336</v>
      </c>
      <c r="E23" s="96" t="s">
        <v>379</v>
      </c>
      <c r="F23" s="96" t="s">
        <v>380</v>
      </c>
      <c r="H23" s="222"/>
      <c r="I23" s="222"/>
      <c r="J23" s="222"/>
      <c r="K23" s="222"/>
    </row>
    <row r="24" spans="1:12" x14ac:dyDescent="0.25">
      <c r="A24" s="88" t="s">
        <v>455</v>
      </c>
      <c r="B24" s="106">
        <v>0.2</v>
      </c>
      <c r="C24" s="106">
        <v>0.3</v>
      </c>
      <c r="D24" s="106">
        <v>0.4</v>
      </c>
      <c r="E24" s="106">
        <v>0.5</v>
      </c>
      <c r="F24" s="106">
        <v>0.6</v>
      </c>
      <c r="G24" s="204"/>
      <c r="H24" s="222"/>
      <c r="I24" s="222"/>
      <c r="J24" s="222"/>
      <c r="K24" s="222"/>
    </row>
    <row r="25" spans="1:12" x14ac:dyDescent="0.25">
      <c r="A25" s="88" t="s">
        <v>361</v>
      </c>
      <c r="B25" s="106">
        <v>1</v>
      </c>
      <c r="C25" s="106">
        <v>1.2</v>
      </c>
      <c r="D25" s="106">
        <v>1.5</v>
      </c>
      <c r="E25" s="160">
        <v>2</v>
      </c>
      <c r="F25" s="224">
        <v>3</v>
      </c>
      <c r="G25" s="204"/>
      <c r="H25" s="222"/>
      <c r="I25" s="222"/>
      <c r="J25" s="222"/>
      <c r="K25" s="222"/>
    </row>
    <row r="26" spans="1:12" x14ac:dyDescent="0.25">
      <c r="F26" s="89"/>
      <c r="I26" s="89"/>
      <c r="J26" s="89"/>
      <c r="K26" s="89"/>
      <c r="L26" s="89"/>
    </row>
    <row r="27" spans="1:12" ht="21" x14ac:dyDescent="0.35">
      <c r="A27" s="103" t="s">
        <v>457</v>
      </c>
      <c r="B27" s="89"/>
      <c r="C27" s="89"/>
      <c r="D27" s="89"/>
      <c r="E27" s="97"/>
      <c r="F27" s="90"/>
      <c r="I27" s="89"/>
      <c r="J27" s="223"/>
      <c r="K27" s="223"/>
      <c r="L27" s="91"/>
    </row>
    <row r="28" spans="1:12" x14ac:dyDescent="0.25">
      <c r="A28" s="108" t="s">
        <v>458</v>
      </c>
      <c r="B28" s="111">
        <v>0</v>
      </c>
      <c r="C28" s="111">
        <v>1000</v>
      </c>
      <c r="D28" s="111">
        <v>3000</v>
      </c>
      <c r="E28" s="111">
        <v>5000</v>
      </c>
      <c r="F28" s="111">
        <v>9000</v>
      </c>
      <c r="G28" s="111">
        <v>12000</v>
      </c>
      <c r="H28" s="111">
        <v>15000</v>
      </c>
      <c r="I28" s="98"/>
      <c r="J28" s="223"/>
      <c r="K28" s="223"/>
      <c r="L28" s="89"/>
    </row>
    <row r="29" spans="1:12" ht="15" customHeight="1" x14ac:dyDescent="0.25">
      <c r="A29" s="108"/>
      <c r="B29" s="111">
        <v>1000</v>
      </c>
      <c r="C29" s="111">
        <v>3000</v>
      </c>
      <c r="D29" s="111">
        <v>5000</v>
      </c>
      <c r="E29" s="111">
        <v>9000</v>
      </c>
      <c r="F29" s="111">
        <v>12000</v>
      </c>
      <c r="G29" s="111">
        <v>15000</v>
      </c>
      <c r="H29" s="111"/>
      <c r="I29" s="98"/>
      <c r="J29" s="223"/>
      <c r="K29" s="223"/>
      <c r="L29" s="89"/>
    </row>
    <row r="30" spans="1:12" x14ac:dyDescent="0.25">
      <c r="A30" s="109" t="s">
        <v>362</v>
      </c>
      <c r="B30" s="145">
        <v>125</v>
      </c>
      <c r="C30" s="145">
        <v>350</v>
      </c>
      <c r="D30" s="145">
        <v>500</v>
      </c>
      <c r="E30" s="145">
        <v>600</v>
      </c>
      <c r="F30" s="145">
        <v>850</v>
      </c>
      <c r="G30" s="145">
        <v>1000</v>
      </c>
      <c r="H30" s="145">
        <v>1050</v>
      </c>
      <c r="I30" s="99"/>
      <c r="J30" s="223"/>
      <c r="K30" s="223"/>
      <c r="L30" s="89"/>
    </row>
    <row r="31" spans="1:12" x14ac:dyDescent="0.25">
      <c r="A31" s="89" t="s">
        <v>354</v>
      </c>
      <c r="B31" s="158">
        <v>99.4</v>
      </c>
      <c r="C31" s="107"/>
      <c r="D31" s="107"/>
      <c r="E31" s="107"/>
      <c r="F31" s="107"/>
      <c r="G31" s="107"/>
      <c r="H31" s="107"/>
      <c r="I31" s="89"/>
      <c r="J31" s="223"/>
      <c r="K31" s="223"/>
      <c r="L31" s="89"/>
    </row>
    <row r="32" spans="1:12" s="367" customFormat="1" x14ac:dyDescent="0.2">
      <c r="A32" s="364" t="str">
        <f>CONCATENATE("Indice IPC au 30 juin ",B5)</f>
        <v>Indice IPC au 30 juin 2021</v>
      </c>
      <c r="B32" s="365">
        <v>102.6</v>
      </c>
      <c r="C32" s="562"/>
      <c r="D32" s="366"/>
      <c r="E32" s="366"/>
      <c r="F32" s="366"/>
      <c r="G32" s="366"/>
      <c r="H32" s="366"/>
      <c r="I32" s="366"/>
      <c r="J32" s="366"/>
      <c r="K32" s="366"/>
      <c r="L32" s="366"/>
    </row>
    <row r="33" spans="1:12" x14ac:dyDescent="0.25">
      <c r="A33" s="89" t="s">
        <v>355</v>
      </c>
      <c r="B33" s="159">
        <f>+B30/$B$31*$B$32</f>
        <v>129.02414486921526</v>
      </c>
      <c r="C33" s="101">
        <f t="shared" ref="C33:H33" si="0">+C30/$B$31*$B$32</f>
        <v>361.26760563380276</v>
      </c>
      <c r="D33" s="101">
        <f t="shared" si="0"/>
        <v>516.09657947686105</v>
      </c>
      <c r="E33" s="101">
        <f t="shared" si="0"/>
        <v>619.31589537223329</v>
      </c>
      <c r="F33" s="101">
        <f t="shared" si="0"/>
        <v>877.36418511066393</v>
      </c>
      <c r="G33" s="101">
        <f t="shared" si="0"/>
        <v>1032.1931589537221</v>
      </c>
      <c r="H33" s="101">
        <f t="shared" si="0"/>
        <v>1083.8028169014083</v>
      </c>
      <c r="I33" s="89"/>
      <c r="J33" s="89"/>
      <c r="K33" s="89"/>
      <c r="L33" s="89"/>
    </row>
    <row r="35" spans="1:12" ht="21" x14ac:dyDescent="0.35">
      <c r="A35" s="103" t="s">
        <v>459</v>
      </c>
    </row>
    <row r="36" spans="1:12" x14ac:dyDescent="0.25">
      <c r="A36" s="222" t="s">
        <v>460</v>
      </c>
      <c r="B36" s="112">
        <v>0.27</v>
      </c>
    </row>
    <row r="37" spans="1:12" s="222" customFormat="1" x14ac:dyDescent="0.25"/>
    <row r="38" spans="1:12" ht="21" x14ac:dyDescent="0.35">
      <c r="A38" s="103" t="s">
        <v>463</v>
      </c>
      <c r="G38" s="92"/>
      <c r="H38" s="93"/>
      <c r="L38" s="92"/>
    </row>
    <row r="39" spans="1:12" x14ac:dyDescent="0.25">
      <c r="A39" s="102"/>
      <c r="B39" s="114" t="s">
        <v>311</v>
      </c>
      <c r="C39" s="114" t="s">
        <v>521</v>
      </c>
      <c r="E39" s="100" t="s">
        <v>468</v>
      </c>
      <c r="F39" s="100"/>
      <c r="G39" s="182">
        <v>4.5</v>
      </c>
      <c r="H39" s="169">
        <v>0.75</v>
      </c>
      <c r="I39" s="606" t="s">
        <v>466</v>
      </c>
      <c r="J39" s="607"/>
      <c r="K39" s="63">
        <f>DT!G306+DT!L306</f>
        <v>233966590.6985966</v>
      </c>
    </row>
    <row r="40" spans="1:12" x14ac:dyDescent="0.25">
      <c r="A40" s="222" t="s">
        <v>465</v>
      </c>
      <c r="B40" s="113">
        <v>8</v>
      </c>
      <c r="C40" s="96">
        <f>+H40</f>
        <v>0.75</v>
      </c>
      <c r="E40" s="100" t="s">
        <v>363</v>
      </c>
      <c r="F40" s="100"/>
      <c r="G40" s="115">
        <f>G39*H46</f>
        <v>177708842.86797121</v>
      </c>
      <c r="H40" s="157">
        <f>(IF(G40&gt;K40,H39,H39/K40*G40))</f>
        <v>0.75</v>
      </c>
      <c r="I40" s="606" t="s">
        <v>467</v>
      </c>
      <c r="J40" s="607"/>
      <c r="K40" s="63">
        <f>K39*H39</f>
        <v>175474943.02394745</v>
      </c>
    </row>
    <row r="41" spans="1:12" x14ac:dyDescent="0.25">
      <c r="A41" s="88" t="s">
        <v>464</v>
      </c>
      <c r="B41" s="113">
        <v>1</v>
      </c>
      <c r="C41" s="96">
        <f>+H40</f>
        <v>0.75</v>
      </c>
      <c r="K41" s="212"/>
    </row>
    <row r="43" spans="1:12" ht="21" x14ac:dyDescent="0.35">
      <c r="A43" s="103" t="s">
        <v>472</v>
      </c>
      <c r="H43" s="202"/>
    </row>
    <row r="44" spans="1:12" x14ac:dyDescent="0.25">
      <c r="A44" s="88" t="s">
        <v>470</v>
      </c>
      <c r="B44" s="534">
        <v>48</v>
      </c>
      <c r="C44" s="397" t="s">
        <v>471</v>
      </c>
    </row>
    <row r="45" spans="1:12" x14ac:dyDescent="0.25">
      <c r="A45" s="88" t="s">
        <v>469</v>
      </c>
      <c r="B45" s="534">
        <v>8</v>
      </c>
      <c r="C45" s="214"/>
      <c r="E45" s="180"/>
      <c r="I45" s="606" t="str">
        <f>CONCATENATE("PCS selon ",B7)</f>
        <v>PCS selon budget 2023</v>
      </c>
      <c r="J45" s="607"/>
      <c r="K45" s="63">
        <f>+B11</f>
        <v>796046500</v>
      </c>
    </row>
    <row r="46" spans="1:12" x14ac:dyDescent="0.25">
      <c r="A46" s="88" t="s">
        <v>476</v>
      </c>
      <c r="B46" s="373">
        <v>92.188000000000002</v>
      </c>
      <c r="E46" s="606" t="str">
        <f>CONCATENATE("Valeur du point ",B4)</f>
        <v>Valeur du point Acomptes 2023</v>
      </c>
      <c r="F46" s="608"/>
      <c r="G46" s="607"/>
      <c r="H46" s="63">
        <f>VPI!R306</f>
        <v>39490853.970660269</v>
      </c>
      <c r="I46" s="606" t="s">
        <v>478</v>
      </c>
      <c r="J46" s="607"/>
      <c r="K46" s="140">
        <v>810939700</v>
      </c>
    </row>
    <row r="47" spans="1:12" x14ac:dyDescent="0.25">
      <c r="A47" s="88" t="s">
        <v>378</v>
      </c>
      <c r="B47" s="533">
        <f>B46+K47</f>
        <v>92.188000000000002</v>
      </c>
      <c r="E47" s="606" t="s">
        <v>477</v>
      </c>
      <c r="F47" s="608"/>
      <c r="G47" s="607"/>
      <c r="H47" s="140">
        <v>37643742</v>
      </c>
      <c r="I47" s="606" t="s">
        <v>475</v>
      </c>
      <c r="J47" s="607"/>
      <c r="K47" s="100">
        <f>IF((K45/K46)&gt;(H46/H47),(K45-K46)/H46,0)</f>
        <v>0</v>
      </c>
    </row>
    <row r="48" spans="1:12" x14ac:dyDescent="0.25">
      <c r="A48" s="222"/>
      <c r="E48" s="609"/>
      <c r="F48" s="609"/>
      <c r="G48" s="609"/>
    </row>
    <row r="49" spans="1:12" ht="21" x14ac:dyDescent="0.35">
      <c r="A49" s="103" t="s">
        <v>462</v>
      </c>
      <c r="B49" s="371" t="s">
        <v>474</v>
      </c>
      <c r="C49" s="523" t="s">
        <v>491</v>
      </c>
      <c r="D49" s="371" t="s">
        <v>473</v>
      </c>
    </row>
    <row r="50" spans="1:12" x14ac:dyDescent="0.25">
      <c r="A50" s="88" t="s">
        <v>558</v>
      </c>
      <c r="B50" s="140">
        <v>6175701.6004849747</v>
      </c>
      <c r="C50" s="396">
        <f>D50-B50</f>
        <v>0</v>
      </c>
      <c r="D50" s="63">
        <f>'Péréquation directe'!H312</f>
        <v>6175701.6004849719</v>
      </c>
      <c r="L50" s="92"/>
    </row>
    <row r="51" spans="1:12" x14ac:dyDescent="0.25">
      <c r="A51" s="88" t="s">
        <v>461</v>
      </c>
      <c r="B51" s="140">
        <v>450000</v>
      </c>
      <c r="C51" s="421" t="s">
        <v>503</v>
      </c>
      <c r="D51" s="92"/>
      <c r="L51" s="92"/>
    </row>
    <row r="52" spans="1:12" s="222" customFormat="1" x14ac:dyDescent="0.25">
      <c r="B52" s="372"/>
    </row>
    <row r="53" spans="1:12" ht="21" x14ac:dyDescent="0.35">
      <c r="A53" s="116" t="s">
        <v>411</v>
      </c>
      <c r="B53" s="89"/>
      <c r="C53" s="89"/>
      <c r="D53" s="144"/>
      <c r="F53" s="144"/>
      <c r="G53" s="211"/>
      <c r="H53" s="118"/>
    </row>
    <row r="54" spans="1:12" s="222" customFormat="1" x14ac:dyDescent="0.25">
      <c r="A54" s="223" t="s">
        <v>479</v>
      </c>
      <c r="B54" s="63">
        <v>62118300</v>
      </c>
      <c r="C54" s="223"/>
      <c r="D54" s="144"/>
      <c r="F54" s="144"/>
      <c r="G54" s="211"/>
      <c r="H54" s="118"/>
    </row>
    <row r="55" spans="1:12" s="222" customFormat="1" x14ac:dyDescent="0.25">
      <c r="A55" s="223" t="s">
        <v>480</v>
      </c>
      <c r="B55" s="374">
        <v>1.4999999999999999E-2</v>
      </c>
      <c r="C55" s="223"/>
      <c r="D55" s="144"/>
      <c r="F55" s="144"/>
      <c r="G55" s="211"/>
      <c r="H55" s="118"/>
    </row>
    <row r="56" spans="1:12" x14ac:dyDescent="0.25">
      <c r="A56" s="89" t="str">
        <f>CONCATENATE("Montant de la facture ",B8)</f>
        <v>Montant de la facture 2023</v>
      </c>
      <c r="B56" s="63">
        <f>ROUND((B54*(1+B55)^(B8-2013)),0)</f>
        <v>72090823</v>
      </c>
      <c r="C56" s="89"/>
      <c r="D56" s="144"/>
      <c r="E56" s="89"/>
      <c r="F56" s="144"/>
      <c r="G56" s="211"/>
      <c r="H56" s="118"/>
    </row>
    <row r="57" spans="1:12" x14ac:dyDescent="0.25">
      <c r="A57" s="89"/>
      <c r="B57" s="375"/>
      <c r="C57" s="89"/>
      <c r="D57" s="144"/>
      <c r="E57" s="89"/>
      <c r="F57" s="144"/>
      <c r="G57" s="211"/>
      <c r="H57" s="118"/>
    </row>
    <row r="58" spans="1:12" x14ac:dyDescent="0.25">
      <c r="F58" s="144"/>
      <c r="G58" s="211"/>
      <c r="H58" s="118"/>
      <c r="I58" s="222"/>
      <c r="J58" s="222"/>
      <c r="K58" s="222"/>
    </row>
    <row r="59" spans="1:12" x14ac:dyDescent="0.25">
      <c r="F59" s="144"/>
    </row>
    <row r="60" spans="1:12" x14ac:dyDescent="0.25">
      <c r="A60" s="223"/>
      <c r="B60" s="223"/>
      <c r="F60" s="144"/>
    </row>
    <row r="61" spans="1:12" ht="21" x14ac:dyDescent="0.35">
      <c r="A61" s="116" t="s">
        <v>366</v>
      </c>
      <c r="F61" s="144"/>
    </row>
    <row r="62" spans="1:12" x14ac:dyDescent="0.25">
      <c r="A62" s="88" t="s">
        <v>333</v>
      </c>
      <c r="B62" s="88">
        <v>5621</v>
      </c>
      <c r="F62" s="144"/>
    </row>
    <row r="63" spans="1:12" x14ac:dyDescent="0.25">
      <c r="A63" s="88" t="s">
        <v>276</v>
      </c>
      <c r="B63" s="88">
        <v>5742</v>
      </c>
      <c r="F63" s="144"/>
    </row>
    <row r="64" spans="1:12" x14ac:dyDescent="0.25">
      <c r="A64" s="88" t="s">
        <v>224</v>
      </c>
      <c r="B64" s="88">
        <v>5401</v>
      </c>
      <c r="F64" s="144"/>
    </row>
    <row r="65" spans="1:2" x14ac:dyDescent="0.25">
      <c r="A65" s="88" t="s">
        <v>15</v>
      </c>
      <c r="B65" s="88">
        <v>5851</v>
      </c>
    </row>
    <row r="66" spans="1:2" x14ac:dyDescent="0.25">
      <c r="A66" s="88" t="s">
        <v>98</v>
      </c>
      <c r="B66" s="88">
        <v>5701</v>
      </c>
    </row>
    <row r="67" spans="1:2" x14ac:dyDescent="0.25">
      <c r="A67" s="88" t="s">
        <v>226</v>
      </c>
      <c r="B67" s="88">
        <v>5743</v>
      </c>
    </row>
    <row r="68" spans="1:2" x14ac:dyDescent="0.25">
      <c r="A68" s="88" t="s">
        <v>352</v>
      </c>
      <c r="B68" s="88">
        <v>5702</v>
      </c>
    </row>
    <row r="69" spans="1:2" x14ac:dyDescent="0.25">
      <c r="A69" s="88" t="s">
        <v>157</v>
      </c>
      <c r="B69" s="88">
        <v>5511</v>
      </c>
    </row>
    <row r="70" spans="1:2" x14ac:dyDescent="0.25">
      <c r="A70" s="88" t="s">
        <v>67</v>
      </c>
      <c r="B70" s="88">
        <v>5422</v>
      </c>
    </row>
    <row r="71" spans="1:2" x14ac:dyDescent="0.25">
      <c r="A71" s="88" t="s">
        <v>294</v>
      </c>
      <c r="B71" s="88">
        <v>5451</v>
      </c>
    </row>
    <row r="72" spans="1:2" x14ac:dyDescent="0.25">
      <c r="A72" s="88" t="s">
        <v>227</v>
      </c>
      <c r="B72" s="88">
        <v>5744</v>
      </c>
    </row>
    <row r="73" spans="1:2" x14ac:dyDescent="0.25">
      <c r="A73" s="88" t="s">
        <v>68</v>
      </c>
      <c r="B73" s="88">
        <v>5423</v>
      </c>
    </row>
    <row r="74" spans="1:2" x14ac:dyDescent="0.25">
      <c r="A74" s="88" t="s">
        <v>99</v>
      </c>
      <c r="B74" s="88">
        <v>5703</v>
      </c>
    </row>
    <row r="75" spans="1:2" x14ac:dyDescent="0.25">
      <c r="A75" s="88" t="s">
        <v>228</v>
      </c>
      <c r="B75" s="88">
        <v>5745</v>
      </c>
    </row>
    <row r="76" spans="1:2" x14ac:dyDescent="0.25">
      <c r="A76" s="88" t="s">
        <v>229</v>
      </c>
      <c r="B76" s="88">
        <v>5746</v>
      </c>
    </row>
    <row r="77" spans="1:2" x14ac:dyDescent="0.25">
      <c r="A77" s="88" t="s">
        <v>195</v>
      </c>
      <c r="B77" s="88">
        <v>5704</v>
      </c>
    </row>
    <row r="78" spans="1:2" x14ac:dyDescent="0.25">
      <c r="A78" s="88" t="s">
        <v>317</v>
      </c>
      <c r="B78" s="88">
        <v>5581</v>
      </c>
    </row>
    <row r="79" spans="1:2" x14ac:dyDescent="0.25">
      <c r="A79" s="88" t="s">
        <v>51</v>
      </c>
      <c r="B79" s="88">
        <v>5902</v>
      </c>
    </row>
    <row r="80" spans="1:2" x14ac:dyDescent="0.25">
      <c r="A80" s="88" t="s">
        <v>158</v>
      </c>
      <c r="B80" s="88">
        <v>5512</v>
      </c>
    </row>
    <row r="81" spans="1:2" x14ac:dyDescent="0.25">
      <c r="A81" s="88" t="s">
        <v>69</v>
      </c>
      <c r="B81" s="88">
        <v>5424</v>
      </c>
    </row>
    <row r="82" spans="1:2" x14ac:dyDescent="0.25">
      <c r="A82" s="88" t="s">
        <v>297</v>
      </c>
      <c r="B82" s="88">
        <v>5471</v>
      </c>
    </row>
    <row r="83" spans="1:2" x14ac:dyDescent="0.25">
      <c r="A83" s="88" t="s">
        <v>225</v>
      </c>
      <c r="B83" s="88">
        <v>5402</v>
      </c>
    </row>
    <row r="84" spans="1:2" x14ac:dyDescent="0.25">
      <c r="A84" s="88" t="s">
        <v>70</v>
      </c>
      <c r="B84" s="88">
        <v>5425</v>
      </c>
    </row>
    <row r="85" spans="1:2" x14ac:dyDescent="0.25">
      <c r="A85" s="88" t="s">
        <v>52</v>
      </c>
      <c r="B85" s="88">
        <v>5903</v>
      </c>
    </row>
    <row r="86" spans="1:2" x14ac:dyDescent="0.25">
      <c r="A86" s="88" t="s">
        <v>560</v>
      </c>
      <c r="B86" s="88">
        <v>5892</v>
      </c>
    </row>
    <row r="87" spans="1:2" x14ac:dyDescent="0.25">
      <c r="A87" s="88" t="s">
        <v>230</v>
      </c>
      <c r="B87" s="88">
        <v>5747</v>
      </c>
    </row>
    <row r="88" spans="1:2" x14ac:dyDescent="0.25">
      <c r="A88" s="88" t="s">
        <v>196</v>
      </c>
      <c r="B88" s="88">
        <v>5705</v>
      </c>
    </row>
    <row r="89" spans="1:2" x14ac:dyDescent="0.25">
      <c r="A89" s="88" t="s">
        <v>32</v>
      </c>
      <c r="B89" s="88">
        <v>5551</v>
      </c>
    </row>
    <row r="90" spans="1:2" x14ac:dyDescent="0.25">
      <c r="A90" s="88" t="s">
        <v>197</v>
      </c>
      <c r="B90" s="88">
        <v>5706</v>
      </c>
    </row>
    <row r="91" spans="1:2" x14ac:dyDescent="0.25">
      <c r="A91" s="88" t="s">
        <v>159</v>
      </c>
      <c r="B91" s="88">
        <v>5514</v>
      </c>
    </row>
    <row r="92" spans="1:2" x14ac:dyDescent="0.25">
      <c r="A92" s="88" t="s">
        <v>65</v>
      </c>
      <c r="B92" s="88">
        <v>5426</v>
      </c>
    </row>
    <row r="93" spans="1:2" x14ac:dyDescent="0.25">
      <c r="A93" s="88" t="s">
        <v>182</v>
      </c>
      <c r="B93" s="88">
        <v>5661</v>
      </c>
    </row>
    <row r="94" spans="1:2" x14ac:dyDescent="0.25">
      <c r="A94" s="88" t="s">
        <v>342</v>
      </c>
      <c r="B94" s="88">
        <v>5613</v>
      </c>
    </row>
    <row r="95" spans="1:2" x14ac:dyDescent="0.25">
      <c r="A95" s="88" t="s">
        <v>298</v>
      </c>
      <c r="B95" s="88">
        <v>5472</v>
      </c>
    </row>
    <row r="96" spans="1:2" x14ac:dyDescent="0.25">
      <c r="A96" s="88" t="s">
        <v>188</v>
      </c>
      <c r="B96" s="88">
        <v>5473</v>
      </c>
    </row>
    <row r="97" spans="1:2" x14ac:dyDescent="0.25">
      <c r="A97" s="88" t="s">
        <v>130</v>
      </c>
      <c r="B97" s="88">
        <v>5622</v>
      </c>
    </row>
    <row r="98" spans="1:2" x14ac:dyDescent="0.25">
      <c r="A98" s="88" t="s">
        <v>160</v>
      </c>
      <c r="B98" s="88">
        <v>5515</v>
      </c>
    </row>
    <row r="99" spans="1:2" x14ac:dyDescent="0.25">
      <c r="A99" s="88" t="s">
        <v>231</v>
      </c>
      <c r="B99" s="88">
        <v>5748</v>
      </c>
    </row>
    <row r="100" spans="1:2" x14ac:dyDescent="0.25">
      <c r="A100" s="88" t="s">
        <v>131</v>
      </c>
      <c r="B100" s="88">
        <v>5623</v>
      </c>
    </row>
    <row r="101" spans="1:2" x14ac:dyDescent="0.25">
      <c r="A101" s="88" t="s">
        <v>33</v>
      </c>
      <c r="B101" s="88">
        <v>5552</v>
      </c>
    </row>
    <row r="102" spans="1:2" x14ac:dyDescent="0.25">
      <c r="A102" s="88" t="s">
        <v>16</v>
      </c>
      <c r="B102" s="88">
        <v>5852</v>
      </c>
    </row>
    <row r="103" spans="1:2" x14ac:dyDescent="0.25">
      <c r="A103" s="88" t="s">
        <v>17</v>
      </c>
      <c r="B103" s="88">
        <v>5853</v>
      </c>
    </row>
    <row r="104" spans="1:2" x14ac:dyDescent="0.25">
      <c r="A104" s="88" t="s">
        <v>18</v>
      </c>
      <c r="B104" s="88">
        <v>5854</v>
      </c>
    </row>
    <row r="105" spans="1:2" x14ac:dyDescent="0.25">
      <c r="A105" s="88" t="s">
        <v>351</v>
      </c>
      <c r="B105" s="88">
        <v>5624</v>
      </c>
    </row>
    <row r="106" spans="1:2" x14ac:dyDescent="0.25">
      <c r="A106" s="88" t="s">
        <v>183</v>
      </c>
      <c r="B106" s="88">
        <v>5663</v>
      </c>
    </row>
    <row r="107" spans="1:2" x14ac:dyDescent="0.25">
      <c r="A107" s="88" t="s">
        <v>53</v>
      </c>
      <c r="B107" s="88">
        <v>5904</v>
      </c>
    </row>
    <row r="108" spans="1:2" x14ac:dyDescent="0.25">
      <c r="A108" s="88" t="s">
        <v>34</v>
      </c>
      <c r="B108" s="88">
        <v>5553</v>
      </c>
    </row>
    <row r="109" spans="1:2" x14ac:dyDescent="0.25">
      <c r="A109" s="88" t="s">
        <v>315</v>
      </c>
      <c r="B109" s="88">
        <v>5812</v>
      </c>
    </row>
    <row r="110" spans="1:2" x14ac:dyDescent="0.25">
      <c r="A110" s="88" t="s">
        <v>54</v>
      </c>
      <c r="B110" s="88">
        <v>5905</v>
      </c>
    </row>
    <row r="111" spans="1:2" x14ac:dyDescent="0.25">
      <c r="A111" s="88" t="s">
        <v>186</v>
      </c>
      <c r="B111" s="88">
        <v>5882</v>
      </c>
    </row>
    <row r="112" spans="1:2" x14ac:dyDescent="0.25">
      <c r="A112" s="88" t="s">
        <v>12</v>
      </c>
      <c r="B112" s="88">
        <v>5841</v>
      </c>
    </row>
    <row r="113" spans="1:2" x14ac:dyDescent="0.25">
      <c r="A113" s="88" t="s">
        <v>198</v>
      </c>
      <c r="B113" s="88">
        <v>5707</v>
      </c>
    </row>
    <row r="114" spans="1:2" x14ac:dyDescent="0.25">
      <c r="A114" s="88" t="s">
        <v>199</v>
      </c>
      <c r="B114" s="88">
        <v>5708</v>
      </c>
    </row>
    <row r="115" spans="1:2" x14ac:dyDescent="0.25">
      <c r="A115" s="88" t="s">
        <v>55</v>
      </c>
      <c r="B115" s="88">
        <v>5907</v>
      </c>
    </row>
    <row r="116" spans="1:2" x14ac:dyDescent="0.25">
      <c r="A116" s="88" t="s">
        <v>306</v>
      </c>
      <c r="B116" s="88">
        <v>5475</v>
      </c>
    </row>
    <row r="117" spans="1:2" x14ac:dyDescent="0.25">
      <c r="A117" s="88" t="s">
        <v>220</v>
      </c>
      <c r="B117" s="88">
        <v>5627</v>
      </c>
    </row>
    <row r="118" spans="1:2" x14ac:dyDescent="0.25">
      <c r="A118" s="88" t="s">
        <v>85</v>
      </c>
      <c r="B118" s="88">
        <v>5665</v>
      </c>
    </row>
    <row r="119" spans="1:2" x14ac:dyDescent="0.25">
      <c r="A119" s="88" t="s">
        <v>232</v>
      </c>
      <c r="B119" s="88">
        <v>5749</v>
      </c>
    </row>
    <row r="120" spans="1:2" x14ac:dyDescent="0.25">
      <c r="A120" s="88" t="s">
        <v>56</v>
      </c>
      <c r="B120" s="88">
        <v>5908</v>
      </c>
    </row>
    <row r="121" spans="1:2" x14ac:dyDescent="0.25">
      <c r="A121" s="88" t="s">
        <v>57</v>
      </c>
      <c r="B121" s="88">
        <v>5909</v>
      </c>
    </row>
    <row r="122" spans="1:2" x14ac:dyDescent="0.25">
      <c r="A122" s="88" t="s">
        <v>318</v>
      </c>
      <c r="B122" s="88">
        <v>5582</v>
      </c>
    </row>
    <row r="123" spans="1:2" x14ac:dyDescent="0.25">
      <c r="A123" s="88" t="s">
        <v>200</v>
      </c>
      <c r="B123" s="88">
        <v>5709</v>
      </c>
    </row>
    <row r="124" spans="1:2" x14ac:dyDescent="0.25">
      <c r="A124" s="88" t="s">
        <v>100</v>
      </c>
      <c r="B124" s="88">
        <v>5403</v>
      </c>
    </row>
    <row r="125" spans="1:2" x14ac:dyDescent="0.25">
      <c r="A125" s="88" t="s">
        <v>307</v>
      </c>
      <c r="B125" s="88">
        <v>5476</v>
      </c>
    </row>
    <row r="126" spans="1:2" x14ac:dyDescent="0.25">
      <c r="A126" s="88" t="s">
        <v>316</v>
      </c>
      <c r="B126" s="88">
        <v>5813</v>
      </c>
    </row>
    <row r="127" spans="1:2" x14ac:dyDescent="0.25">
      <c r="A127" s="88" t="s">
        <v>253</v>
      </c>
      <c r="B127" s="88">
        <v>5601</v>
      </c>
    </row>
    <row r="128" spans="1:2" x14ac:dyDescent="0.25">
      <c r="A128" s="88" t="s">
        <v>221</v>
      </c>
      <c r="B128" s="88">
        <v>5628</v>
      </c>
    </row>
    <row r="129" spans="1:2" x14ac:dyDescent="0.25">
      <c r="A129" s="88" t="s">
        <v>134</v>
      </c>
      <c r="B129" s="88">
        <v>5629</v>
      </c>
    </row>
    <row r="130" spans="1:2" x14ac:dyDescent="0.25">
      <c r="A130" s="88" t="s">
        <v>201</v>
      </c>
      <c r="B130" s="88">
        <v>5710</v>
      </c>
    </row>
    <row r="131" spans="1:2" x14ac:dyDescent="0.25">
      <c r="A131" s="88" t="s">
        <v>202</v>
      </c>
      <c r="B131" s="88">
        <v>5711</v>
      </c>
    </row>
    <row r="132" spans="1:2" x14ac:dyDescent="0.25">
      <c r="A132" s="88" t="s">
        <v>35</v>
      </c>
      <c r="B132" s="88">
        <v>5554</v>
      </c>
    </row>
    <row r="133" spans="1:2" x14ac:dyDescent="0.25">
      <c r="A133" s="88" t="s">
        <v>203</v>
      </c>
      <c r="B133" s="88">
        <v>5712</v>
      </c>
    </row>
    <row r="134" spans="1:2" x14ac:dyDescent="0.25">
      <c r="A134" s="88" t="s">
        <v>101</v>
      </c>
      <c r="B134" s="88">
        <v>5404</v>
      </c>
    </row>
    <row r="135" spans="1:2" x14ac:dyDescent="0.25">
      <c r="A135" s="88" t="s">
        <v>239</v>
      </c>
      <c r="B135" s="88">
        <v>5785</v>
      </c>
    </row>
    <row r="136" spans="1:2" x14ac:dyDescent="0.25">
      <c r="A136" s="88" t="s">
        <v>36</v>
      </c>
      <c r="B136" s="88">
        <v>5555</v>
      </c>
    </row>
    <row r="137" spans="1:2" x14ac:dyDescent="0.25">
      <c r="A137" s="88" t="s">
        <v>5</v>
      </c>
      <c r="B137" s="88">
        <v>5816</v>
      </c>
    </row>
    <row r="138" spans="1:2" x14ac:dyDescent="0.25">
      <c r="A138" s="88" t="s">
        <v>187</v>
      </c>
      <c r="B138" s="88">
        <v>5883</v>
      </c>
    </row>
    <row r="139" spans="1:2" x14ac:dyDescent="0.25">
      <c r="A139" s="88" t="s">
        <v>45</v>
      </c>
      <c r="B139" s="88">
        <v>5884</v>
      </c>
    </row>
    <row r="140" spans="1:2" x14ac:dyDescent="0.25">
      <c r="A140" s="88" t="s">
        <v>308</v>
      </c>
      <c r="B140" s="88">
        <v>5477</v>
      </c>
    </row>
    <row r="141" spans="1:2" x14ac:dyDescent="0.25">
      <c r="A141" s="88" t="s">
        <v>559</v>
      </c>
      <c r="B141" s="88">
        <v>5713</v>
      </c>
    </row>
    <row r="142" spans="1:2" x14ac:dyDescent="0.25">
      <c r="A142" s="88" t="s">
        <v>204</v>
      </c>
      <c r="B142" s="88">
        <v>5714</v>
      </c>
    </row>
    <row r="143" spans="1:2" x14ac:dyDescent="0.25">
      <c r="A143" s="88" t="s">
        <v>319</v>
      </c>
      <c r="B143" s="88">
        <v>5583</v>
      </c>
    </row>
    <row r="144" spans="1:2" x14ac:dyDescent="0.25">
      <c r="A144" s="88" t="s">
        <v>58</v>
      </c>
      <c r="B144" s="88">
        <v>5910</v>
      </c>
    </row>
    <row r="145" spans="1:2" x14ac:dyDescent="0.25">
      <c r="A145" s="88" t="s">
        <v>280</v>
      </c>
      <c r="B145" s="88">
        <v>5752</v>
      </c>
    </row>
    <row r="146" spans="1:2" x14ac:dyDescent="0.25">
      <c r="A146" s="88" t="s">
        <v>214</v>
      </c>
      <c r="B146" s="88">
        <v>5479</v>
      </c>
    </row>
    <row r="147" spans="1:2" x14ac:dyDescent="0.25">
      <c r="A147" s="88" t="s">
        <v>59</v>
      </c>
      <c r="B147" s="88">
        <v>5911</v>
      </c>
    </row>
    <row r="148" spans="1:2" x14ac:dyDescent="0.25">
      <c r="A148" s="88" t="s">
        <v>295</v>
      </c>
      <c r="B148" s="88">
        <v>5456</v>
      </c>
    </row>
    <row r="149" spans="1:2" x14ac:dyDescent="0.25">
      <c r="A149" s="88" t="s">
        <v>161</v>
      </c>
      <c r="B149" s="88">
        <v>5516</v>
      </c>
    </row>
    <row r="150" spans="1:2" x14ac:dyDescent="0.25">
      <c r="A150" s="88" t="s">
        <v>86</v>
      </c>
      <c r="B150" s="88">
        <v>5669</v>
      </c>
    </row>
    <row r="151" spans="1:2" x14ac:dyDescent="0.25">
      <c r="A151" s="88" t="s">
        <v>215</v>
      </c>
      <c r="B151" s="88">
        <v>5480</v>
      </c>
    </row>
    <row r="152" spans="1:2" x14ac:dyDescent="0.25">
      <c r="A152" s="88" t="s">
        <v>60</v>
      </c>
      <c r="B152" s="88">
        <v>5912</v>
      </c>
    </row>
    <row r="153" spans="1:2" x14ac:dyDescent="0.25">
      <c r="A153" s="88" t="s">
        <v>135</v>
      </c>
      <c r="B153" s="88">
        <v>5631</v>
      </c>
    </row>
    <row r="154" spans="1:2" x14ac:dyDescent="0.25">
      <c r="A154" s="88" t="s">
        <v>136</v>
      </c>
      <c r="B154" s="88">
        <v>5632</v>
      </c>
    </row>
    <row r="155" spans="1:2" x14ac:dyDescent="0.25">
      <c r="A155" s="88" t="s">
        <v>216</v>
      </c>
      <c r="B155" s="88">
        <v>5481</v>
      </c>
    </row>
    <row r="156" spans="1:2" x14ac:dyDescent="0.25">
      <c r="A156" s="88" t="s">
        <v>87</v>
      </c>
      <c r="B156" s="88">
        <v>5671</v>
      </c>
    </row>
    <row r="157" spans="1:2" x14ac:dyDescent="0.25">
      <c r="A157" s="88" t="s">
        <v>61</v>
      </c>
      <c r="B157" s="88">
        <v>5913</v>
      </c>
    </row>
    <row r="158" spans="1:2" x14ac:dyDescent="0.25">
      <c r="A158" s="88" t="s">
        <v>205</v>
      </c>
      <c r="B158" s="88">
        <v>5715</v>
      </c>
    </row>
    <row r="159" spans="1:2" x14ac:dyDescent="0.25">
      <c r="A159" s="88" t="s">
        <v>19</v>
      </c>
      <c r="B159" s="88">
        <v>5855</v>
      </c>
    </row>
    <row r="160" spans="1:2" x14ac:dyDescent="0.25">
      <c r="A160" s="88" t="s">
        <v>162</v>
      </c>
      <c r="B160" s="88">
        <v>5518</v>
      </c>
    </row>
    <row r="161" spans="1:2" x14ac:dyDescent="0.25">
      <c r="A161" s="88" t="s">
        <v>137</v>
      </c>
      <c r="B161" s="88">
        <v>5633</v>
      </c>
    </row>
    <row r="162" spans="1:2" x14ac:dyDescent="0.25">
      <c r="A162" s="88" t="s">
        <v>138</v>
      </c>
      <c r="B162" s="88">
        <v>5634</v>
      </c>
    </row>
    <row r="163" spans="1:2" x14ac:dyDescent="0.25">
      <c r="A163" s="88" t="s">
        <v>217</v>
      </c>
      <c r="B163" s="88">
        <v>5482</v>
      </c>
    </row>
    <row r="164" spans="1:2" x14ac:dyDescent="0.25">
      <c r="A164" s="88" t="s">
        <v>139</v>
      </c>
      <c r="B164" s="88">
        <v>5635</v>
      </c>
    </row>
    <row r="165" spans="1:2" x14ac:dyDescent="0.25">
      <c r="A165" s="88" t="s">
        <v>320</v>
      </c>
      <c r="B165" s="88">
        <v>5584</v>
      </c>
    </row>
    <row r="166" spans="1:2" x14ac:dyDescent="0.25">
      <c r="A166" s="88" t="s">
        <v>62</v>
      </c>
      <c r="B166" s="88">
        <v>5914</v>
      </c>
    </row>
    <row r="167" spans="1:2" x14ac:dyDescent="0.25">
      <c r="A167" s="88" t="s">
        <v>20</v>
      </c>
      <c r="B167" s="88">
        <v>5856</v>
      </c>
    </row>
    <row r="168" spans="1:2" x14ac:dyDescent="0.25">
      <c r="A168" s="88" t="s">
        <v>163</v>
      </c>
      <c r="B168" s="88">
        <v>5520</v>
      </c>
    </row>
    <row r="169" spans="1:2" x14ac:dyDescent="0.25">
      <c r="A169" s="88" t="s">
        <v>164</v>
      </c>
      <c r="B169" s="88">
        <v>5521</v>
      </c>
    </row>
    <row r="170" spans="1:2" x14ac:dyDescent="0.25">
      <c r="A170" s="88" t="s">
        <v>140</v>
      </c>
      <c r="B170" s="88">
        <v>5636</v>
      </c>
    </row>
    <row r="171" spans="1:2" x14ac:dyDescent="0.25">
      <c r="A171" s="88" t="s">
        <v>206</v>
      </c>
      <c r="B171" s="88">
        <v>5716</v>
      </c>
    </row>
    <row r="172" spans="1:2" x14ac:dyDescent="0.25">
      <c r="A172" s="88" t="s">
        <v>296</v>
      </c>
      <c r="B172" s="88">
        <v>5458</v>
      </c>
    </row>
    <row r="173" spans="1:2" x14ac:dyDescent="0.25">
      <c r="A173" s="88" t="s">
        <v>289</v>
      </c>
      <c r="B173" s="88">
        <v>5427</v>
      </c>
    </row>
    <row r="174" spans="1:2" x14ac:dyDescent="0.25">
      <c r="A174" s="88" t="s">
        <v>125</v>
      </c>
      <c r="B174" s="88">
        <v>5483</v>
      </c>
    </row>
    <row r="175" spans="1:2" x14ac:dyDescent="0.25">
      <c r="A175" s="88" t="s">
        <v>165</v>
      </c>
      <c r="B175" s="88">
        <v>5522</v>
      </c>
    </row>
    <row r="176" spans="1:2" x14ac:dyDescent="0.25">
      <c r="A176" s="88" t="s">
        <v>37</v>
      </c>
      <c r="B176" s="88">
        <v>5556</v>
      </c>
    </row>
    <row r="177" spans="1:2" x14ac:dyDescent="0.25">
      <c r="A177" s="88" t="s">
        <v>38</v>
      </c>
      <c r="B177" s="88">
        <v>5557</v>
      </c>
    </row>
    <row r="178" spans="1:2" x14ac:dyDescent="0.25">
      <c r="A178" s="88" t="s">
        <v>128</v>
      </c>
      <c r="B178" s="88">
        <v>5604</v>
      </c>
    </row>
    <row r="179" spans="1:2" x14ac:dyDescent="0.25">
      <c r="A179" s="88" t="s">
        <v>207</v>
      </c>
      <c r="B179" s="88">
        <v>5717</v>
      </c>
    </row>
    <row r="180" spans="1:2" x14ac:dyDescent="0.25">
      <c r="A180" s="88" t="s">
        <v>166</v>
      </c>
      <c r="B180" s="88">
        <v>5523</v>
      </c>
    </row>
    <row r="181" spans="1:2" x14ac:dyDescent="0.25">
      <c r="A181" s="88" t="s">
        <v>208</v>
      </c>
      <c r="B181" s="88">
        <v>5718</v>
      </c>
    </row>
    <row r="182" spans="1:2" x14ac:dyDescent="0.25">
      <c r="A182" s="88" t="s">
        <v>39</v>
      </c>
      <c r="B182" s="88">
        <v>5559</v>
      </c>
    </row>
    <row r="183" spans="1:2" x14ac:dyDescent="0.25">
      <c r="A183" s="88" t="s">
        <v>21</v>
      </c>
      <c r="B183" s="88">
        <v>5857</v>
      </c>
    </row>
    <row r="184" spans="1:2" x14ac:dyDescent="0.25">
      <c r="A184" s="88" t="s">
        <v>290</v>
      </c>
      <c r="B184" s="88">
        <v>5428</v>
      </c>
    </row>
    <row r="185" spans="1:2" x14ac:dyDescent="0.25">
      <c r="A185" s="88" t="s">
        <v>209</v>
      </c>
      <c r="B185" s="88">
        <v>5719</v>
      </c>
    </row>
    <row r="186" spans="1:2" x14ac:dyDescent="0.25">
      <c r="A186" s="88" t="s">
        <v>210</v>
      </c>
      <c r="B186" s="88">
        <v>5720</v>
      </c>
    </row>
    <row r="187" spans="1:2" x14ac:dyDescent="0.25">
      <c r="A187" s="88" t="s">
        <v>211</v>
      </c>
      <c r="B187" s="88">
        <v>5721</v>
      </c>
    </row>
    <row r="188" spans="1:2" x14ac:dyDescent="0.25">
      <c r="A188" s="88" t="s">
        <v>126</v>
      </c>
      <c r="B188" s="88">
        <v>5484</v>
      </c>
    </row>
    <row r="189" spans="1:2" x14ac:dyDescent="0.25">
      <c r="A189" s="88" t="s">
        <v>345</v>
      </c>
      <c r="B189" s="88">
        <v>5541</v>
      </c>
    </row>
    <row r="190" spans="1:2" x14ac:dyDescent="0.25">
      <c r="A190" s="88" t="s">
        <v>127</v>
      </c>
      <c r="B190" s="88">
        <v>5485</v>
      </c>
    </row>
    <row r="191" spans="1:2" x14ac:dyDescent="0.25">
      <c r="A191" s="88" t="s">
        <v>6</v>
      </c>
      <c r="B191" s="88">
        <v>5817</v>
      </c>
    </row>
    <row r="192" spans="1:2" x14ac:dyDescent="0.25">
      <c r="A192" s="88" t="s">
        <v>40</v>
      </c>
      <c r="B192" s="88">
        <v>5560</v>
      </c>
    </row>
    <row r="193" spans="1:2" x14ac:dyDescent="0.25">
      <c r="A193" s="88" t="s">
        <v>41</v>
      </c>
      <c r="B193" s="88">
        <v>5561</v>
      </c>
    </row>
    <row r="194" spans="1:2" x14ac:dyDescent="0.25">
      <c r="A194" s="88" t="s">
        <v>212</v>
      </c>
      <c r="B194" s="88">
        <v>5722</v>
      </c>
    </row>
    <row r="195" spans="1:2" x14ac:dyDescent="0.25">
      <c r="A195" s="88" t="s">
        <v>102</v>
      </c>
      <c r="B195" s="88">
        <v>5405</v>
      </c>
    </row>
    <row r="196" spans="1:2" x14ac:dyDescent="0.25">
      <c r="A196" s="88" t="s">
        <v>397</v>
      </c>
      <c r="B196" s="88">
        <v>5656</v>
      </c>
    </row>
    <row r="197" spans="1:2" x14ac:dyDescent="0.25">
      <c r="A197" s="88" t="s">
        <v>7</v>
      </c>
      <c r="B197" s="88">
        <v>5819</v>
      </c>
    </row>
    <row r="198" spans="1:2" x14ac:dyDescent="0.25">
      <c r="A198" s="88" t="s">
        <v>88</v>
      </c>
      <c r="B198" s="88">
        <v>5673</v>
      </c>
    </row>
    <row r="199" spans="1:2" x14ac:dyDescent="0.25">
      <c r="A199" s="88" t="s">
        <v>46</v>
      </c>
      <c r="B199" s="88">
        <v>5885</v>
      </c>
    </row>
    <row r="200" spans="1:2" x14ac:dyDescent="0.25">
      <c r="A200" s="88" t="s">
        <v>347</v>
      </c>
      <c r="B200" s="88">
        <v>5804</v>
      </c>
    </row>
    <row r="201" spans="1:2" x14ac:dyDescent="0.25">
      <c r="A201" s="88" t="s">
        <v>374</v>
      </c>
      <c r="B201" s="88">
        <v>5806</v>
      </c>
    </row>
    <row r="202" spans="1:2" x14ac:dyDescent="0.25">
      <c r="A202" s="88" t="s">
        <v>321</v>
      </c>
      <c r="B202" s="88">
        <v>5585</v>
      </c>
    </row>
    <row r="203" spans="1:2" x14ac:dyDescent="0.25">
      <c r="A203" s="88" t="s">
        <v>281</v>
      </c>
      <c r="B203" s="88">
        <v>5754</v>
      </c>
    </row>
    <row r="204" spans="1:2" x14ac:dyDescent="0.25">
      <c r="A204" s="88" t="s">
        <v>189</v>
      </c>
      <c r="B204" s="88">
        <v>5474</v>
      </c>
    </row>
    <row r="205" spans="1:2" x14ac:dyDescent="0.25">
      <c r="A205" s="88" t="s">
        <v>192</v>
      </c>
      <c r="B205" s="88">
        <v>5758</v>
      </c>
    </row>
    <row r="206" spans="1:2" x14ac:dyDescent="0.25">
      <c r="A206" s="88" t="s">
        <v>268</v>
      </c>
      <c r="B206" s="88">
        <v>5726</v>
      </c>
    </row>
    <row r="207" spans="1:2" x14ac:dyDescent="0.25">
      <c r="A207" s="88" t="s">
        <v>153</v>
      </c>
      <c r="B207" s="88">
        <v>5498</v>
      </c>
    </row>
    <row r="208" spans="1:2" x14ac:dyDescent="0.25">
      <c r="A208" s="88" t="s">
        <v>48</v>
      </c>
      <c r="B208" s="88">
        <v>5889</v>
      </c>
    </row>
    <row r="209" spans="1:2" x14ac:dyDescent="0.25">
      <c r="A209" s="88" t="s">
        <v>28</v>
      </c>
      <c r="B209" s="88">
        <v>5871</v>
      </c>
    </row>
    <row r="210" spans="1:2" x14ac:dyDescent="0.25">
      <c r="A210" s="88" t="s">
        <v>275</v>
      </c>
      <c r="B210" s="88">
        <v>5741</v>
      </c>
    </row>
    <row r="211" spans="1:2" x14ac:dyDescent="0.25">
      <c r="A211" s="88" t="s">
        <v>108</v>
      </c>
      <c r="B211" s="88">
        <v>5586</v>
      </c>
    </row>
    <row r="212" spans="1:2" x14ac:dyDescent="0.25">
      <c r="A212" s="88" t="s">
        <v>103</v>
      </c>
      <c r="B212" s="88">
        <v>5406</v>
      </c>
    </row>
    <row r="213" spans="1:2" x14ac:dyDescent="0.25">
      <c r="A213" s="88" t="s">
        <v>141</v>
      </c>
      <c r="B213" s="88">
        <v>5637</v>
      </c>
    </row>
    <row r="214" spans="1:2" x14ac:dyDescent="0.25">
      <c r="A214" s="88" t="s">
        <v>184</v>
      </c>
      <c r="B214" s="88">
        <v>5872</v>
      </c>
    </row>
    <row r="215" spans="1:2" x14ac:dyDescent="0.25">
      <c r="A215" s="88" t="s">
        <v>185</v>
      </c>
      <c r="B215" s="88">
        <v>5873</v>
      </c>
    </row>
    <row r="216" spans="1:2" x14ac:dyDescent="0.25">
      <c r="A216" s="88" t="s">
        <v>109</v>
      </c>
      <c r="B216" s="88">
        <v>5587</v>
      </c>
    </row>
    <row r="217" spans="1:2" x14ac:dyDescent="0.25">
      <c r="A217" s="88" t="s">
        <v>273</v>
      </c>
      <c r="B217" s="88">
        <v>5731</v>
      </c>
    </row>
    <row r="218" spans="1:2" x14ac:dyDescent="0.25">
      <c r="A218" s="88" t="s">
        <v>233</v>
      </c>
      <c r="B218" s="88">
        <v>5750</v>
      </c>
    </row>
    <row r="219" spans="1:2" x14ac:dyDescent="0.25">
      <c r="A219" s="88" t="s">
        <v>104</v>
      </c>
      <c r="B219" s="88">
        <v>5407</v>
      </c>
    </row>
    <row r="220" spans="1:2" x14ac:dyDescent="0.25">
      <c r="A220" s="88" t="s">
        <v>282</v>
      </c>
      <c r="B220" s="88">
        <v>5755</v>
      </c>
    </row>
    <row r="221" spans="1:2" x14ac:dyDescent="0.25">
      <c r="A221" s="88" t="s">
        <v>0</v>
      </c>
      <c r="B221" s="88">
        <v>5486</v>
      </c>
    </row>
    <row r="222" spans="1:2" x14ac:dyDescent="0.25">
      <c r="A222" s="88" t="s">
        <v>142</v>
      </c>
      <c r="B222" s="88">
        <v>5638</v>
      </c>
    </row>
    <row r="223" spans="1:2" x14ac:dyDescent="0.25">
      <c r="A223" s="88" t="s">
        <v>302</v>
      </c>
      <c r="B223" s="88">
        <v>5429</v>
      </c>
    </row>
    <row r="224" spans="1:2" x14ac:dyDescent="0.25">
      <c r="A224" s="88" t="s">
        <v>89</v>
      </c>
      <c r="B224" s="88">
        <v>5674</v>
      </c>
    </row>
    <row r="225" spans="1:2" x14ac:dyDescent="0.25">
      <c r="A225" s="88" t="s">
        <v>90</v>
      </c>
      <c r="B225" s="88">
        <v>5675</v>
      </c>
    </row>
    <row r="226" spans="1:2" x14ac:dyDescent="0.25">
      <c r="A226" s="88" t="s">
        <v>22</v>
      </c>
      <c r="B226" s="88">
        <v>5858</v>
      </c>
    </row>
    <row r="227" spans="1:2" x14ac:dyDescent="0.25">
      <c r="A227" s="88" t="s">
        <v>143</v>
      </c>
      <c r="B227" s="88">
        <v>5639</v>
      </c>
    </row>
    <row r="228" spans="1:2" x14ac:dyDescent="0.25">
      <c r="A228" s="88" t="s">
        <v>1</v>
      </c>
      <c r="B228" s="88">
        <v>5487</v>
      </c>
    </row>
    <row r="229" spans="1:2" x14ac:dyDescent="0.25">
      <c r="A229" s="88" t="s">
        <v>144</v>
      </c>
      <c r="B229" s="88">
        <v>5640</v>
      </c>
    </row>
    <row r="230" spans="1:2" x14ac:dyDescent="0.25">
      <c r="A230" s="88" t="s">
        <v>129</v>
      </c>
      <c r="B230" s="88">
        <v>5606</v>
      </c>
    </row>
    <row r="231" spans="1:2" x14ac:dyDescent="0.25">
      <c r="A231" s="88" t="s">
        <v>240</v>
      </c>
      <c r="B231" s="88">
        <v>5790</v>
      </c>
    </row>
    <row r="232" spans="1:2" x14ac:dyDescent="0.25">
      <c r="A232" s="88" t="s">
        <v>303</v>
      </c>
      <c r="B232" s="88">
        <v>5430</v>
      </c>
    </row>
    <row r="233" spans="1:2" x14ac:dyDescent="0.25">
      <c r="A233" s="88" t="s">
        <v>322</v>
      </c>
      <c r="B233" s="88">
        <v>5919</v>
      </c>
    </row>
    <row r="234" spans="1:2" x14ac:dyDescent="0.25">
      <c r="A234" s="88" t="s">
        <v>42</v>
      </c>
      <c r="B234" s="88">
        <v>5562</v>
      </c>
    </row>
    <row r="235" spans="1:2" x14ac:dyDescent="0.25">
      <c r="A235" s="88" t="s">
        <v>2</v>
      </c>
      <c r="B235" s="88">
        <v>5488</v>
      </c>
    </row>
    <row r="236" spans="1:2" x14ac:dyDescent="0.25">
      <c r="A236" s="88" t="s">
        <v>3</v>
      </c>
      <c r="B236" s="88">
        <v>5489</v>
      </c>
    </row>
    <row r="237" spans="1:2" x14ac:dyDescent="0.25">
      <c r="A237" s="88" t="s">
        <v>213</v>
      </c>
      <c r="B237" s="88">
        <v>5723</v>
      </c>
    </row>
    <row r="238" spans="1:2" x14ac:dyDescent="0.25">
      <c r="A238" s="88" t="s">
        <v>8</v>
      </c>
      <c r="B238" s="88">
        <v>5821</v>
      </c>
    </row>
    <row r="239" spans="1:2" x14ac:dyDescent="0.25">
      <c r="A239" s="88" t="s">
        <v>4</v>
      </c>
      <c r="B239" s="88">
        <v>5490</v>
      </c>
    </row>
    <row r="240" spans="1:2" x14ac:dyDescent="0.25">
      <c r="A240" s="88" t="s">
        <v>304</v>
      </c>
      <c r="B240" s="88">
        <v>5431</v>
      </c>
    </row>
    <row r="241" spans="1:2" x14ac:dyDescent="0.25">
      <c r="A241" s="88" t="s">
        <v>323</v>
      </c>
      <c r="B241" s="88">
        <v>5921</v>
      </c>
    </row>
    <row r="242" spans="1:2" x14ac:dyDescent="0.25">
      <c r="A242" s="88" t="s">
        <v>234</v>
      </c>
      <c r="B242" s="88">
        <v>5922</v>
      </c>
    </row>
    <row r="243" spans="1:2" x14ac:dyDescent="0.25">
      <c r="A243" s="88" t="s">
        <v>353</v>
      </c>
      <c r="B243" s="88">
        <v>5693</v>
      </c>
    </row>
    <row r="244" spans="1:2" x14ac:dyDescent="0.25">
      <c r="A244" s="88" t="s">
        <v>283</v>
      </c>
      <c r="B244" s="88">
        <v>5756</v>
      </c>
    </row>
    <row r="245" spans="1:2" x14ac:dyDescent="0.25">
      <c r="A245" s="88" t="s">
        <v>346</v>
      </c>
      <c r="B245" s="88">
        <v>5540</v>
      </c>
    </row>
    <row r="246" spans="1:2" x14ac:dyDescent="0.25">
      <c r="A246" s="88" t="s">
        <v>147</v>
      </c>
      <c r="B246" s="88">
        <v>5491</v>
      </c>
    </row>
    <row r="247" spans="1:2" x14ac:dyDescent="0.25">
      <c r="A247" s="88" t="s">
        <v>241</v>
      </c>
      <c r="B247" s="88">
        <v>5792</v>
      </c>
    </row>
    <row r="248" spans="1:2" x14ac:dyDescent="0.25">
      <c r="A248" s="88" t="s">
        <v>47</v>
      </c>
      <c r="B248" s="88">
        <v>5886</v>
      </c>
    </row>
    <row r="249" spans="1:2" x14ac:dyDescent="0.25">
      <c r="A249" s="88" t="s">
        <v>148</v>
      </c>
      <c r="B249" s="88">
        <v>5492</v>
      </c>
    </row>
    <row r="250" spans="1:2" x14ac:dyDescent="0.25">
      <c r="A250" s="88" t="s">
        <v>23</v>
      </c>
      <c r="B250" s="88">
        <v>5859</v>
      </c>
    </row>
    <row r="251" spans="1:2" x14ac:dyDescent="0.25">
      <c r="A251" s="88" t="s">
        <v>145</v>
      </c>
      <c r="B251" s="88">
        <v>5642</v>
      </c>
    </row>
    <row r="252" spans="1:2" x14ac:dyDescent="0.25">
      <c r="A252" s="88" t="s">
        <v>167</v>
      </c>
      <c r="B252" s="88">
        <v>5527</v>
      </c>
    </row>
    <row r="253" spans="1:2" x14ac:dyDescent="0.25">
      <c r="A253" s="88" t="s">
        <v>91</v>
      </c>
      <c r="B253" s="88">
        <v>5678</v>
      </c>
    </row>
    <row r="254" spans="1:2" x14ac:dyDescent="0.25">
      <c r="A254" s="88" t="s">
        <v>244</v>
      </c>
      <c r="B254" s="88">
        <v>5563</v>
      </c>
    </row>
    <row r="255" spans="1:2" x14ac:dyDescent="0.25">
      <c r="A255" s="88" t="s">
        <v>245</v>
      </c>
      <c r="B255" s="88">
        <v>5564</v>
      </c>
    </row>
    <row r="256" spans="1:2" x14ac:dyDescent="0.25">
      <c r="A256" s="88" t="s">
        <v>105</v>
      </c>
      <c r="B256" s="88">
        <v>5408</v>
      </c>
    </row>
    <row r="257" spans="1:2" x14ac:dyDescent="0.25">
      <c r="A257" s="88" t="s">
        <v>63</v>
      </c>
      <c r="B257" s="88">
        <v>5724</v>
      </c>
    </row>
    <row r="258" spans="1:2" x14ac:dyDescent="0.25">
      <c r="A258" s="88" t="s">
        <v>92</v>
      </c>
      <c r="B258" s="88">
        <v>5680</v>
      </c>
    </row>
    <row r="259" spans="1:2" x14ac:dyDescent="0.25">
      <c r="A259" s="88" t="s">
        <v>106</v>
      </c>
      <c r="B259" s="88">
        <v>5409</v>
      </c>
    </row>
    <row r="260" spans="1:2" x14ac:dyDescent="0.25">
      <c r="A260" s="88" t="s">
        <v>246</v>
      </c>
      <c r="B260" s="88">
        <v>5565</v>
      </c>
    </row>
    <row r="261" spans="1:2" x14ac:dyDescent="0.25">
      <c r="A261" s="88" t="s">
        <v>235</v>
      </c>
      <c r="B261" s="88">
        <v>5923</v>
      </c>
    </row>
    <row r="262" spans="1:2" x14ac:dyDescent="0.25">
      <c r="A262" s="88" t="s">
        <v>284</v>
      </c>
      <c r="B262" s="88">
        <v>5757</v>
      </c>
    </row>
    <row r="263" spans="1:2" x14ac:dyDescent="0.25">
      <c r="A263" s="88" t="s">
        <v>236</v>
      </c>
      <c r="B263" s="88">
        <v>5924</v>
      </c>
    </row>
    <row r="264" spans="1:2" x14ac:dyDescent="0.25">
      <c r="A264" s="88" t="s">
        <v>116</v>
      </c>
      <c r="B264" s="88">
        <v>5410</v>
      </c>
    </row>
    <row r="265" spans="1:2" x14ac:dyDescent="0.25">
      <c r="A265" s="88" t="s">
        <v>117</v>
      </c>
      <c r="B265" s="88">
        <v>5411</v>
      </c>
    </row>
    <row r="266" spans="1:2" x14ac:dyDescent="0.25">
      <c r="A266" s="88" t="s">
        <v>149</v>
      </c>
      <c r="B266" s="88">
        <v>5493</v>
      </c>
    </row>
    <row r="267" spans="1:2" x14ac:dyDescent="0.25">
      <c r="A267" s="88" t="s">
        <v>349</v>
      </c>
      <c r="B267" s="88">
        <v>5805</v>
      </c>
    </row>
    <row r="268" spans="1:2" x14ac:dyDescent="0.25">
      <c r="A268" s="88" t="s">
        <v>327</v>
      </c>
      <c r="B268" s="88">
        <v>5925</v>
      </c>
    </row>
    <row r="269" spans="1:2" x14ac:dyDescent="0.25">
      <c r="A269" s="88" t="s">
        <v>168</v>
      </c>
      <c r="B269" s="88">
        <v>5529</v>
      </c>
    </row>
    <row r="270" spans="1:2" x14ac:dyDescent="0.25">
      <c r="A270" s="88" t="s">
        <v>169</v>
      </c>
      <c r="B270" s="88">
        <v>5530</v>
      </c>
    </row>
    <row r="271" spans="1:2" x14ac:dyDescent="0.25">
      <c r="A271" s="88" t="s">
        <v>110</v>
      </c>
      <c r="B271" s="88">
        <v>5588</v>
      </c>
    </row>
    <row r="272" spans="1:2" x14ac:dyDescent="0.25">
      <c r="A272" s="88" t="s">
        <v>9</v>
      </c>
      <c r="B272" s="88">
        <v>5822</v>
      </c>
    </row>
    <row r="273" spans="1:2" x14ac:dyDescent="0.25">
      <c r="A273" s="88" t="s">
        <v>150</v>
      </c>
      <c r="B273" s="88">
        <v>5495</v>
      </c>
    </row>
    <row r="274" spans="1:2" x14ac:dyDescent="0.25">
      <c r="A274" s="88" t="s">
        <v>151</v>
      </c>
      <c r="B274" s="88">
        <v>5496</v>
      </c>
    </row>
    <row r="275" spans="1:2" x14ac:dyDescent="0.25">
      <c r="A275" s="88" t="s">
        <v>170</v>
      </c>
      <c r="B275" s="88">
        <v>5531</v>
      </c>
    </row>
    <row r="276" spans="1:2" x14ac:dyDescent="0.25">
      <c r="A276" s="88" t="s">
        <v>24</v>
      </c>
      <c r="B276" s="88">
        <v>5860</v>
      </c>
    </row>
    <row r="277" spans="1:2" x14ac:dyDescent="0.25">
      <c r="A277" s="88" t="s">
        <v>171</v>
      </c>
      <c r="B277" s="88">
        <v>5533</v>
      </c>
    </row>
    <row r="278" spans="1:2" x14ac:dyDescent="0.25">
      <c r="A278" s="88" t="s">
        <v>152</v>
      </c>
      <c r="B278" s="88">
        <v>5497</v>
      </c>
    </row>
    <row r="279" spans="1:2" x14ac:dyDescent="0.25">
      <c r="A279" s="88" t="s">
        <v>328</v>
      </c>
      <c r="B279" s="88">
        <v>5926</v>
      </c>
    </row>
    <row r="280" spans="1:2" x14ac:dyDescent="0.25">
      <c r="A280" s="88" t="s">
        <v>64</v>
      </c>
      <c r="B280" s="88">
        <v>5725</v>
      </c>
    </row>
    <row r="281" spans="1:2" x14ac:dyDescent="0.25">
      <c r="A281" s="88" t="s">
        <v>193</v>
      </c>
      <c r="B281" s="88">
        <v>5759</v>
      </c>
    </row>
    <row r="282" spans="1:2" x14ac:dyDescent="0.25">
      <c r="A282" s="88" t="s">
        <v>146</v>
      </c>
      <c r="B282" s="88">
        <v>5643</v>
      </c>
    </row>
    <row r="283" spans="1:2" x14ac:dyDescent="0.25">
      <c r="A283" s="88" t="s">
        <v>93</v>
      </c>
      <c r="B283" s="88">
        <v>5683</v>
      </c>
    </row>
    <row r="284" spans="1:2" x14ac:dyDescent="0.25">
      <c r="A284" s="88" t="s">
        <v>111</v>
      </c>
      <c r="B284" s="88">
        <v>5589</v>
      </c>
    </row>
    <row r="285" spans="1:2" x14ac:dyDescent="0.25">
      <c r="A285" s="88" t="s">
        <v>247</v>
      </c>
      <c r="B285" s="88">
        <v>5566</v>
      </c>
    </row>
    <row r="286" spans="1:2" x14ac:dyDescent="0.25">
      <c r="A286" s="88" t="s">
        <v>255</v>
      </c>
      <c r="B286" s="88">
        <v>5607</v>
      </c>
    </row>
    <row r="287" spans="1:2" x14ac:dyDescent="0.25">
      <c r="A287" s="88" t="s">
        <v>112</v>
      </c>
      <c r="B287" s="88">
        <v>5590</v>
      </c>
    </row>
    <row r="288" spans="1:2" x14ac:dyDescent="0.25">
      <c r="A288" s="88" t="s">
        <v>194</v>
      </c>
      <c r="B288" s="88">
        <v>5760</v>
      </c>
    </row>
    <row r="289" spans="1:2" x14ac:dyDescent="0.25">
      <c r="A289" s="88" t="s">
        <v>324</v>
      </c>
      <c r="B289" s="88">
        <v>5591</v>
      </c>
    </row>
    <row r="290" spans="1:2" x14ac:dyDescent="0.25">
      <c r="A290" s="88" t="s">
        <v>118</v>
      </c>
      <c r="B290" s="88">
        <v>5412</v>
      </c>
    </row>
    <row r="291" spans="1:2" x14ac:dyDescent="0.25">
      <c r="A291" s="88" t="s">
        <v>114</v>
      </c>
      <c r="B291" s="88">
        <v>5609</v>
      </c>
    </row>
    <row r="292" spans="1:2" x14ac:dyDescent="0.25">
      <c r="A292" s="88" t="s">
        <v>119</v>
      </c>
      <c r="B292" s="88">
        <v>5413</v>
      </c>
    </row>
    <row r="293" spans="1:2" x14ac:dyDescent="0.25">
      <c r="A293" s="88" t="s">
        <v>25</v>
      </c>
      <c r="B293" s="88">
        <v>5861</v>
      </c>
    </row>
    <row r="294" spans="1:2" x14ac:dyDescent="0.25">
      <c r="A294" s="88" t="s">
        <v>121</v>
      </c>
      <c r="B294" s="88">
        <v>5761</v>
      </c>
    </row>
    <row r="295" spans="1:2" x14ac:dyDescent="0.25">
      <c r="A295" s="88" t="s">
        <v>191</v>
      </c>
      <c r="B295" s="88">
        <v>5592</v>
      </c>
    </row>
    <row r="296" spans="1:2" x14ac:dyDescent="0.25">
      <c r="A296" s="88" t="s">
        <v>262</v>
      </c>
      <c r="B296" s="88">
        <v>5645</v>
      </c>
    </row>
    <row r="297" spans="1:2" x14ac:dyDescent="0.25">
      <c r="A297" s="88" t="s">
        <v>242</v>
      </c>
      <c r="B297" s="88">
        <v>5798</v>
      </c>
    </row>
    <row r="298" spans="1:2" x14ac:dyDescent="0.25">
      <c r="A298" s="88" t="s">
        <v>94</v>
      </c>
      <c r="B298" s="88">
        <v>5684</v>
      </c>
    </row>
    <row r="299" spans="1:2" x14ac:dyDescent="0.25">
      <c r="A299" s="88" t="s">
        <v>13</v>
      </c>
      <c r="B299" s="88">
        <v>5842</v>
      </c>
    </row>
    <row r="300" spans="1:2" x14ac:dyDescent="0.25">
      <c r="A300" s="88" t="s">
        <v>14</v>
      </c>
      <c r="B300" s="88">
        <v>5843</v>
      </c>
    </row>
    <row r="301" spans="1:2" x14ac:dyDescent="0.25">
      <c r="A301" s="88" t="s">
        <v>329</v>
      </c>
      <c r="B301" s="88">
        <v>5928</v>
      </c>
    </row>
    <row r="302" spans="1:2" x14ac:dyDescent="0.25">
      <c r="A302" s="88" t="s">
        <v>172</v>
      </c>
      <c r="B302" s="88">
        <v>5534</v>
      </c>
    </row>
    <row r="303" spans="1:2" x14ac:dyDescent="0.25">
      <c r="A303" s="88" t="s">
        <v>29</v>
      </c>
      <c r="B303" s="88">
        <v>5535</v>
      </c>
    </row>
    <row r="304" spans="1:2" x14ac:dyDescent="0.25">
      <c r="A304" s="88" t="s">
        <v>269</v>
      </c>
      <c r="B304" s="88">
        <v>5727</v>
      </c>
    </row>
    <row r="305" spans="1:2" x14ac:dyDescent="0.25">
      <c r="A305" s="88" t="s">
        <v>107</v>
      </c>
      <c r="B305" s="88">
        <v>5568</v>
      </c>
    </row>
    <row r="306" spans="1:2" x14ac:dyDescent="0.25">
      <c r="A306" s="88" t="s">
        <v>305</v>
      </c>
      <c r="B306" s="88">
        <v>5434</v>
      </c>
    </row>
    <row r="307" spans="1:2" x14ac:dyDescent="0.25">
      <c r="A307" s="88" t="s">
        <v>291</v>
      </c>
      <c r="B307" s="88">
        <v>5435</v>
      </c>
    </row>
    <row r="308" spans="1:2" x14ac:dyDescent="0.25">
      <c r="A308" s="88" t="s">
        <v>292</v>
      </c>
      <c r="B308" s="88">
        <v>5436</v>
      </c>
    </row>
    <row r="309" spans="1:2" x14ac:dyDescent="0.25">
      <c r="A309" s="88" t="s">
        <v>263</v>
      </c>
      <c r="B309" s="88">
        <v>5646</v>
      </c>
    </row>
    <row r="310" spans="1:2" x14ac:dyDescent="0.25">
      <c r="A310" s="88" t="s">
        <v>264</v>
      </c>
      <c r="B310" s="88">
        <v>5648</v>
      </c>
    </row>
    <row r="311" spans="1:2" x14ac:dyDescent="0.25">
      <c r="A311" s="88" t="s">
        <v>293</v>
      </c>
      <c r="B311" s="88">
        <v>5437</v>
      </c>
    </row>
    <row r="312" spans="1:2" x14ac:dyDescent="0.25">
      <c r="A312" s="88" t="s">
        <v>252</v>
      </c>
      <c r="B312" s="88">
        <v>5611</v>
      </c>
    </row>
    <row r="313" spans="1:2" x14ac:dyDescent="0.25">
      <c r="A313" s="88" t="s">
        <v>154</v>
      </c>
      <c r="B313" s="88">
        <v>5499</v>
      </c>
    </row>
    <row r="314" spans="1:2" x14ac:dyDescent="0.25">
      <c r="A314" s="88" t="s">
        <v>122</v>
      </c>
      <c r="B314" s="88">
        <v>5762</v>
      </c>
    </row>
    <row r="315" spans="1:2" x14ac:dyDescent="0.25">
      <c r="A315" s="88" t="s">
        <v>243</v>
      </c>
      <c r="B315" s="88">
        <v>5799</v>
      </c>
    </row>
    <row r="316" spans="1:2" x14ac:dyDescent="0.25">
      <c r="A316" s="88" t="s">
        <v>270</v>
      </c>
      <c r="B316" s="88">
        <v>5728</v>
      </c>
    </row>
    <row r="317" spans="1:2" x14ac:dyDescent="0.25">
      <c r="A317" s="88" t="s">
        <v>115</v>
      </c>
      <c r="B317" s="88">
        <v>5610</v>
      </c>
    </row>
    <row r="318" spans="1:2" x14ac:dyDescent="0.25">
      <c r="A318" s="88" t="s">
        <v>330</v>
      </c>
      <c r="B318" s="88">
        <v>5929</v>
      </c>
    </row>
    <row r="319" spans="1:2" x14ac:dyDescent="0.25">
      <c r="A319" s="88" t="s">
        <v>155</v>
      </c>
      <c r="B319" s="88">
        <v>5501</v>
      </c>
    </row>
    <row r="320" spans="1:2" x14ac:dyDescent="0.25">
      <c r="A320" s="88" t="s">
        <v>331</v>
      </c>
      <c r="B320" s="88">
        <v>5930</v>
      </c>
    </row>
    <row r="321" spans="1:2" x14ac:dyDescent="0.25">
      <c r="A321" s="88" t="s">
        <v>95</v>
      </c>
      <c r="B321" s="88">
        <v>5688</v>
      </c>
    </row>
    <row r="322" spans="1:2" x14ac:dyDescent="0.25">
      <c r="A322" s="88" t="s">
        <v>271</v>
      </c>
      <c r="B322" s="88">
        <v>5729</v>
      </c>
    </row>
    <row r="323" spans="1:2" x14ac:dyDescent="0.25">
      <c r="A323" s="88" t="s">
        <v>26</v>
      </c>
      <c r="B323" s="88">
        <v>5862</v>
      </c>
    </row>
    <row r="324" spans="1:2" x14ac:dyDescent="0.25">
      <c r="A324" s="88" t="s">
        <v>343</v>
      </c>
      <c r="B324" s="88">
        <v>5571</v>
      </c>
    </row>
    <row r="325" spans="1:2" x14ac:dyDescent="0.25">
      <c r="A325" s="88" t="s">
        <v>265</v>
      </c>
      <c r="B325" s="88">
        <v>5649</v>
      </c>
    </row>
    <row r="326" spans="1:2" x14ac:dyDescent="0.25">
      <c r="A326" s="88" t="s">
        <v>272</v>
      </c>
      <c r="B326" s="88">
        <v>5730</v>
      </c>
    </row>
    <row r="327" spans="1:2" x14ac:dyDescent="0.25">
      <c r="A327" s="88" t="s">
        <v>10</v>
      </c>
      <c r="B327" s="88">
        <v>5827</v>
      </c>
    </row>
    <row r="328" spans="1:2" x14ac:dyDescent="0.25">
      <c r="A328" s="88" t="s">
        <v>332</v>
      </c>
      <c r="B328" s="88">
        <v>5931</v>
      </c>
    </row>
    <row r="329" spans="1:2" x14ac:dyDescent="0.25">
      <c r="A329" s="88" t="s">
        <v>373</v>
      </c>
      <c r="B329" s="88">
        <v>5828</v>
      </c>
    </row>
    <row r="330" spans="1:2" x14ac:dyDescent="0.25">
      <c r="A330" s="88" t="s">
        <v>237</v>
      </c>
      <c r="B330" s="88">
        <v>5932</v>
      </c>
    </row>
    <row r="331" spans="1:2" x14ac:dyDescent="0.25">
      <c r="A331" s="88" t="s">
        <v>348</v>
      </c>
      <c r="B331" s="88">
        <v>5831</v>
      </c>
    </row>
    <row r="332" spans="1:2" x14ac:dyDescent="0.25">
      <c r="A332" s="88" t="s">
        <v>325</v>
      </c>
      <c r="B332" s="88">
        <v>5933</v>
      </c>
    </row>
    <row r="333" spans="1:2" x14ac:dyDescent="0.25">
      <c r="A333" s="88" t="s">
        <v>123</v>
      </c>
      <c r="B333" s="88">
        <v>5763</v>
      </c>
    </row>
    <row r="334" spans="1:2" x14ac:dyDescent="0.25">
      <c r="A334" s="88" t="s">
        <v>326</v>
      </c>
      <c r="B334" s="88">
        <v>5934</v>
      </c>
    </row>
    <row r="335" spans="1:2" x14ac:dyDescent="0.25">
      <c r="A335" s="88" t="s">
        <v>285</v>
      </c>
      <c r="B335" s="88">
        <v>5764</v>
      </c>
    </row>
    <row r="336" spans="1:2" x14ac:dyDescent="0.25">
      <c r="A336" s="88" t="s">
        <v>286</v>
      </c>
      <c r="B336" s="88">
        <v>5765</v>
      </c>
    </row>
    <row r="337" spans="1:2" x14ac:dyDescent="0.25">
      <c r="A337" s="88" t="s">
        <v>266</v>
      </c>
      <c r="B337" s="88">
        <v>5650</v>
      </c>
    </row>
    <row r="338" spans="1:2" x14ac:dyDescent="0.25">
      <c r="A338" s="88" t="s">
        <v>49</v>
      </c>
      <c r="B338" s="88">
        <v>5890</v>
      </c>
    </row>
    <row r="339" spans="1:2" x14ac:dyDescent="0.25">
      <c r="A339" s="88" t="s">
        <v>50</v>
      </c>
      <c r="B339" s="88">
        <v>5891</v>
      </c>
    </row>
    <row r="340" spans="1:2" x14ac:dyDescent="0.25">
      <c r="A340" s="88" t="s">
        <v>274</v>
      </c>
      <c r="B340" s="88">
        <v>5732</v>
      </c>
    </row>
    <row r="341" spans="1:2" x14ac:dyDescent="0.25">
      <c r="A341" s="88" t="s">
        <v>254</v>
      </c>
      <c r="B341" s="88">
        <v>5935</v>
      </c>
    </row>
    <row r="342" spans="1:2" x14ac:dyDescent="0.25">
      <c r="A342" s="88" t="s">
        <v>96</v>
      </c>
      <c r="B342" s="88">
        <v>5690</v>
      </c>
    </row>
    <row r="343" spans="1:2" x14ac:dyDescent="0.25">
      <c r="A343" s="88" t="s">
        <v>30</v>
      </c>
      <c r="B343" s="88">
        <v>5537</v>
      </c>
    </row>
    <row r="344" spans="1:2" x14ac:dyDescent="0.25">
      <c r="A344" s="88" t="s">
        <v>267</v>
      </c>
      <c r="B344" s="88">
        <v>5651</v>
      </c>
    </row>
    <row r="345" spans="1:2" x14ac:dyDescent="0.25">
      <c r="A345" s="88" t="s">
        <v>178</v>
      </c>
      <c r="B345" s="88">
        <v>5652</v>
      </c>
    </row>
    <row r="346" spans="1:2" x14ac:dyDescent="0.25">
      <c r="A346" s="88" t="s">
        <v>11</v>
      </c>
      <c r="B346" s="88">
        <v>5830</v>
      </c>
    </row>
    <row r="347" spans="1:2" x14ac:dyDescent="0.25">
      <c r="A347" s="88" t="s">
        <v>120</v>
      </c>
      <c r="B347" s="88">
        <v>5414</v>
      </c>
    </row>
    <row r="348" spans="1:2" x14ac:dyDescent="0.25">
      <c r="A348" s="88" t="s">
        <v>27</v>
      </c>
      <c r="B348" s="88">
        <v>5863</v>
      </c>
    </row>
    <row r="349" spans="1:2" x14ac:dyDescent="0.25">
      <c r="A349" s="88" t="s">
        <v>31</v>
      </c>
      <c r="B349" s="88">
        <v>5539</v>
      </c>
    </row>
    <row r="350" spans="1:2" x14ac:dyDescent="0.25">
      <c r="A350" s="88" t="s">
        <v>97</v>
      </c>
      <c r="B350" s="88">
        <v>5692</v>
      </c>
    </row>
    <row r="351" spans="1:2" x14ac:dyDescent="0.25">
      <c r="A351" s="88" t="s">
        <v>156</v>
      </c>
      <c r="B351" s="88">
        <v>5503</v>
      </c>
    </row>
    <row r="352" spans="1:2" x14ac:dyDescent="0.25">
      <c r="A352" s="88" t="s">
        <v>179</v>
      </c>
      <c r="B352" s="88">
        <v>5653</v>
      </c>
    </row>
    <row r="353" spans="1:2" x14ac:dyDescent="0.25">
      <c r="A353" s="88" t="s">
        <v>238</v>
      </c>
      <c r="B353" s="88">
        <v>5937</v>
      </c>
    </row>
    <row r="354" spans="1:2" x14ac:dyDescent="0.25">
      <c r="A354" s="88" t="s">
        <v>287</v>
      </c>
      <c r="B354" s="88">
        <v>5766</v>
      </c>
    </row>
    <row r="355" spans="1:2" x14ac:dyDescent="0.25">
      <c r="A355" s="88" t="s">
        <v>314</v>
      </c>
      <c r="B355" s="88">
        <v>5803</v>
      </c>
    </row>
    <row r="356" spans="1:2" x14ac:dyDescent="0.25">
      <c r="A356" s="88" t="s">
        <v>180</v>
      </c>
      <c r="B356" s="88">
        <v>5654</v>
      </c>
    </row>
    <row r="357" spans="1:2" x14ac:dyDescent="0.25">
      <c r="A357" s="88" t="s">
        <v>344</v>
      </c>
      <c r="B357" s="88">
        <v>5464</v>
      </c>
    </row>
    <row r="358" spans="1:2" x14ac:dyDescent="0.25">
      <c r="A358" s="88" t="s">
        <v>181</v>
      </c>
      <c r="B358" s="88">
        <v>5655</v>
      </c>
    </row>
    <row r="359" spans="1:2" x14ac:dyDescent="0.25">
      <c r="A359" s="88" t="s">
        <v>133</v>
      </c>
      <c r="B359" s="88">
        <v>5938</v>
      </c>
    </row>
    <row r="360" spans="1:2" x14ac:dyDescent="0.25">
      <c r="A360" s="88" t="s">
        <v>132</v>
      </c>
      <c r="B360" s="88">
        <v>5939</v>
      </c>
    </row>
    <row r="361" spans="1:2" x14ac:dyDescent="0.25">
      <c r="A361" s="88" t="s">
        <v>66</v>
      </c>
      <c r="B361" s="88">
        <v>5415</v>
      </c>
    </row>
    <row r="371" spans="2:2" x14ac:dyDescent="0.25">
      <c r="B371" s="89"/>
    </row>
    <row r="372" spans="2:2" x14ac:dyDescent="0.25">
      <c r="B372" s="89"/>
    </row>
    <row r="373" spans="2:2" x14ac:dyDescent="0.25">
      <c r="B373" s="89"/>
    </row>
    <row r="374" spans="2:2" x14ac:dyDescent="0.25">
      <c r="B374" s="89"/>
    </row>
    <row r="375" spans="2:2" x14ac:dyDescent="0.25">
      <c r="B375" s="89"/>
    </row>
    <row r="376" spans="2:2" x14ac:dyDescent="0.25">
      <c r="B376" s="89"/>
    </row>
    <row r="377" spans="2:2" x14ac:dyDescent="0.25">
      <c r="B377" s="89"/>
    </row>
    <row r="378" spans="2:2" x14ac:dyDescent="0.25">
      <c r="B378" s="89"/>
    </row>
    <row r="379" spans="2:2" x14ac:dyDescent="0.25">
      <c r="B379" s="89"/>
    </row>
    <row r="380" spans="2:2" x14ac:dyDescent="0.25">
      <c r="B380" s="89"/>
    </row>
    <row r="381" spans="2:2" x14ac:dyDescent="0.25">
      <c r="B381" s="89"/>
    </row>
    <row r="382" spans="2:2" x14ac:dyDescent="0.25">
      <c r="B382" s="89"/>
    </row>
    <row r="383" spans="2:2" x14ac:dyDescent="0.25">
      <c r="B383" s="89"/>
    </row>
    <row r="384" spans="2:2" x14ac:dyDescent="0.25">
      <c r="B384" s="89"/>
    </row>
    <row r="385" spans="2:2" x14ac:dyDescent="0.25">
      <c r="B385" s="89"/>
    </row>
    <row r="386" spans="2:2" x14ac:dyDescent="0.25">
      <c r="B386" s="89"/>
    </row>
    <row r="387" spans="2:2" x14ac:dyDescent="0.25">
      <c r="B387" s="89"/>
    </row>
    <row r="388" spans="2:2" x14ac:dyDescent="0.25">
      <c r="B388" s="89"/>
    </row>
    <row r="389" spans="2:2" x14ac:dyDescent="0.25">
      <c r="B389" s="89"/>
    </row>
    <row r="390" spans="2:2" x14ac:dyDescent="0.25">
      <c r="B390" s="89"/>
    </row>
    <row r="391" spans="2:2" x14ac:dyDescent="0.25">
      <c r="B391" s="89"/>
    </row>
    <row r="392" spans="2:2" x14ac:dyDescent="0.25">
      <c r="B392" s="89"/>
    </row>
    <row r="393" spans="2:2" x14ac:dyDescent="0.25">
      <c r="B393" s="89"/>
    </row>
    <row r="394" spans="2:2" x14ac:dyDescent="0.25">
      <c r="B394" s="89"/>
    </row>
    <row r="395" spans="2:2" x14ac:dyDescent="0.25">
      <c r="B395" s="89"/>
    </row>
    <row r="396" spans="2:2" x14ac:dyDescent="0.25">
      <c r="B396" s="89"/>
    </row>
    <row r="397" spans="2:2" x14ac:dyDescent="0.25">
      <c r="B397" s="89"/>
    </row>
    <row r="398" spans="2:2" x14ac:dyDescent="0.25">
      <c r="B398" s="89"/>
    </row>
    <row r="399" spans="2:2" x14ac:dyDescent="0.25">
      <c r="B399" s="89"/>
    </row>
    <row r="400" spans="2:2" x14ac:dyDescent="0.25">
      <c r="B400" s="89"/>
    </row>
    <row r="401" spans="2:2" x14ac:dyDescent="0.25">
      <c r="B401" s="89"/>
    </row>
    <row r="402" spans="2:2" x14ac:dyDescent="0.25">
      <c r="B402" s="89"/>
    </row>
    <row r="403" spans="2:2" x14ac:dyDescent="0.25">
      <c r="B403" s="89"/>
    </row>
    <row r="404" spans="2:2" x14ac:dyDescent="0.25">
      <c r="B404" s="89"/>
    </row>
    <row r="405" spans="2:2" x14ac:dyDescent="0.25">
      <c r="B405" s="89"/>
    </row>
    <row r="406" spans="2:2" x14ac:dyDescent="0.25">
      <c r="B406" s="89"/>
    </row>
    <row r="407" spans="2:2" x14ac:dyDescent="0.25">
      <c r="B407" s="89"/>
    </row>
    <row r="408" spans="2:2" x14ac:dyDescent="0.25">
      <c r="B408" s="89"/>
    </row>
    <row r="409" spans="2:2" x14ac:dyDescent="0.25">
      <c r="B409" s="89"/>
    </row>
    <row r="410" spans="2:2" x14ac:dyDescent="0.25">
      <c r="B410" s="89"/>
    </row>
    <row r="411" spans="2:2" x14ac:dyDescent="0.25">
      <c r="B411" s="89"/>
    </row>
    <row r="412" spans="2:2" x14ac:dyDescent="0.25">
      <c r="B412" s="89"/>
    </row>
    <row r="413" spans="2:2" x14ac:dyDescent="0.25">
      <c r="B413" s="89"/>
    </row>
    <row r="414" spans="2:2" x14ac:dyDescent="0.25">
      <c r="B414" s="89"/>
    </row>
    <row r="415" spans="2:2" x14ac:dyDescent="0.25">
      <c r="B415" s="89"/>
    </row>
    <row r="416" spans="2:2" x14ac:dyDescent="0.25">
      <c r="B416" s="89"/>
    </row>
    <row r="417" spans="2:2" x14ac:dyDescent="0.25">
      <c r="B417" s="89"/>
    </row>
    <row r="418" spans="2:2" x14ac:dyDescent="0.25">
      <c r="B418" s="89"/>
    </row>
    <row r="419" spans="2:2" x14ac:dyDescent="0.25">
      <c r="B419" s="89"/>
    </row>
    <row r="420" spans="2:2" x14ac:dyDescent="0.25">
      <c r="B420" s="89"/>
    </row>
    <row r="421" spans="2:2" x14ac:dyDescent="0.25">
      <c r="B421" s="89"/>
    </row>
    <row r="422" spans="2:2" x14ac:dyDescent="0.25">
      <c r="B422" s="89"/>
    </row>
    <row r="423" spans="2:2" x14ac:dyDescent="0.25">
      <c r="B423" s="89"/>
    </row>
    <row r="424" spans="2:2" x14ac:dyDescent="0.25">
      <c r="B424" s="89"/>
    </row>
    <row r="425" spans="2:2" x14ac:dyDescent="0.25">
      <c r="B425" s="89"/>
    </row>
    <row r="426" spans="2:2" x14ac:dyDescent="0.25">
      <c r="B426" s="89"/>
    </row>
    <row r="427" spans="2:2" x14ac:dyDescent="0.25">
      <c r="B427" s="89"/>
    </row>
    <row r="428" spans="2:2" x14ac:dyDescent="0.25">
      <c r="B428" s="89"/>
    </row>
    <row r="429" spans="2:2" x14ac:dyDescent="0.25">
      <c r="B429" s="89"/>
    </row>
    <row r="430" spans="2:2" x14ac:dyDescent="0.25">
      <c r="B430" s="89"/>
    </row>
    <row r="431" spans="2:2" x14ac:dyDescent="0.25">
      <c r="B431" s="89"/>
    </row>
    <row r="432" spans="2:2" x14ac:dyDescent="0.25">
      <c r="B432" s="89"/>
    </row>
    <row r="433" spans="2:2" x14ac:dyDescent="0.25">
      <c r="B433" s="89"/>
    </row>
    <row r="434" spans="2:2" x14ac:dyDescent="0.25">
      <c r="B434" s="89"/>
    </row>
    <row r="435" spans="2:2" x14ac:dyDescent="0.25">
      <c r="B435" s="89"/>
    </row>
    <row r="436" spans="2:2" x14ac:dyDescent="0.25">
      <c r="B436" s="89"/>
    </row>
    <row r="437" spans="2:2" x14ac:dyDescent="0.25">
      <c r="B437" s="89"/>
    </row>
    <row r="438" spans="2:2" x14ac:dyDescent="0.25">
      <c r="B438" s="89"/>
    </row>
    <row r="439" spans="2:2" x14ac:dyDescent="0.25">
      <c r="B439" s="89"/>
    </row>
    <row r="440" spans="2:2" x14ac:dyDescent="0.25">
      <c r="B440" s="89"/>
    </row>
    <row r="441" spans="2:2" x14ac:dyDescent="0.25">
      <c r="B441" s="89"/>
    </row>
    <row r="442" spans="2:2" x14ac:dyDescent="0.25">
      <c r="B442" s="89"/>
    </row>
    <row r="443" spans="2:2" x14ac:dyDescent="0.25">
      <c r="B443" s="89"/>
    </row>
    <row r="444" spans="2:2" x14ac:dyDescent="0.25">
      <c r="B444" s="89"/>
    </row>
    <row r="445" spans="2:2" x14ac:dyDescent="0.25">
      <c r="B445" s="89"/>
    </row>
    <row r="446" spans="2:2" x14ac:dyDescent="0.25">
      <c r="B446" s="89"/>
    </row>
    <row r="447" spans="2:2" x14ac:dyDescent="0.25">
      <c r="B447" s="89"/>
    </row>
    <row r="448" spans="2:2" x14ac:dyDescent="0.25">
      <c r="B448" s="89"/>
    </row>
    <row r="449" spans="2:2" x14ac:dyDescent="0.25">
      <c r="B449" s="89"/>
    </row>
    <row r="450" spans="2:2" x14ac:dyDescent="0.25">
      <c r="B450" s="89"/>
    </row>
    <row r="451" spans="2:2" x14ac:dyDescent="0.25">
      <c r="B451" s="89"/>
    </row>
    <row r="452" spans="2:2" x14ac:dyDescent="0.25">
      <c r="B452" s="89"/>
    </row>
    <row r="453" spans="2:2" x14ac:dyDescent="0.25">
      <c r="B453" s="89"/>
    </row>
    <row r="454" spans="2:2" x14ac:dyDescent="0.25">
      <c r="B454" s="89"/>
    </row>
    <row r="455" spans="2:2" x14ac:dyDescent="0.25">
      <c r="B455" s="89"/>
    </row>
    <row r="456" spans="2:2" x14ac:dyDescent="0.25">
      <c r="B456" s="89"/>
    </row>
    <row r="457" spans="2:2" x14ac:dyDescent="0.25">
      <c r="B457" s="89"/>
    </row>
    <row r="458" spans="2:2" x14ac:dyDescent="0.25">
      <c r="B458" s="89"/>
    </row>
    <row r="459" spans="2:2" x14ac:dyDescent="0.25">
      <c r="B459" s="89"/>
    </row>
    <row r="460" spans="2:2" x14ac:dyDescent="0.25">
      <c r="B460" s="89"/>
    </row>
    <row r="461" spans="2:2" x14ac:dyDescent="0.25">
      <c r="B461" s="89"/>
    </row>
    <row r="462" spans="2:2" x14ac:dyDescent="0.25">
      <c r="B462" s="89"/>
    </row>
    <row r="463" spans="2:2" x14ac:dyDescent="0.25">
      <c r="B463" s="89"/>
    </row>
    <row r="464" spans="2:2" x14ac:dyDescent="0.25">
      <c r="B464" s="89"/>
    </row>
    <row r="465" spans="2:2" x14ac:dyDescent="0.25">
      <c r="B465" s="89"/>
    </row>
    <row r="466" spans="2:2" x14ac:dyDescent="0.25">
      <c r="B466" s="89"/>
    </row>
    <row r="467" spans="2:2" x14ac:dyDescent="0.25">
      <c r="B467" s="89"/>
    </row>
    <row r="468" spans="2:2" x14ac:dyDescent="0.25">
      <c r="B468" s="89"/>
    </row>
    <row r="469" spans="2:2" x14ac:dyDescent="0.25">
      <c r="B469" s="89"/>
    </row>
    <row r="470" spans="2:2" x14ac:dyDescent="0.25">
      <c r="B470" s="89"/>
    </row>
    <row r="471" spans="2:2" x14ac:dyDescent="0.25">
      <c r="B471" s="89"/>
    </row>
    <row r="472" spans="2:2" x14ac:dyDescent="0.25">
      <c r="B472" s="89"/>
    </row>
    <row r="473" spans="2:2" x14ac:dyDescent="0.25">
      <c r="B473" s="89"/>
    </row>
    <row r="474" spans="2:2" x14ac:dyDescent="0.25">
      <c r="B474" s="89"/>
    </row>
    <row r="475" spans="2:2" x14ac:dyDescent="0.25">
      <c r="B475" s="89"/>
    </row>
    <row r="476" spans="2:2" x14ac:dyDescent="0.25">
      <c r="B476" s="89"/>
    </row>
    <row r="477" spans="2:2" x14ac:dyDescent="0.25">
      <c r="B477" s="89"/>
    </row>
    <row r="478" spans="2:2" x14ac:dyDescent="0.25">
      <c r="B478" s="89"/>
    </row>
    <row r="479" spans="2:2" x14ac:dyDescent="0.25">
      <c r="B479" s="89"/>
    </row>
    <row r="480" spans="2:2" x14ac:dyDescent="0.25">
      <c r="B480" s="89"/>
    </row>
    <row r="481" spans="2:2" x14ac:dyDescent="0.25">
      <c r="B481" s="89"/>
    </row>
    <row r="482" spans="2:2" x14ac:dyDescent="0.25">
      <c r="B482" s="89"/>
    </row>
    <row r="483" spans="2:2" x14ac:dyDescent="0.25">
      <c r="B483" s="89"/>
    </row>
    <row r="484" spans="2:2" x14ac:dyDescent="0.25">
      <c r="B484" s="89"/>
    </row>
    <row r="485" spans="2:2" x14ac:dyDescent="0.25">
      <c r="B485" s="89"/>
    </row>
    <row r="486" spans="2:2" x14ac:dyDescent="0.25">
      <c r="B486" s="89"/>
    </row>
    <row r="487" spans="2:2" x14ac:dyDescent="0.25">
      <c r="B487" s="89"/>
    </row>
    <row r="488" spans="2:2" x14ac:dyDescent="0.25">
      <c r="B488" s="89"/>
    </row>
    <row r="489" spans="2:2" x14ac:dyDescent="0.25">
      <c r="B489" s="89"/>
    </row>
    <row r="490" spans="2:2" x14ac:dyDescent="0.25">
      <c r="B490" s="89"/>
    </row>
    <row r="491" spans="2:2" x14ac:dyDescent="0.25">
      <c r="B491" s="89"/>
    </row>
    <row r="492" spans="2:2" x14ac:dyDescent="0.25">
      <c r="B492" s="89"/>
    </row>
    <row r="493" spans="2:2" x14ac:dyDescent="0.25">
      <c r="B493" s="89"/>
    </row>
    <row r="494" spans="2:2" x14ac:dyDescent="0.25">
      <c r="B494" s="89"/>
    </row>
    <row r="495" spans="2:2" x14ac:dyDescent="0.25">
      <c r="B495" s="89"/>
    </row>
    <row r="496" spans="2:2" x14ac:dyDescent="0.25">
      <c r="B496" s="89"/>
    </row>
    <row r="497" spans="2:2" x14ac:dyDescent="0.25">
      <c r="B497" s="89"/>
    </row>
    <row r="498" spans="2:2" x14ac:dyDescent="0.25">
      <c r="B498" s="89"/>
    </row>
    <row r="499" spans="2:2" x14ac:dyDescent="0.25">
      <c r="B499" s="89"/>
    </row>
    <row r="500" spans="2:2" x14ac:dyDescent="0.25">
      <c r="B500" s="89"/>
    </row>
    <row r="501" spans="2:2" x14ac:dyDescent="0.25">
      <c r="B501" s="89"/>
    </row>
    <row r="502" spans="2:2" x14ac:dyDescent="0.25">
      <c r="B502" s="89"/>
    </row>
    <row r="503" spans="2:2" x14ac:dyDescent="0.25">
      <c r="B503" s="89"/>
    </row>
    <row r="504" spans="2:2" x14ac:dyDescent="0.25">
      <c r="B504" s="89"/>
    </row>
    <row r="505" spans="2:2" x14ac:dyDescent="0.25">
      <c r="B505" s="89"/>
    </row>
    <row r="506" spans="2:2" x14ac:dyDescent="0.25">
      <c r="B506" s="89"/>
    </row>
    <row r="507" spans="2:2" x14ac:dyDescent="0.25">
      <c r="B507" s="89"/>
    </row>
    <row r="508" spans="2:2" x14ac:dyDescent="0.25">
      <c r="B508" s="89"/>
    </row>
    <row r="509" spans="2:2" x14ac:dyDescent="0.25">
      <c r="B509" s="89"/>
    </row>
    <row r="510" spans="2:2" x14ac:dyDescent="0.25">
      <c r="B510" s="89"/>
    </row>
    <row r="511" spans="2:2" x14ac:dyDescent="0.25">
      <c r="B511" s="89"/>
    </row>
    <row r="512" spans="2:2" x14ac:dyDescent="0.25">
      <c r="B512" s="89"/>
    </row>
    <row r="513" spans="2:2" x14ac:dyDescent="0.25">
      <c r="B513" s="89"/>
    </row>
    <row r="514" spans="2:2" x14ac:dyDescent="0.25">
      <c r="B514" s="89"/>
    </row>
    <row r="515" spans="2:2" x14ac:dyDescent="0.25">
      <c r="B515" s="89"/>
    </row>
    <row r="516" spans="2:2" x14ac:dyDescent="0.25">
      <c r="B516" s="89"/>
    </row>
    <row r="517" spans="2:2" x14ac:dyDescent="0.25">
      <c r="B517" s="89"/>
    </row>
    <row r="518" spans="2:2" x14ac:dyDescent="0.25">
      <c r="B518" s="89"/>
    </row>
    <row r="519" spans="2:2" x14ac:dyDescent="0.25">
      <c r="B519" s="89"/>
    </row>
    <row r="520" spans="2:2" x14ac:dyDescent="0.25">
      <c r="B520" s="89"/>
    </row>
    <row r="521" spans="2:2" x14ac:dyDescent="0.25">
      <c r="B521" s="89"/>
    </row>
    <row r="522" spans="2:2" x14ac:dyDescent="0.25">
      <c r="B522" s="89"/>
    </row>
    <row r="523" spans="2:2" x14ac:dyDescent="0.25">
      <c r="B523" s="89"/>
    </row>
    <row r="524" spans="2:2" x14ac:dyDescent="0.25">
      <c r="B524" s="89"/>
    </row>
    <row r="525" spans="2:2" x14ac:dyDescent="0.25">
      <c r="B525" s="89"/>
    </row>
    <row r="526" spans="2:2" x14ac:dyDescent="0.25">
      <c r="B526" s="89"/>
    </row>
    <row r="527" spans="2:2" x14ac:dyDescent="0.25">
      <c r="B527" s="89"/>
    </row>
    <row r="528" spans="2:2" x14ac:dyDescent="0.25">
      <c r="B528" s="89"/>
    </row>
    <row r="529" spans="2:2" x14ac:dyDescent="0.25">
      <c r="B529" s="89"/>
    </row>
    <row r="530" spans="2:2" x14ac:dyDescent="0.25">
      <c r="B530" s="89"/>
    </row>
    <row r="531" spans="2:2" x14ac:dyDescent="0.25">
      <c r="B531" s="89"/>
    </row>
    <row r="532" spans="2:2" x14ac:dyDescent="0.25">
      <c r="B532" s="89"/>
    </row>
    <row r="533" spans="2:2" x14ac:dyDescent="0.25">
      <c r="B533" s="89"/>
    </row>
    <row r="534" spans="2:2" x14ac:dyDescent="0.25">
      <c r="B534" s="89"/>
    </row>
    <row r="535" spans="2:2" x14ac:dyDescent="0.25">
      <c r="B535" s="89"/>
    </row>
    <row r="536" spans="2:2" x14ac:dyDescent="0.25">
      <c r="B536" s="89"/>
    </row>
    <row r="537" spans="2:2" x14ac:dyDescent="0.25">
      <c r="B537" s="89"/>
    </row>
  </sheetData>
  <protectedRanges>
    <protectedRange sqref="C50" name="Plage7"/>
    <protectedRange sqref="B11:B16" name="Plage1_2"/>
    <protectedRange sqref="B5:B9" name="Plage1_1"/>
    <protectedRange sqref="B62:B370" name="Plage1_4"/>
    <protectedRange sqref="A62:A370" name="Plage1_3"/>
    <protectedRange sqref="A371:A400 B19:B20 B32 B44:B45 B50:B51 B40:B41 G39 B56 C45:F45 B24:F25 B36:B37" name="Plage1"/>
    <protectedRange sqref="B30:H30" name="Plage2"/>
  </protectedRanges>
  <sortState xmlns:xlrd2="http://schemas.microsoft.com/office/spreadsheetml/2017/richdata2" ref="A62:B361">
    <sortCondition ref="A62:A361"/>
  </sortState>
  <mergeCells count="10">
    <mergeCell ref="E48:G48"/>
    <mergeCell ref="I46:J46"/>
    <mergeCell ref="I47:J47"/>
    <mergeCell ref="E47:G47"/>
    <mergeCell ref="I45:J45"/>
    <mergeCell ref="C12:C14"/>
    <mergeCell ref="D4:H20"/>
    <mergeCell ref="I39:J39"/>
    <mergeCell ref="I40:J40"/>
    <mergeCell ref="E46:G46"/>
  </mergeCells>
  <phoneticPr fontId="21" type="noConversion"/>
  <conditionalFormatting sqref="C50">
    <cfRule type="cellIs" dxfId="11" priority="1" operator="between">
      <formula>0.0001</formula>
      <formula>-0.0001</formula>
    </cfRule>
  </conditionalFormatting>
  <hyperlinks>
    <hyperlink ref="B1" location="'Table des matières'!A1" display="← Précédent" xr:uid="{D2BA6053-0976-40F7-8227-05DFF461E239}"/>
    <hyperlink ref="C1" location="'Table des matières'!A1" display="Table des matières" xr:uid="{8B4C0576-AED6-4CBB-9B94-F0C9D36FE0A6}"/>
    <hyperlink ref="D1" location="Recherche!A1" display="Suivant →" xr:uid="{6A41D26C-1E16-43C0-9824-7CBF963FF2DC}"/>
  </hyperlinks>
  <printOptions horizontalCentered="1"/>
  <pageMargins left="0" right="0" top="0" bottom="0" header="0.51181102362204722" footer="0.51181102362204722"/>
  <pageSetup paperSize="9" orientation="portrait" horizontalDpi="1200" verticalDpi="1200"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2">
    <tabColor theme="3" tint="0.59999389629810485"/>
    <pageSetUpPr fitToPage="1"/>
  </sheetPr>
  <dimension ref="A1:L68"/>
  <sheetViews>
    <sheetView tabSelected="1" workbookViewId="0">
      <selection activeCell="C3" sqref="C3:E3"/>
    </sheetView>
  </sheetViews>
  <sheetFormatPr baseColWidth="10" defaultColWidth="10.875" defaultRowHeight="15" x14ac:dyDescent="0.25"/>
  <cols>
    <col min="1" max="1" width="3.375" style="88" customWidth="1"/>
    <col min="2" max="2" width="17.125" style="88" customWidth="1"/>
    <col min="3" max="4" width="12.75" style="88" customWidth="1"/>
    <col min="5" max="6" width="12.75" style="118" customWidth="1"/>
    <col min="7" max="8" width="11.75" style="88" bestFit="1" customWidth="1"/>
    <col min="9" max="9" width="11.5" style="88" customWidth="1"/>
    <col min="10" max="16384" width="10.875" style="88"/>
  </cols>
  <sheetData>
    <row r="1" spans="1:10" ht="26.25" x14ac:dyDescent="0.4">
      <c r="A1" s="278" t="s">
        <v>527</v>
      </c>
      <c r="B1" s="278"/>
      <c r="H1" s="303"/>
      <c r="I1" s="302"/>
      <c r="J1" s="303"/>
    </row>
    <row r="3" spans="1:10" s="119" customFormat="1" ht="26.25" x14ac:dyDescent="0.4">
      <c r="B3" s="122"/>
      <c r="C3" s="611"/>
      <c r="D3" s="611"/>
      <c r="E3" s="611"/>
      <c r="F3" s="120"/>
    </row>
    <row r="6" spans="1:10" ht="18.75" x14ac:dyDescent="0.3">
      <c r="B6" s="610" t="str">
        <f>Paramètres!B4</f>
        <v>Acomptes 2023</v>
      </c>
      <c r="C6" s="610"/>
      <c r="D6" s="610"/>
      <c r="E6" s="610"/>
      <c r="F6" s="610"/>
    </row>
    <row r="7" spans="1:10" s="148" customFormat="1" ht="18.75" x14ac:dyDescent="0.3">
      <c r="B7" s="610">
        <f>C3</f>
        <v>0</v>
      </c>
      <c r="C7" s="610"/>
      <c r="D7" s="610"/>
      <c r="E7" s="610"/>
      <c r="F7" s="610"/>
    </row>
    <row r="8" spans="1:10" s="148" customFormat="1" ht="12.75" x14ac:dyDescent="0.2">
      <c r="B8" s="155" t="e">
        <f>CONCATENATE("Population : ",VLOOKUP($B$7,Synthèse!B5:D304,3,FALSE))</f>
        <v>#N/A</v>
      </c>
      <c r="C8" s="146"/>
      <c r="D8" s="146"/>
      <c r="E8" s="147"/>
      <c r="F8" s="154" t="e">
        <f>CONCATENATE("N° OFS : ",VLOOKUP($B$7,Paramètres!A62:B361,2,FALSE))</f>
        <v>#N/A</v>
      </c>
    </row>
    <row r="9" spans="1:10" s="148" customFormat="1" ht="12.75" x14ac:dyDescent="0.2">
      <c r="B9" s="155" t="e">
        <f>CONCATENATE("Taux : ",VLOOKUP($B$7,Synthèse!B5:C304,2,FALSE))</f>
        <v>#N/A</v>
      </c>
      <c r="C9" s="146"/>
      <c r="D9" s="146"/>
      <c r="E9" s="147"/>
      <c r="F9" s="183" t="e">
        <f>CONCATENATE("Valeur du point d'impôt péréquatif : ",ROUND(VLOOKUP(B7,Ecrêtage!B6:M314,2,FALSE),0))</f>
        <v>#N/A</v>
      </c>
    </row>
    <row r="10" spans="1:10" s="148" customFormat="1" ht="12.75" x14ac:dyDescent="0.2">
      <c r="B10" s="146"/>
      <c r="C10" s="146"/>
      <c r="D10" s="146"/>
      <c r="E10" s="147"/>
      <c r="F10" s="183"/>
      <c r="H10" s="197"/>
      <c r="I10" s="197"/>
    </row>
    <row r="11" spans="1:10" ht="18" x14ac:dyDescent="0.35">
      <c r="B11" s="141" t="s">
        <v>416</v>
      </c>
      <c r="C11" s="67"/>
      <c r="D11" s="67"/>
      <c r="E11" s="121"/>
      <c r="F11" s="121"/>
    </row>
    <row r="12" spans="1:10" s="148" customFormat="1" ht="6" customHeight="1" x14ac:dyDescent="0.2">
      <c r="B12" s="146"/>
      <c r="C12" s="146"/>
      <c r="D12" s="146"/>
      <c r="E12" s="147"/>
      <c r="F12" s="147"/>
    </row>
    <row r="13" spans="1:10" s="148" customFormat="1" ht="12.75" x14ac:dyDescent="0.2">
      <c r="B13" s="153" t="s">
        <v>350</v>
      </c>
      <c r="C13" s="146"/>
      <c r="D13" s="146"/>
      <c r="E13" s="147"/>
      <c r="F13" s="147"/>
    </row>
    <row r="14" spans="1:10" s="148" customFormat="1" ht="12.75" x14ac:dyDescent="0.2">
      <c r="B14" s="146" t="s">
        <v>533</v>
      </c>
      <c r="C14" s="146"/>
      <c r="D14" s="146"/>
      <c r="E14" s="149" t="e">
        <f>VLOOKUP(C3,PCS!B12:E311,4,FALSE)*PCS!$E$11</f>
        <v>#N/A</v>
      </c>
      <c r="F14" s="147"/>
    </row>
    <row r="15" spans="1:10" s="148" customFormat="1" ht="12.75" x14ac:dyDescent="0.2">
      <c r="B15" s="146" t="s">
        <v>422</v>
      </c>
      <c r="C15" s="146"/>
      <c r="D15" s="146"/>
      <c r="E15" s="149" t="e">
        <f>VLOOKUP(C3,PCS!B12:D311,3,FALSE)*PCS!$D$11</f>
        <v>#N/A</v>
      </c>
      <c r="F15" s="147" t="e">
        <f>E14+E15</f>
        <v>#N/A</v>
      </c>
    </row>
    <row r="16" spans="1:10" s="148" customFormat="1" ht="6" customHeight="1" x14ac:dyDescent="0.2">
      <c r="B16" s="146"/>
      <c r="C16" s="146"/>
      <c r="D16" s="146"/>
      <c r="E16" s="147"/>
      <c r="F16" s="147"/>
    </row>
    <row r="17" spans="2:8" s="148" customFormat="1" ht="12.75" x14ac:dyDescent="0.2">
      <c r="B17" s="153" t="s">
        <v>365</v>
      </c>
      <c r="C17" s="146"/>
      <c r="D17" s="146"/>
      <c r="E17" s="147"/>
      <c r="F17" s="147"/>
    </row>
    <row r="18" spans="2:8" s="148" customFormat="1" ht="12.75" x14ac:dyDescent="0.2">
      <c r="B18" s="146" t="e">
        <f>CONCATENATE("Ecrêtage en points d'impôt: ",ROUND(VLOOKUP($C$3,Ecrêtage!B6:L305,11,FALSE),2))</f>
        <v>#N/A</v>
      </c>
      <c r="C18" s="146"/>
      <c r="D18" s="150"/>
      <c r="E18" s="147"/>
      <c r="F18" s="147" t="e">
        <f>VLOOKUP($C$3,Ecrêtage!B6:M305,12,FALSE)</f>
        <v>#N/A</v>
      </c>
    </row>
    <row r="19" spans="2:8" s="148" customFormat="1" ht="6" customHeight="1" x14ac:dyDescent="0.2">
      <c r="B19" s="146"/>
      <c r="C19" s="146"/>
      <c r="D19" s="146"/>
      <c r="E19" s="147"/>
      <c r="F19" s="147"/>
    </row>
    <row r="20" spans="2:8" s="148" customFormat="1" ht="12.75" x14ac:dyDescent="0.2">
      <c r="B20" s="153" t="s">
        <v>522</v>
      </c>
      <c r="C20" s="146"/>
      <c r="D20" s="146"/>
      <c r="E20" s="147"/>
      <c r="F20" s="147"/>
    </row>
    <row r="21" spans="2:8" s="148" customFormat="1" ht="12.75" x14ac:dyDescent="0.2">
      <c r="B21" s="146" t="str">
        <f>CONCATENATE("Solde en points d'impôt: ",ROUND(PCS!H11,2))</f>
        <v>Solde en points d'impôt: 12.7</v>
      </c>
      <c r="C21" s="146"/>
      <c r="D21" s="146"/>
      <c r="E21" s="147"/>
      <c r="F21" s="147"/>
    </row>
    <row r="22" spans="2:8" s="148" customFormat="1" ht="12.75" x14ac:dyDescent="0.2">
      <c r="B22" s="146" t="s">
        <v>369</v>
      </c>
      <c r="C22" s="146"/>
      <c r="D22" s="146"/>
      <c r="E22" s="147"/>
      <c r="F22" s="147" t="e">
        <f>VLOOKUP($C$3,PCS!B12:H311,7,FALSE)</f>
        <v>#N/A</v>
      </c>
      <c r="G22" s="230"/>
    </row>
    <row r="23" spans="2:8" s="148" customFormat="1" ht="6" customHeight="1" x14ac:dyDescent="0.2">
      <c r="B23" s="146"/>
      <c r="C23" s="146"/>
      <c r="D23" s="146"/>
      <c r="E23" s="147"/>
      <c r="F23" s="151"/>
    </row>
    <row r="24" spans="2:8" s="148" customFormat="1" ht="12.75" x14ac:dyDescent="0.2">
      <c r="B24" s="153" t="s">
        <v>382</v>
      </c>
      <c r="C24" s="146"/>
      <c r="D24" s="146"/>
      <c r="E24" s="147"/>
      <c r="F24" s="152" t="e">
        <f>F15+F18+F22</f>
        <v>#N/A</v>
      </c>
      <c r="G24" s="230"/>
      <c r="H24" s="230"/>
    </row>
    <row r="25" spans="2:8" s="148" customFormat="1" ht="6" customHeight="1" x14ac:dyDescent="0.2">
      <c r="B25" s="146"/>
      <c r="C25" s="146"/>
      <c r="D25" s="146"/>
      <c r="E25" s="147"/>
      <c r="F25" s="147"/>
    </row>
    <row r="26" spans="2:8" ht="18" x14ac:dyDescent="0.35">
      <c r="B26" s="141" t="s">
        <v>372</v>
      </c>
      <c r="C26" s="67"/>
      <c r="D26" s="67"/>
      <c r="E26" s="121"/>
      <c r="F26" s="121"/>
      <c r="G26" s="229"/>
    </row>
    <row r="27" spans="2:8" s="148" customFormat="1" ht="6" customHeight="1" x14ac:dyDescent="0.2">
      <c r="B27" s="146"/>
      <c r="C27" s="146"/>
      <c r="D27" s="146"/>
      <c r="E27" s="147"/>
      <c r="F27" s="147"/>
    </row>
    <row r="28" spans="2:8" s="148" customFormat="1" ht="12.75" x14ac:dyDescent="0.2">
      <c r="B28" s="153" t="s">
        <v>506</v>
      </c>
      <c r="C28" s="146"/>
      <c r="D28" s="146"/>
      <c r="E28" s="147"/>
      <c r="F28" s="147" t="e">
        <f>VLOOKUP(B7,'Péréquation directe'!B12:E311,4,FALSE)</f>
        <v>#N/A</v>
      </c>
      <c r="G28" s="231"/>
      <c r="H28" s="565"/>
    </row>
    <row r="29" spans="2:8" s="148" customFormat="1" ht="6" customHeight="1" x14ac:dyDescent="0.2">
      <c r="B29" s="146"/>
      <c r="C29" s="146"/>
      <c r="D29" s="146"/>
      <c r="E29" s="147"/>
      <c r="F29" s="147"/>
    </row>
    <row r="30" spans="2:8" s="148" customFormat="1" ht="12.75" x14ac:dyDescent="0.2">
      <c r="B30" s="153" t="s">
        <v>507</v>
      </c>
      <c r="C30" s="146"/>
      <c r="D30" s="146"/>
      <c r="E30" s="147"/>
      <c r="F30" s="147" t="e">
        <f>VLOOKUP(B7,'Péréquation directe'!B12:F311,5,FALSE)</f>
        <v>#N/A</v>
      </c>
    </row>
    <row r="31" spans="2:8" s="148" customFormat="1" ht="6" customHeight="1" x14ac:dyDescent="0.2">
      <c r="B31" s="146"/>
      <c r="C31" s="146"/>
      <c r="D31" s="146"/>
      <c r="E31" s="147"/>
      <c r="F31" s="147"/>
    </row>
    <row r="32" spans="2:8" s="148" customFormat="1" ht="12.75" x14ac:dyDescent="0.2">
      <c r="B32" s="153" t="s">
        <v>508</v>
      </c>
      <c r="C32" s="146"/>
      <c r="D32" s="146"/>
      <c r="E32" s="147"/>
      <c r="F32" s="250"/>
    </row>
    <row r="33" spans="2:12" s="148" customFormat="1" ht="12.75" x14ac:dyDescent="0.2">
      <c r="B33" s="252" t="s">
        <v>386</v>
      </c>
      <c r="C33" s="251"/>
      <c r="D33" s="251"/>
      <c r="E33" s="253" t="e">
        <f>VLOOKUP(B7,DT!B6:H305,7,FALSE)</f>
        <v>#N/A</v>
      </c>
      <c r="F33" s="251"/>
    </row>
    <row r="34" spans="2:12" s="148" customFormat="1" ht="12.75" x14ac:dyDescent="0.2">
      <c r="B34" s="252" t="s">
        <v>387</v>
      </c>
      <c r="C34" s="251"/>
      <c r="D34" s="251"/>
      <c r="E34" s="253" t="e">
        <f>VLOOKUP(B7,DT!B6:M305,12,FALSE)</f>
        <v>#N/A</v>
      </c>
      <c r="F34" s="254" t="e">
        <f>SUM(E33:E34)</f>
        <v>#N/A</v>
      </c>
    </row>
    <row r="35" spans="2:12" s="148" customFormat="1" ht="6" customHeight="1" x14ac:dyDescent="0.2">
      <c r="B35" s="251"/>
      <c r="C35" s="251"/>
      <c r="D35" s="251"/>
      <c r="E35" s="251"/>
      <c r="F35" s="251"/>
    </row>
    <row r="36" spans="2:12" s="148" customFormat="1" ht="12.75" x14ac:dyDescent="0.2">
      <c r="B36" s="153" t="s">
        <v>433</v>
      </c>
      <c r="C36" s="146"/>
      <c r="D36" s="146"/>
      <c r="E36" s="147"/>
      <c r="F36" s="147"/>
    </row>
    <row r="37" spans="2:12" s="148" customFormat="1" ht="12.75" customHeight="1" x14ac:dyDescent="0.2">
      <c r="B37" s="146" t="s">
        <v>375</v>
      </c>
      <c r="C37" s="146"/>
      <c r="D37" s="146"/>
      <c r="E37" s="149" t="e">
        <f>VLOOKUP(B7,Effort!B6:K305,10,FALSE)</f>
        <v>#N/A</v>
      </c>
      <c r="F37" s="147"/>
      <c r="L37" s="247"/>
    </row>
    <row r="38" spans="2:12" s="148" customFormat="1" ht="12.75" customHeight="1" x14ac:dyDescent="0.2">
      <c r="B38" s="146" t="s">
        <v>367</v>
      </c>
      <c r="C38" s="146"/>
      <c r="D38" s="146"/>
      <c r="E38" s="149" t="e">
        <f>VLOOKUP(B7,Aide!B6:I305,8,FALSE)</f>
        <v>#N/A</v>
      </c>
      <c r="F38" s="147"/>
      <c r="L38" s="247"/>
    </row>
    <row r="39" spans="2:12" s="148" customFormat="1" ht="12.75" customHeight="1" x14ac:dyDescent="0.2">
      <c r="B39" s="146" t="s">
        <v>368</v>
      </c>
      <c r="C39" s="146"/>
      <c r="D39" s="146"/>
      <c r="E39" s="149" t="e">
        <f>VLOOKUP(B7,Taux!B6:J305,9,FALSE)</f>
        <v>#N/A</v>
      </c>
      <c r="F39" s="147" t="e">
        <f>SUM(E37:E39)</f>
        <v>#N/A</v>
      </c>
      <c r="L39" s="247"/>
    </row>
    <row r="40" spans="2:12" s="148" customFormat="1" ht="6" customHeight="1" x14ac:dyDescent="0.2">
      <c r="B40" s="146"/>
      <c r="C40" s="146"/>
      <c r="D40" s="146"/>
      <c r="E40" s="147"/>
      <c r="F40" s="147"/>
      <c r="L40" s="247"/>
    </row>
    <row r="41" spans="2:12" s="148" customFormat="1" ht="12.75" customHeight="1" x14ac:dyDescent="0.2">
      <c r="B41" s="153" t="s">
        <v>502</v>
      </c>
      <c r="C41" s="146"/>
      <c r="D41" s="146"/>
      <c r="E41" s="147"/>
      <c r="F41" s="147" t="e">
        <f>VLOOKUP(B7,'Péréquation directe'!B12:J311,9,FALSE)</f>
        <v>#N/A</v>
      </c>
      <c r="G41" s="230"/>
      <c r="L41" s="247"/>
    </row>
    <row r="42" spans="2:12" s="148" customFormat="1" ht="6" customHeight="1" x14ac:dyDescent="0.2">
      <c r="B42" s="146"/>
      <c r="C42" s="146"/>
      <c r="D42" s="146"/>
      <c r="E42" s="147"/>
      <c r="F42" s="151"/>
      <c r="L42" s="247"/>
    </row>
    <row r="43" spans="2:12" s="148" customFormat="1" ht="12.75" x14ac:dyDescent="0.2">
      <c r="B43" s="153" t="s">
        <v>528</v>
      </c>
      <c r="C43" s="146"/>
      <c r="D43" s="146"/>
      <c r="E43" s="147"/>
      <c r="F43" s="198" t="e">
        <f>SUM(F27:F42)</f>
        <v>#N/A</v>
      </c>
      <c r="G43" s="230"/>
      <c r="H43" s="231"/>
    </row>
    <row r="44" spans="2:12" s="148" customFormat="1" ht="6" customHeight="1" x14ac:dyDescent="0.2">
      <c r="B44" s="146"/>
      <c r="C44" s="146"/>
      <c r="D44" s="146"/>
      <c r="E44" s="147"/>
      <c r="F44" s="147"/>
    </row>
    <row r="45" spans="2:12" ht="18" x14ac:dyDescent="0.35">
      <c r="B45" s="141" t="s">
        <v>524</v>
      </c>
      <c r="C45" s="67"/>
      <c r="D45" s="67"/>
      <c r="E45" s="121"/>
      <c r="F45" s="121"/>
      <c r="G45" s="148"/>
      <c r="H45" s="148"/>
      <c r="I45" s="148"/>
      <c r="J45" s="148"/>
      <c r="K45" s="148"/>
    </row>
    <row r="46" spans="2:12" s="148" customFormat="1" ht="6" customHeight="1" x14ac:dyDescent="0.2">
      <c r="B46" s="146"/>
      <c r="C46" s="146"/>
      <c r="D46" s="146"/>
      <c r="E46" s="147"/>
      <c r="F46" s="147"/>
    </row>
    <row r="47" spans="2:12" s="148" customFormat="1" ht="12.75" x14ac:dyDescent="0.2">
      <c r="B47" s="146" t="s">
        <v>523</v>
      </c>
      <c r="C47" s="146"/>
      <c r="D47" s="146"/>
      <c r="E47" s="149" t="e">
        <f>VLOOKUP(B7,'Facture policière'!B6:I305,8,FALSE)</f>
        <v>#N/A</v>
      </c>
      <c r="F47" s="147"/>
    </row>
    <row r="48" spans="2:12" s="148" customFormat="1" ht="12.75" x14ac:dyDescent="0.2">
      <c r="B48" s="146" t="s">
        <v>525</v>
      </c>
      <c r="C48" s="146"/>
      <c r="D48" s="146"/>
      <c r="E48" s="149" t="e">
        <f>VLOOKUP(B7,'Facture policière'!B6:K305,10,FALSE)</f>
        <v>#N/A</v>
      </c>
      <c r="F48" s="147" t="e">
        <f>E47+E48</f>
        <v>#N/A</v>
      </c>
    </row>
    <row r="49" spans="2:6" s="148" customFormat="1" ht="12.75" x14ac:dyDescent="0.2">
      <c r="B49" s="146"/>
      <c r="C49" s="146"/>
      <c r="D49" s="146"/>
      <c r="E49" s="147"/>
      <c r="F49" s="151"/>
    </row>
    <row r="50" spans="2:6" s="148" customFormat="1" ht="12.75" x14ac:dyDescent="0.2">
      <c r="B50" s="153" t="s">
        <v>526</v>
      </c>
      <c r="C50" s="146"/>
      <c r="D50" s="146"/>
      <c r="E50" s="147"/>
      <c r="F50" s="152" t="e">
        <f>F48</f>
        <v>#N/A</v>
      </c>
    </row>
    <row r="51" spans="2:6" s="148" customFormat="1" ht="6" customHeight="1" x14ac:dyDescent="0.2">
      <c r="B51" s="146"/>
      <c r="C51" s="146"/>
      <c r="D51" s="146"/>
      <c r="E51" s="147"/>
      <c r="F51" s="147"/>
    </row>
    <row r="52" spans="2:6" ht="18" x14ac:dyDescent="0.35">
      <c r="B52" s="141" t="s">
        <v>417</v>
      </c>
      <c r="C52" s="67"/>
      <c r="D52" s="67"/>
      <c r="E52" s="121"/>
      <c r="F52" s="121"/>
    </row>
    <row r="53" spans="2:6" ht="6" customHeight="1" x14ac:dyDescent="0.25">
      <c r="B53" s="146"/>
      <c r="C53" s="146"/>
      <c r="D53" s="146"/>
      <c r="E53" s="146"/>
      <c r="F53" s="146"/>
    </row>
    <row r="54" spans="2:6" x14ac:dyDescent="0.25">
      <c r="B54" s="153" t="s">
        <v>376</v>
      </c>
      <c r="C54" s="146"/>
      <c r="D54" s="146"/>
      <c r="E54" s="146"/>
      <c r="F54" s="152" t="e">
        <f>+F24+F43+F50</f>
        <v>#N/A</v>
      </c>
    </row>
    <row r="55" spans="2:6" ht="6" customHeight="1" x14ac:dyDescent="0.25">
      <c r="B55" s="146"/>
      <c r="C55" s="146"/>
      <c r="D55" s="146"/>
      <c r="E55" s="146"/>
      <c r="F55" s="146"/>
    </row>
    <row r="56" spans="2:6" ht="18" x14ac:dyDescent="0.35">
      <c r="B56" s="141" t="s">
        <v>377</v>
      </c>
      <c r="C56" s="67"/>
      <c r="D56" s="67"/>
      <c r="E56" s="121"/>
      <c r="F56" s="121"/>
    </row>
    <row r="57" spans="2:6" ht="6" customHeight="1" x14ac:dyDescent="0.25">
      <c r="B57" s="146"/>
      <c r="C57" s="146"/>
      <c r="D57" s="146"/>
      <c r="E57" s="147"/>
      <c r="F57" s="147"/>
    </row>
    <row r="58" spans="2:6" ht="38.25" x14ac:dyDescent="0.25">
      <c r="B58" s="146"/>
      <c r="C58" s="255" t="s">
        <v>388</v>
      </c>
      <c r="D58" s="256" t="s">
        <v>395</v>
      </c>
      <c r="E58" s="256" t="s">
        <v>277</v>
      </c>
      <c r="F58" s="257" t="s">
        <v>531</v>
      </c>
    </row>
    <row r="59" spans="2:6" x14ac:dyDescent="0.25">
      <c r="B59" s="258" t="s">
        <v>389</v>
      </c>
      <c r="C59" s="438" t="e">
        <f>SUM(D59:F59)</f>
        <v>#N/A</v>
      </c>
      <c r="D59" s="439" t="e">
        <f>VLOOKUP($C$3,'Décompte vs acomptes'!$B$6:$K$305,2,FALSE)</f>
        <v>#N/A</v>
      </c>
      <c r="E59" s="439" t="e">
        <f>VLOOKUP($C$3,'Décompte vs acomptes'!$B$6:$K$305,5,FALSE)</f>
        <v>#N/A</v>
      </c>
      <c r="F59" s="440" t="e">
        <f>VLOOKUP($C$3,'Décompte vs acomptes'!$B$6:$K$305,8,FALSE)</f>
        <v>#N/A</v>
      </c>
    </row>
    <row r="60" spans="2:6" x14ac:dyDescent="0.25">
      <c r="B60" s="258" t="s">
        <v>394</v>
      </c>
      <c r="C60" s="437" t="e">
        <f>IF(SUM(D60:F60)=0,"À venir", SUM(D60:F60))</f>
        <v>#N/A</v>
      </c>
      <c r="D60" s="435" t="e">
        <f>VLOOKUP($C$3,'Décompte vs acomptes'!$B$6:$K$305,3,FALSE)</f>
        <v>#N/A</v>
      </c>
      <c r="E60" s="435" t="e">
        <f>VLOOKUP($C$3,'Décompte vs acomptes'!$B$6:$K$305,6,FALSE)</f>
        <v>#N/A</v>
      </c>
      <c r="F60" s="436" t="e">
        <f>VLOOKUP($C$3,'Décompte vs acomptes'!$B$6:$K$305,9,FALSE)</f>
        <v>#N/A</v>
      </c>
    </row>
    <row r="61" spans="2:6" x14ac:dyDescent="0.25">
      <c r="B61" s="258" t="s">
        <v>532</v>
      </c>
      <c r="C61" s="438" t="e">
        <f>IF(SUM(D61:F61)=0,"À venir", SUM(D61:F601))</f>
        <v>#N/A</v>
      </c>
      <c r="D61" s="438" t="e">
        <f>VLOOKUP(B7,'Décompte vs acomptes'!B6:K305,4,FALSE)</f>
        <v>#N/A</v>
      </c>
      <c r="E61" s="438" t="e">
        <f>VLOOKUP(B7,'Décompte vs acomptes'!B6:K305,7,FALSE)</f>
        <v>#N/A</v>
      </c>
      <c r="F61" s="438" t="e">
        <f>VLOOKUP(B7,'Décompte vs acomptes'!B6:K305,10,FALSE)</f>
        <v>#N/A</v>
      </c>
    </row>
    <row r="62" spans="2:6" x14ac:dyDescent="0.25">
      <c r="B62" s="219"/>
      <c r="C62" s="259" t="s">
        <v>390</v>
      </c>
      <c r="D62" s="219"/>
      <c r="E62" s="5"/>
      <c r="F62" s="5"/>
    </row>
    <row r="63" spans="2:6" x14ac:dyDescent="0.25">
      <c r="B63" s="612" t="s">
        <v>543</v>
      </c>
      <c r="C63" s="612"/>
      <c r="D63" s="612"/>
      <c r="E63" s="612"/>
      <c r="F63" s="612"/>
    </row>
    <row r="64" spans="2:6" x14ac:dyDescent="0.25">
      <c r="B64" s="612"/>
      <c r="C64" s="612"/>
      <c r="D64" s="612"/>
      <c r="E64" s="612"/>
      <c r="F64" s="612"/>
    </row>
    <row r="65" spans="2:6" x14ac:dyDescent="0.25">
      <c r="B65" s="612"/>
      <c r="C65" s="612"/>
      <c r="D65" s="612"/>
      <c r="E65" s="612"/>
      <c r="F65" s="612"/>
    </row>
    <row r="66" spans="2:6" ht="18.75" customHeight="1" x14ac:dyDescent="0.25">
      <c r="B66" s="612"/>
      <c r="C66" s="612"/>
      <c r="D66" s="612"/>
      <c r="E66" s="612"/>
      <c r="F66" s="612"/>
    </row>
    <row r="67" spans="2:6" x14ac:dyDescent="0.25">
      <c r="B67" s="612"/>
      <c r="C67" s="612"/>
      <c r="D67" s="612"/>
      <c r="E67" s="612"/>
      <c r="F67" s="612"/>
    </row>
    <row r="68" spans="2:6" x14ac:dyDescent="0.25">
      <c r="B68" s="612"/>
      <c r="C68" s="612"/>
      <c r="D68" s="612"/>
      <c r="E68" s="612"/>
      <c r="F68" s="612"/>
    </row>
  </sheetData>
  <protectedRanges>
    <protectedRange sqref="C3:E3" name="Plage1"/>
  </protectedRanges>
  <mergeCells count="4">
    <mergeCell ref="B6:F6"/>
    <mergeCell ref="B7:F7"/>
    <mergeCell ref="C3:E3"/>
    <mergeCell ref="B63:F68"/>
  </mergeCells>
  <printOptions horizontalCentered="1" verticalCentered="1"/>
  <pageMargins left="0.70866141732283472" right="0.70866141732283472" top="0.35433070866141736" bottom="0.35433070866141736" header="0.31496062992125984" footer="0.31496062992125984"/>
  <pageSetup paperSize="9" orientation="portrait"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FC311B9C-B1F5-4E57-8162-0ECA1A164850}">
          <x14:formula1>
            <xm:f>Paramètres!$A$62:$A$361</xm:f>
          </x14:formula1>
          <xm:sqref>C3:E3</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4">
    <tabColor theme="3" tint="0.59999389629810485"/>
  </sheetPr>
  <dimension ref="A1:CN355"/>
  <sheetViews>
    <sheetView zoomScaleNormal="100" workbookViewId="0">
      <pane ySplit="5" topLeftCell="A105" activePane="bottomLeft" state="frozen"/>
      <selection pane="bottomLeft" activeCell="B118" sqref="B118"/>
    </sheetView>
  </sheetViews>
  <sheetFormatPr baseColWidth="10" defaultColWidth="8.625" defaultRowHeight="15" x14ac:dyDescent="0.25"/>
  <cols>
    <col min="1" max="1" width="8.5" style="195" customWidth="1"/>
    <col min="2" max="2" width="21.875" style="13" bestFit="1" customWidth="1"/>
    <col min="3" max="3" width="14.375" style="190" bestFit="1" customWidth="1"/>
    <col min="4" max="4" width="13" style="13" bestFit="1" customWidth="1"/>
    <col min="5" max="5" width="10.875" style="13" bestFit="1" customWidth="1"/>
    <col min="6" max="6" width="10.125" style="13" bestFit="1" customWidth="1"/>
    <col min="7" max="7" width="13.125" style="206" bestFit="1" customWidth="1"/>
    <col min="8" max="8" width="12.25" style="206" bestFit="1" customWidth="1"/>
    <col min="9" max="11" width="12.25" style="13" bestFit="1" customWidth="1"/>
    <col min="12" max="12" width="13.125" style="13" bestFit="1" customWidth="1"/>
    <col min="13" max="13" width="15.625" style="13" bestFit="1" customWidth="1"/>
    <col min="14" max="14" width="12.375" style="5" bestFit="1" customWidth="1"/>
    <col min="15" max="16" width="13.125" style="5" bestFit="1" customWidth="1"/>
    <col min="17" max="17" width="12.75" style="5" bestFit="1" customWidth="1"/>
    <col min="18" max="18" width="12.375" style="5" bestFit="1" customWidth="1"/>
    <col min="19" max="19" width="12.75" style="5" bestFit="1" customWidth="1"/>
    <col min="20" max="20" width="15.625" style="13" bestFit="1" customWidth="1"/>
    <col min="21" max="21" width="13.25" style="13" bestFit="1" customWidth="1"/>
    <col min="22" max="22" width="12" style="13" customWidth="1"/>
    <col min="23" max="23" width="13.625" style="13" bestFit="1" customWidth="1"/>
    <col min="24" max="24" width="10.375" style="13" customWidth="1"/>
    <col min="25" max="25" width="11.25" style="13" bestFit="1" customWidth="1"/>
    <col min="26" max="26" width="11.125" style="5" bestFit="1" customWidth="1"/>
    <col min="27" max="27" width="3.625" style="239" customWidth="1"/>
    <col min="28" max="28" width="12.25" style="239" bestFit="1" customWidth="1"/>
    <col min="29" max="29" width="6.5" style="239" bestFit="1" customWidth="1"/>
    <col min="30" max="30" width="13" style="239" bestFit="1" customWidth="1"/>
    <col min="31" max="31" width="6.5" style="239" bestFit="1" customWidth="1"/>
    <col min="32" max="32" width="13.125" style="239" customWidth="1"/>
    <col min="33" max="34" width="11.5" style="239" customWidth="1"/>
    <col min="35" max="35" width="3.625" style="239" customWidth="1"/>
    <col min="36" max="36" width="9.25" style="239" customWidth="1"/>
    <col min="37" max="37" width="5.5" style="239" bestFit="1" customWidth="1"/>
    <col min="38" max="38" width="12.125" style="239" bestFit="1" customWidth="1"/>
    <col min="39" max="39" width="6.375" style="239" bestFit="1" customWidth="1"/>
    <col min="40" max="40" width="12.25" style="239" bestFit="1" customWidth="1"/>
    <col min="41" max="41" width="3.75" style="239" customWidth="1"/>
    <col min="42" max="42" width="16" style="239" customWidth="1"/>
    <col min="43" max="43" width="3.75" style="239" customWidth="1"/>
    <col min="44" max="44" width="10.125" style="239" customWidth="1"/>
    <col min="45" max="45" width="12.125" style="239" bestFit="1" customWidth="1"/>
    <col min="46" max="46" width="14.25" style="239" bestFit="1" customWidth="1"/>
    <col min="47" max="47" width="9.75" style="5" customWidth="1"/>
    <col min="48" max="92" width="8.625" style="239"/>
    <col min="93" max="16384" width="8.625" style="13"/>
  </cols>
  <sheetData>
    <row r="1" spans="1:47" ht="26.25" x14ac:dyDescent="0.4">
      <c r="A1" s="279" t="str">
        <f>CONCATENATE("Données (",Paramètres!B5,")")</f>
        <v>Données (2021)</v>
      </c>
      <c r="B1" s="184"/>
      <c r="C1" s="411" t="s">
        <v>406</v>
      </c>
      <c r="D1" s="305" t="s">
        <v>398</v>
      </c>
      <c r="E1" s="410" t="s">
        <v>407</v>
      </c>
      <c r="F1" s="184"/>
      <c r="G1" s="184"/>
      <c r="H1" s="184"/>
      <c r="I1" s="184"/>
      <c r="J1" s="184"/>
      <c r="S1" s="4"/>
      <c r="V1" s="559"/>
      <c r="X1" s="196"/>
    </row>
    <row r="2" spans="1:47" ht="15.75" x14ac:dyDescent="0.25">
      <c r="A2" s="362" t="str">
        <f>Paramètres!B4</f>
        <v>Acomptes 2023</v>
      </c>
      <c r="C2" s="186"/>
      <c r="D2" s="186"/>
      <c r="E2" s="186"/>
      <c r="F2" s="186"/>
      <c r="G2" s="186"/>
      <c r="H2" s="186"/>
      <c r="I2" s="186"/>
      <c r="J2" s="186"/>
      <c r="K2" s="186"/>
      <c r="L2" s="186"/>
      <c r="M2" s="186"/>
      <c r="N2" s="497"/>
      <c r="O2" s="497"/>
      <c r="P2" s="497"/>
      <c r="Q2" s="497"/>
      <c r="R2" s="497"/>
      <c r="S2" s="497"/>
      <c r="T2" s="186"/>
      <c r="U2" s="186"/>
      <c r="V2" s="186"/>
      <c r="W2" s="186"/>
      <c r="X2" s="186"/>
      <c r="Y2" s="186"/>
      <c r="Z2" s="186"/>
      <c r="AA2" s="186"/>
      <c r="AB2" s="186"/>
      <c r="AC2" s="186"/>
      <c r="AD2" s="186"/>
      <c r="AE2" s="186"/>
      <c r="AF2" s="186"/>
      <c r="AG2" s="186"/>
      <c r="AH2" s="186"/>
    </row>
    <row r="3" spans="1:47" x14ac:dyDescent="0.25">
      <c r="A3" s="191"/>
      <c r="B3" s="184"/>
      <c r="C3" s="185"/>
      <c r="D3" s="184"/>
      <c r="E3" s="184"/>
      <c r="F3" s="184"/>
      <c r="G3" s="184"/>
      <c r="H3" s="184"/>
      <c r="I3" s="184"/>
      <c r="J3" s="184"/>
      <c r="L3" s="187"/>
      <c r="S3" s="4"/>
      <c r="X3" s="196"/>
      <c r="AB3" s="626" t="s">
        <v>542</v>
      </c>
      <c r="AC3" s="627"/>
      <c r="AD3" s="627"/>
      <c r="AE3" s="627"/>
      <c r="AF3" s="628"/>
      <c r="AJ3" s="626" t="s">
        <v>464</v>
      </c>
      <c r="AK3" s="627"/>
      <c r="AL3" s="627"/>
      <c r="AM3" s="627"/>
      <c r="AN3" s="628"/>
    </row>
    <row r="4" spans="1:47" s="188" customFormat="1" ht="74.25" customHeight="1" x14ac:dyDescent="0.2">
      <c r="A4" s="613" t="s">
        <v>44</v>
      </c>
      <c r="B4" s="615" t="s">
        <v>396</v>
      </c>
      <c r="C4" s="463" t="s">
        <v>448</v>
      </c>
      <c r="D4" s="463" t="s">
        <v>449</v>
      </c>
      <c r="E4" s="460" t="s">
        <v>222</v>
      </c>
      <c r="F4" s="460" t="s">
        <v>223</v>
      </c>
      <c r="G4" s="460" t="s">
        <v>450</v>
      </c>
      <c r="H4" s="460" t="s">
        <v>451</v>
      </c>
      <c r="I4" s="460" t="s">
        <v>535</v>
      </c>
      <c r="J4" s="460" t="s">
        <v>418</v>
      </c>
      <c r="K4" s="460" t="s">
        <v>452</v>
      </c>
      <c r="L4" s="460" t="s">
        <v>313</v>
      </c>
      <c r="M4" s="460" t="s">
        <v>173</v>
      </c>
      <c r="N4" s="465" t="s">
        <v>174</v>
      </c>
      <c r="O4" s="465" t="s">
        <v>175</v>
      </c>
      <c r="P4" s="465" t="s">
        <v>176</v>
      </c>
      <c r="Q4" s="617" t="s">
        <v>337</v>
      </c>
      <c r="R4" s="465" t="s">
        <v>177</v>
      </c>
      <c r="S4" s="617" t="s">
        <v>419</v>
      </c>
      <c r="T4" s="460" t="s">
        <v>124</v>
      </c>
      <c r="U4" s="619" t="s">
        <v>218</v>
      </c>
      <c r="V4" s="619" t="s">
        <v>534</v>
      </c>
      <c r="W4" s="619" t="s">
        <v>219</v>
      </c>
      <c r="X4" s="463" t="s">
        <v>71</v>
      </c>
      <c r="Y4" s="619" t="s">
        <v>371</v>
      </c>
      <c r="Z4" s="464" t="s">
        <v>356</v>
      </c>
      <c r="AA4" s="270"/>
      <c r="AB4" s="629" t="s">
        <v>384</v>
      </c>
      <c r="AC4" s="630"/>
      <c r="AD4" s="629" t="s">
        <v>383</v>
      </c>
      <c r="AE4" s="630"/>
      <c r="AF4" s="624" t="s">
        <v>441</v>
      </c>
      <c r="AG4" s="624" t="s">
        <v>278</v>
      </c>
      <c r="AH4" s="624" t="s">
        <v>279</v>
      </c>
      <c r="AJ4" s="629" t="s">
        <v>385</v>
      </c>
      <c r="AK4" s="630"/>
      <c r="AL4" s="629" t="s">
        <v>383</v>
      </c>
      <c r="AM4" s="630"/>
      <c r="AN4" s="624" t="s">
        <v>431</v>
      </c>
      <c r="AP4" s="412" t="s">
        <v>497</v>
      </c>
      <c r="AR4" s="622" t="s">
        <v>442</v>
      </c>
      <c r="AU4" s="246"/>
    </row>
    <row r="5" spans="1:47" s="184" customFormat="1" x14ac:dyDescent="0.25">
      <c r="A5" s="614"/>
      <c r="B5" s="616"/>
      <c r="C5" s="318" t="s">
        <v>338</v>
      </c>
      <c r="D5" s="319" t="s">
        <v>339</v>
      </c>
      <c r="E5" s="320" t="s">
        <v>72</v>
      </c>
      <c r="F5" s="320" t="s">
        <v>73</v>
      </c>
      <c r="G5" s="320" t="s">
        <v>340</v>
      </c>
      <c r="H5" s="320" t="s">
        <v>341</v>
      </c>
      <c r="I5" s="320" t="s">
        <v>74</v>
      </c>
      <c r="J5" s="320" t="s">
        <v>75</v>
      </c>
      <c r="K5" s="320" t="s">
        <v>76</v>
      </c>
      <c r="L5" s="320" t="s">
        <v>77</v>
      </c>
      <c r="M5" s="320" t="s">
        <v>78</v>
      </c>
      <c r="N5" s="453" t="s">
        <v>79</v>
      </c>
      <c r="O5" s="453" t="s">
        <v>80</v>
      </c>
      <c r="P5" s="453" t="s">
        <v>81</v>
      </c>
      <c r="Q5" s="618"/>
      <c r="R5" s="453" t="s">
        <v>82</v>
      </c>
      <c r="S5" s="618"/>
      <c r="T5" s="320" t="s">
        <v>83</v>
      </c>
      <c r="U5" s="621"/>
      <c r="V5" s="621"/>
      <c r="W5" s="620"/>
      <c r="X5" s="461">
        <f>Paramètres!B5</f>
        <v>2021</v>
      </c>
      <c r="Y5" s="620"/>
      <c r="Z5" s="462">
        <f>+Paramètres!B6</f>
        <v>43099</v>
      </c>
      <c r="AA5" s="270"/>
      <c r="AB5" s="377" t="s">
        <v>359</v>
      </c>
      <c r="AC5" s="377" t="s">
        <v>360</v>
      </c>
      <c r="AD5" s="377" t="s">
        <v>359</v>
      </c>
      <c r="AE5" s="377" t="s">
        <v>360</v>
      </c>
      <c r="AF5" s="631"/>
      <c r="AG5" s="631"/>
      <c r="AH5" s="625"/>
      <c r="AJ5" s="377" t="s">
        <v>359</v>
      </c>
      <c r="AK5" s="377" t="s">
        <v>360</v>
      </c>
      <c r="AL5" s="377" t="s">
        <v>359</v>
      </c>
      <c r="AM5" s="377" t="s">
        <v>360</v>
      </c>
      <c r="AN5" s="625"/>
      <c r="AP5" s="558" t="s">
        <v>485</v>
      </c>
      <c r="AR5" s="623"/>
      <c r="AU5" s="4"/>
    </row>
    <row r="6" spans="1:47" x14ac:dyDescent="0.25">
      <c r="A6" s="192">
        <v>5401</v>
      </c>
      <c r="B6" s="447" t="s">
        <v>224</v>
      </c>
      <c r="C6" s="535">
        <v>12422451.02</v>
      </c>
      <c r="D6" s="535">
        <v>2014234.93</v>
      </c>
      <c r="E6" s="535"/>
      <c r="F6" s="536"/>
      <c r="G6" s="535">
        <v>1321441.6000000001</v>
      </c>
      <c r="H6" s="535">
        <v>120642.4</v>
      </c>
      <c r="I6" s="535">
        <v>55943.199999999997</v>
      </c>
      <c r="J6" s="535">
        <v>596061.34</v>
      </c>
      <c r="K6" s="535">
        <v>242822.05</v>
      </c>
      <c r="L6" s="535">
        <v>2208859.85</v>
      </c>
      <c r="M6" s="498">
        <f t="shared" ref="M6:M65" si="0">SUM(C6:L6)</f>
        <v>18982456.390000001</v>
      </c>
      <c r="N6" s="243">
        <v>1208164.8999999999</v>
      </c>
      <c r="O6" s="243">
        <f>410971.7</f>
        <v>410971.7</v>
      </c>
      <c r="P6" s="243">
        <v>1358488.4</v>
      </c>
      <c r="Q6" s="243">
        <v>78593.5</v>
      </c>
      <c r="R6" s="243">
        <v>428650.15</v>
      </c>
      <c r="S6" s="535">
        <v>158386.44</v>
      </c>
      <c r="T6" s="498">
        <f t="shared" ref="T6:T65" si="1">SUM(M6:S6)</f>
        <v>22625711.479999997</v>
      </c>
      <c r="U6" s="239">
        <v>-301234.81</v>
      </c>
      <c r="V6" s="244"/>
      <c r="W6" s="244">
        <v>-9568.57</v>
      </c>
      <c r="X6" s="539">
        <v>66</v>
      </c>
      <c r="Y6" s="542">
        <v>1.2</v>
      </c>
      <c r="Z6" s="216">
        <v>10828</v>
      </c>
      <c r="AA6" s="268"/>
      <c r="AB6" s="237">
        <v>899537</v>
      </c>
      <c r="AC6" s="443">
        <f>AB6/VPI!R6</f>
        <v>3.202150706234697</v>
      </c>
      <c r="AD6" s="445">
        <f>AF6-AB6</f>
        <v>3493981</v>
      </c>
      <c r="AE6" s="443">
        <f>AD6/VPI!R6</f>
        <v>12.437791582470329</v>
      </c>
      <c r="AF6" s="236">
        <v>4393518</v>
      </c>
      <c r="AG6" s="236">
        <v>2609381</v>
      </c>
      <c r="AH6" s="237">
        <v>11344</v>
      </c>
      <c r="AI6" s="271"/>
      <c r="AJ6" s="8">
        <v>0</v>
      </c>
      <c r="AK6" s="443">
        <f>AJ6/VPI!R6</f>
        <v>0</v>
      </c>
      <c r="AL6" s="445">
        <f>AN6-AJ6</f>
        <v>898588</v>
      </c>
      <c r="AM6" s="443">
        <f>AL6/VPI!R6</f>
        <v>3.1987724783016418</v>
      </c>
      <c r="AN6" s="41">
        <v>898588</v>
      </c>
      <c r="AO6" s="271"/>
      <c r="AP6" s="528">
        <v>5.9894084501822347</v>
      </c>
      <c r="AR6" s="545">
        <v>1</v>
      </c>
      <c r="AT6" s="239">
        <f>SUM(C6:L6)</f>
        <v>18982456.390000001</v>
      </c>
      <c r="AU6" s="5">
        <f>+AT6-M6</f>
        <v>0</v>
      </c>
    </row>
    <row r="7" spans="1:47" x14ac:dyDescent="0.25">
      <c r="A7" s="192">
        <v>5402</v>
      </c>
      <c r="B7" s="447" t="s">
        <v>225</v>
      </c>
      <c r="C7" s="535">
        <v>9504770.8900000006</v>
      </c>
      <c r="D7" s="535">
        <v>1557004.18</v>
      </c>
      <c r="E7" s="535"/>
      <c r="F7" s="536"/>
      <c r="G7" s="535">
        <v>690452.05</v>
      </c>
      <c r="H7" s="535">
        <v>144246.85</v>
      </c>
      <c r="I7" s="535">
        <v>117061.85</v>
      </c>
      <c r="J7" s="535">
        <v>311170.89</v>
      </c>
      <c r="K7" s="535">
        <v>109103.9</v>
      </c>
      <c r="L7" s="535">
        <v>1715893.25</v>
      </c>
      <c r="M7" s="498">
        <f t="shared" si="0"/>
        <v>14149703.860000001</v>
      </c>
      <c r="N7" s="243">
        <v>360746.15</v>
      </c>
      <c r="O7" s="243">
        <v>9093.9</v>
      </c>
      <c r="P7" s="243">
        <v>1061413.8500000001</v>
      </c>
      <c r="Q7" s="243">
        <v>76761.88</v>
      </c>
      <c r="R7" s="243">
        <v>515474.3</v>
      </c>
      <c r="S7" s="535">
        <v>91676.34</v>
      </c>
      <c r="T7" s="498">
        <f t="shared" si="1"/>
        <v>16264870.280000003</v>
      </c>
      <c r="U7" s="239">
        <v>-291750.38</v>
      </c>
      <c r="V7" s="243"/>
      <c r="W7" s="243">
        <v>-3880.84</v>
      </c>
      <c r="X7" s="540">
        <v>71</v>
      </c>
      <c r="Y7" s="543">
        <v>1.25</v>
      </c>
      <c r="Z7" s="215">
        <v>8063</v>
      </c>
      <c r="AA7" s="268"/>
      <c r="AB7" s="237">
        <v>535770</v>
      </c>
      <c r="AC7" s="443">
        <f>AB7/VPI!R7</f>
        <v>2.7808133771465733</v>
      </c>
      <c r="AD7" s="445">
        <f t="shared" ref="AD7:AD70" si="2">AF7-AB7</f>
        <v>2581669</v>
      </c>
      <c r="AE7" s="443">
        <f>AD7/VPI!R7</f>
        <v>13.399667190332824</v>
      </c>
      <c r="AF7" s="237">
        <v>3117439</v>
      </c>
      <c r="AG7" s="237">
        <v>836546</v>
      </c>
      <c r="AH7" s="237">
        <v>227029</v>
      </c>
      <c r="AI7" s="271"/>
      <c r="AJ7" s="8">
        <v>0</v>
      </c>
      <c r="AK7" s="443">
        <f>AJ7/VPI!R7</f>
        <v>0</v>
      </c>
      <c r="AL7" s="445">
        <f t="shared" ref="AL7:AL70" si="3">AN7-AJ7</f>
        <v>517144</v>
      </c>
      <c r="AM7" s="443">
        <f>AL7/VPI!R7</f>
        <v>2.6841386287233093</v>
      </c>
      <c r="AN7" s="8">
        <v>517144</v>
      </c>
      <c r="AO7" s="271"/>
      <c r="AP7" s="529">
        <v>-2.8528019332807912</v>
      </c>
      <c r="AR7" s="546">
        <v>1</v>
      </c>
      <c r="AT7" s="239">
        <f t="shared" ref="AT7:AT70" si="4">SUM(C7:L7)</f>
        <v>14149703.860000001</v>
      </c>
      <c r="AU7" s="5">
        <f t="shared" ref="AU7:AU70" si="5">+AT7-M7</f>
        <v>0</v>
      </c>
    </row>
    <row r="8" spans="1:47" x14ac:dyDescent="0.25">
      <c r="A8" s="192">
        <v>5403</v>
      </c>
      <c r="B8" s="447" t="s">
        <v>100</v>
      </c>
      <c r="C8" s="535">
        <v>561479.42000000004</v>
      </c>
      <c r="D8" s="535">
        <v>92599.49</v>
      </c>
      <c r="E8" s="535"/>
      <c r="F8" s="536"/>
      <c r="G8" s="535">
        <v>105721.5</v>
      </c>
      <c r="H8" s="535">
        <v>1436.95</v>
      </c>
      <c r="I8" s="535"/>
      <c r="J8" s="535">
        <v>38914.879999999997</v>
      </c>
      <c r="K8" s="535">
        <v>7613.8</v>
      </c>
      <c r="L8" s="535">
        <v>89239.7</v>
      </c>
      <c r="M8" s="498">
        <f t="shared" si="0"/>
        <v>897005.74</v>
      </c>
      <c r="N8" s="243">
        <v>5448.25</v>
      </c>
      <c r="O8" s="243">
        <v>9021</v>
      </c>
      <c r="P8" s="243">
        <v>69123.399999999994</v>
      </c>
      <c r="Q8" s="243">
        <v>-631.95000000000005</v>
      </c>
      <c r="R8" s="243">
        <v>-305.2</v>
      </c>
      <c r="S8" s="535">
        <v>11769.39</v>
      </c>
      <c r="T8" s="498">
        <f t="shared" si="1"/>
        <v>991430.63000000012</v>
      </c>
      <c r="U8" s="239">
        <v>-13826.16</v>
      </c>
      <c r="V8" s="243"/>
      <c r="W8" s="243">
        <v>0</v>
      </c>
      <c r="X8" s="540">
        <v>74</v>
      </c>
      <c r="Y8" s="543">
        <v>1</v>
      </c>
      <c r="Z8" s="215">
        <v>497</v>
      </c>
      <c r="AA8" s="268"/>
      <c r="AB8" s="237">
        <v>17601</v>
      </c>
      <c r="AC8" s="443">
        <f>AB8/VPI!R8</f>
        <v>1.4563895921381436</v>
      </c>
      <c r="AD8" s="445">
        <f t="shared" si="2"/>
        <v>31068</v>
      </c>
      <c r="AE8" s="443">
        <f>AD8/VPI!R8</f>
        <v>2.5707125645445057</v>
      </c>
      <c r="AF8" s="237">
        <v>48669</v>
      </c>
      <c r="AG8" s="237">
        <v>32370</v>
      </c>
      <c r="AH8" s="237">
        <v>12790</v>
      </c>
      <c r="AI8" s="271"/>
      <c r="AJ8" s="8">
        <v>0</v>
      </c>
      <c r="AK8" s="443">
        <f>AJ8/VPI!R8</f>
        <v>0</v>
      </c>
      <c r="AL8" s="445">
        <f t="shared" si="3"/>
        <v>36400</v>
      </c>
      <c r="AM8" s="443">
        <f>AL8/VPI!R8</f>
        <v>3.011907343550277</v>
      </c>
      <c r="AN8" s="8">
        <v>36400</v>
      </c>
      <c r="AO8" s="271"/>
      <c r="AP8" s="529">
        <v>14.42997854710622</v>
      </c>
      <c r="AR8" s="546">
        <v>0</v>
      </c>
      <c r="AT8" s="239">
        <f t="shared" si="4"/>
        <v>897005.74</v>
      </c>
      <c r="AU8" s="5">
        <f t="shared" si="5"/>
        <v>0</v>
      </c>
    </row>
    <row r="9" spans="1:47" x14ac:dyDescent="0.25">
      <c r="A9" s="192">
        <v>5404</v>
      </c>
      <c r="B9" s="447" t="s">
        <v>101</v>
      </c>
      <c r="C9" s="535">
        <v>619426.31999999995</v>
      </c>
      <c r="D9" s="535">
        <v>140928.51</v>
      </c>
      <c r="E9" s="535"/>
      <c r="F9" s="536"/>
      <c r="G9" s="535">
        <v>273.05</v>
      </c>
      <c r="H9" s="535">
        <v>6621.65</v>
      </c>
      <c r="I9" s="535"/>
      <c r="J9" s="535">
        <v>2548.21</v>
      </c>
      <c r="K9" s="535">
        <v>1699.05</v>
      </c>
      <c r="L9" s="535">
        <v>133133.85</v>
      </c>
      <c r="M9" s="498">
        <f t="shared" si="0"/>
        <v>904630.64</v>
      </c>
      <c r="N9" s="243">
        <v>20708.849999999999</v>
      </c>
      <c r="O9" s="243">
        <v>49601.3</v>
      </c>
      <c r="P9" s="243">
        <v>22659.1</v>
      </c>
      <c r="Q9" s="243"/>
      <c r="R9" s="243">
        <v>24811.85</v>
      </c>
      <c r="S9" s="535">
        <v>757.26</v>
      </c>
      <c r="T9" s="498">
        <f t="shared" si="1"/>
        <v>1023169</v>
      </c>
      <c r="U9" s="239">
        <v>-3920.21</v>
      </c>
      <c r="V9" s="243"/>
      <c r="W9" s="243">
        <v>-110.6</v>
      </c>
      <c r="X9" s="540">
        <v>74</v>
      </c>
      <c r="Y9" s="543">
        <v>1.5</v>
      </c>
      <c r="Z9" s="215">
        <v>439</v>
      </c>
      <c r="AA9" s="268"/>
      <c r="AB9" s="237">
        <v>11423</v>
      </c>
      <c r="AC9" s="443">
        <f>AB9/VPI!R9</f>
        <v>0.98637406740145395</v>
      </c>
      <c r="AD9" s="445">
        <f t="shared" si="2"/>
        <v>238544</v>
      </c>
      <c r="AE9" s="443">
        <f>AD9/VPI!R9</f>
        <v>20.598232997830028</v>
      </c>
      <c r="AF9" s="237">
        <v>249967</v>
      </c>
      <c r="AG9" s="237">
        <v>21628</v>
      </c>
      <c r="AH9" s="237">
        <v>29470</v>
      </c>
      <c r="AI9" s="271"/>
      <c r="AJ9" s="8">
        <v>0</v>
      </c>
      <c r="AK9" s="443">
        <f>AJ9/VPI!R9</f>
        <v>0</v>
      </c>
      <c r="AL9" s="445">
        <f t="shared" si="3"/>
        <v>31200</v>
      </c>
      <c r="AM9" s="443">
        <f>AL9/VPI!R9</f>
        <v>2.6941145848660915</v>
      </c>
      <c r="AN9" s="8">
        <v>31200</v>
      </c>
      <c r="AO9" s="271"/>
      <c r="AP9" s="529">
        <v>16.197433850939603</v>
      </c>
      <c r="AR9" s="546">
        <v>0</v>
      </c>
      <c r="AT9" s="239">
        <f t="shared" si="4"/>
        <v>904630.64</v>
      </c>
      <c r="AU9" s="5">
        <f t="shared" si="5"/>
        <v>0</v>
      </c>
    </row>
    <row r="10" spans="1:47" x14ac:dyDescent="0.25">
      <c r="A10" s="192">
        <v>5405</v>
      </c>
      <c r="B10" s="447" t="s">
        <v>102</v>
      </c>
      <c r="C10" s="535">
        <v>2987706.78</v>
      </c>
      <c r="D10" s="535">
        <v>1368999.81</v>
      </c>
      <c r="E10" s="535"/>
      <c r="F10" s="536"/>
      <c r="G10" s="535">
        <v>90253.15</v>
      </c>
      <c r="H10" s="535">
        <v>5021.95</v>
      </c>
      <c r="I10" s="535">
        <v>386758.04</v>
      </c>
      <c r="J10" s="535">
        <v>112374.65</v>
      </c>
      <c r="K10" s="535">
        <v>-747.3</v>
      </c>
      <c r="L10" s="535">
        <v>1205640.6000000001</v>
      </c>
      <c r="M10" s="498">
        <f t="shared" si="0"/>
        <v>6156007.6800000016</v>
      </c>
      <c r="N10" s="243">
        <v>4448.5</v>
      </c>
      <c r="O10" s="243">
        <v>51326.7</v>
      </c>
      <c r="P10" s="243">
        <v>756851.5</v>
      </c>
      <c r="Q10" s="243">
        <v>23617.99</v>
      </c>
      <c r="R10" s="243">
        <v>645085.5</v>
      </c>
      <c r="S10" s="535">
        <v>10464.219999999999</v>
      </c>
      <c r="T10" s="498">
        <f t="shared" si="1"/>
        <v>7647802.0900000017</v>
      </c>
      <c r="U10" s="239">
        <v>-44847.199999999997</v>
      </c>
      <c r="V10" s="243"/>
      <c r="W10" s="243">
        <v>-2520.9</v>
      </c>
      <c r="X10" s="540">
        <v>73.5</v>
      </c>
      <c r="Y10" s="543">
        <v>1.5</v>
      </c>
      <c r="Z10" s="215">
        <v>1382</v>
      </c>
      <c r="AA10" s="268"/>
      <c r="AB10" s="237">
        <v>438324</v>
      </c>
      <c r="AC10" s="443">
        <f>AB10/VPI!R10</f>
        <v>5.6118625631681986</v>
      </c>
      <c r="AD10" s="445">
        <f t="shared" si="2"/>
        <v>1116120</v>
      </c>
      <c r="AE10" s="443">
        <f>AD10/VPI!R10</f>
        <v>14.289685356045505</v>
      </c>
      <c r="AF10" s="237">
        <v>1554444</v>
      </c>
      <c r="AG10" s="237">
        <v>184376</v>
      </c>
      <c r="AH10" s="237">
        <v>64075</v>
      </c>
      <c r="AI10" s="271"/>
      <c r="AJ10" s="8">
        <v>0</v>
      </c>
      <c r="AK10" s="443">
        <f>AJ10/VPI!R10</f>
        <v>0</v>
      </c>
      <c r="AL10" s="445">
        <f t="shared" si="3"/>
        <v>28627</v>
      </c>
      <c r="AM10" s="443">
        <f>AL10/VPI!R10</f>
        <v>0.36651150654724818</v>
      </c>
      <c r="AN10" s="8">
        <v>28627</v>
      </c>
      <c r="AO10" s="271"/>
      <c r="AP10" s="529">
        <v>37.195438873504408</v>
      </c>
      <c r="AR10" s="546">
        <v>0</v>
      </c>
      <c r="AT10" s="239">
        <f t="shared" si="4"/>
        <v>6156007.6800000016</v>
      </c>
      <c r="AU10" s="5">
        <f t="shared" si="5"/>
        <v>0</v>
      </c>
    </row>
    <row r="11" spans="1:47" x14ac:dyDescent="0.25">
      <c r="A11" s="192">
        <v>5406</v>
      </c>
      <c r="B11" s="447" t="s">
        <v>103</v>
      </c>
      <c r="C11" s="535">
        <v>1133296.45</v>
      </c>
      <c r="D11" s="535">
        <v>170643.02</v>
      </c>
      <c r="E11" s="535"/>
      <c r="F11" s="536"/>
      <c r="G11" s="535">
        <v>30933</v>
      </c>
      <c r="H11" s="535">
        <v>10633.55</v>
      </c>
      <c r="I11" s="535"/>
      <c r="J11" s="535">
        <v>53070.03</v>
      </c>
      <c r="K11" s="535">
        <v>10325.5</v>
      </c>
      <c r="L11" s="535">
        <v>203746.2</v>
      </c>
      <c r="M11" s="498">
        <f t="shared" si="0"/>
        <v>1612647.75</v>
      </c>
      <c r="N11" s="243">
        <v>1948.95</v>
      </c>
      <c r="O11" s="243">
        <v>11382</v>
      </c>
      <c r="P11" s="243">
        <v>81126.600000000006</v>
      </c>
      <c r="Q11" s="243">
        <v>528.94000000000005</v>
      </c>
      <c r="R11" s="243">
        <v>7487.45</v>
      </c>
      <c r="S11" s="535">
        <v>4565.32</v>
      </c>
      <c r="T11" s="498">
        <f t="shared" si="1"/>
        <v>1719687.01</v>
      </c>
      <c r="U11" s="239">
        <v>-32622.91</v>
      </c>
      <c r="V11" s="243"/>
      <c r="W11" s="243">
        <v>-5.0599999999999996</v>
      </c>
      <c r="X11" s="540">
        <v>71.5</v>
      </c>
      <c r="Y11" s="543">
        <v>1.3</v>
      </c>
      <c r="Z11" s="215">
        <v>966</v>
      </c>
      <c r="AA11" s="268"/>
      <c r="AB11" s="237">
        <v>80148</v>
      </c>
      <c r="AC11" s="443">
        <f>AB11/VPI!R11</f>
        <v>3.7257643016539896</v>
      </c>
      <c r="AD11" s="445">
        <f t="shared" si="2"/>
        <v>231116</v>
      </c>
      <c r="AE11" s="443">
        <f>AD11/VPI!R11</f>
        <v>10.743670987935612</v>
      </c>
      <c r="AF11" s="237">
        <v>311264</v>
      </c>
      <c r="AG11" s="237">
        <v>45882</v>
      </c>
      <c r="AH11" s="237">
        <v>31167</v>
      </c>
      <c r="AI11" s="271"/>
      <c r="AJ11" s="8">
        <v>0</v>
      </c>
      <c r="AK11" s="443">
        <f>AJ11/VPI!R11</f>
        <v>0</v>
      </c>
      <c r="AL11" s="445">
        <f t="shared" si="3"/>
        <v>12715</v>
      </c>
      <c r="AM11" s="443">
        <f>AL11/VPI!R11</f>
        <v>0.59107018385400112</v>
      </c>
      <c r="AN11" s="8">
        <v>12715</v>
      </c>
      <c r="AO11" s="271"/>
      <c r="AP11" s="529">
        <v>12.846695152270668</v>
      </c>
      <c r="AR11" s="546">
        <v>0</v>
      </c>
      <c r="AT11" s="239">
        <f t="shared" si="4"/>
        <v>1612647.75</v>
      </c>
      <c r="AU11" s="5">
        <f t="shared" si="5"/>
        <v>0</v>
      </c>
    </row>
    <row r="12" spans="1:47" x14ac:dyDescent="0.25">
      <c r="A12" s="192">
        <v>5407</v>
      </c>
      <c r="B12" s="447" t="s">
        <v>104</v>
      </c>
      <c r="C12" s="535">
        <v>4270722.7699999996</v>
      </c>
      <c r="D12" s="535">
        <v>1063755.97</v>
      </c>
      <c r="E12" s="535"/>
      <c r="F12" s="536"/>
      <c r="G12" s="535">
        <v>97531.85</v>
      </c>
      <c r="H12" s="535">
        <v>126084.6</v>
      </c>
      <c r="I12" s="535">
        <v>211498.75</v>
      </c>
      <c r="J12" s="535">
        <v>456345.87</v>
      </c>
      <c r="K12" s="535">
        <v>56260.45</v>
      </c>
      <c r="L12" s="535">
        <v>1273794.1000000001</v>
      </c>
      <c r="M12" s="498">
        <f t="shared" si="0"/>
        <v>7555994.3599999994</v>
      </c>
      <c r="N12" s="243">
        <v>85323.25</v>
      </c>
      <c r="O12" s="243">
        <v>260687.7</v>
      </c>
      <c r="P12" s="243">
        <v>500748.79999999999</v>
      </c>
      <c r="Q12" s="243">
        <v>11033.17</v>
      </c>
      <c r="R12" s="243">
        <v>341066.9</v>
      </c>
      <c r="S12" s="535">
        <v>24560.16</v>
      </c>
      <c r="T12" s="498">
        <f t="shared" si="1"/>
        <v>8779414.3399999999</v>
      </c>
      <c r="U12" s="239">
        <v>-89906.13</v>
      </c>
      <c r="V12" s="243"/>
      <c r="W12" s="243">
        <v>-4230.0200000000004</v>
      </c>
      <c r="X12" s="540">
        <v>78</v>
      </c>
      <c r="Y12" s="543">
        <v>1.5</v>
      </c>
      <c r="Z12" s="215">
        <v>3637</v>
      </c>
      <c r="AA12" s="268"/>
      <c r="AB12" s="237">
        <v>301428</v>
      </c>
      <c r="AC12" s="443">
        <f>AB12/VPI!R12</f>
        <v>3.3241723411687873</v>
      </c>
      <c r="AD12" s="445">
        <f t="shared" si="2"/>
        <v>2109773</v>
      </c>
      <c r="AE12" s="443">
        <f>AD12/VPI!R12</f>
        <v>23.266747126161789</v>
      </c>
      <c r="AF12" s="237">
        <v>2411201</v>
      </c>
      <c r="AG12" s="237">
        <v>795931</v>
      </c>
      <c r="AH12" s="237">
        <v>225416</v>
      </c>
      <c r="AI12" s="271"/>
      <c r="AJ12" s="8">
        <v>0</v>
      </c>
      <c r="AK12" s="443">
        <f>AJ12/VPI!R12</f>
        <v>0</v>
      </c>
      <c r="AL12" s="445">
        <f t="shared" si="3"/>
        <v>112901</v>
      </c>
      <c r="AM12" s="443">
        <f>AL12/VPI!R12</f>
        <v>1.2450813510698981</v>
      </c>
      <c r="AN12" s="8">
        <v>112901</v>
      </c>
      <c r="AO12" s="271"/>
      <c r="AP12" s="529">
        <v>4.7824027080131488</v>
      </c>
      <c r="AR12" s="546">
        <v>0</v>
      </c>
      <c r="AT12" s="239">
        <f t="shared" si="4"/>
        <v>7555994.3599999994</v>
      </c>
      <c r="AU12" s="5">
        <f t="shared" si="5"/>
        <v>0</v>
      </c>
    </row>
    <row r="13" spans="1:47" x14ac:dyDescent="0.25">
      <c r="A13" s="192">
        <v>5408</v>
      </c>
      <c r="B13" s="447" t="s">
        <v>105</v>
      </c>
      <c r="C13" s="535">
        <v>2238809.2200000002</v>
      </c>
      <c r="D13" s="535">
        <v>344695.73</v>
      </c>
      <c r="E13" s="535"/>
      <c r="F13" s="536"/>
      <c r="G13" s="535">
        <v>212558.7</v>
      </c>
      <c r="H13" s="535">
        <v>28951.35</v>
      </c>
      <c r="I13" s="535"/>
      <c r="J13" s="535">
        <v>58629.81</v>
      </c>
      <c r="K13" s="535">
        <v>25719.3</v>
      </c>
      <c r="L13" s="535">
        <v>518029.6</v>
      </c>
      <c r="M13" s="498">
        <f t="shared" si="0"/>
        <v>3427393.7100000004</v>
      </c>
      <c r="N13" s="243">
        <v>139810.25</v>
      </c>
      <c r="O13" s="243"/>
      <c r="P13" s="243">
        <v>378889</v>
      </c>
      <c r="Q13" s="243">
        <v>548.74</v>
      </c>
      <c r="R13" s="243">
        <v>65793.05</v>
      </c>
      <c r="S13" s="535">
        <v>26525.439999999999</v>
      </c>
      <c r="T13" s="498">
        <f t="shared" si="1"/>
        <v>4038960.1900000004</v>
      </c>
      <c r="U13" s="239">
        <v>-33424.71</v>
      </c>
      <c r="V13" s="243"/>
      <c r="W13" s="243">
        <v>-123.9</v>
      </c>
      <c r="X13" s="540">
        <v>78.5</v>
      </c>
      <c r="Y13" s="543">
        <v>1.5</v>
      </c>
      <c r="Z13" s="215">
        <v>1169</v>
      </c>
      <c r="AA13" s="268"/>
      <c r="AB13" s="237">
        <v>157518</v>
      </c>
      <c r="AC13" s="443">
        <f>AB13/VPI!R13</f>
        <v>3.8067238086467143</v>
      </c>
      <c r="AD13" s="445">
        <f t="shared" si="2"/>
        <v>435570</v>
      </c>
      <c r="AE13" s="443">
        <f>AD13/VPI!R13</f>
        <v>10.52638231397205</v>
      </c>
      <c r="AF13" s="237">
        <v>593088</v>
      </c>
      <c r="AG13" s="237">
        <v>85299</v>
      </c>
      <c r="AH13" s="237">
        <v>37726</v>
      </c>
      <c r="AI13" s="271"/>
      <c r="AJ13" s="8">
        <v>0</v>
      </c>
      <c r="AK13" s="443">
        <f>AJ13/VPI!R13</f>
        <v>0</v>
      </c>
      <c r="AL13" s="445">
        <f t="shared" si="3"/>
        <v>49790</v>
      </c>
      <c r="AM13" s="443">
        <f>AL13/VPI!R13</f>
        <v>1.2032706003918276</v>
      </c>
      <c r="AN13" s="8">
        <v>49790</v>
      </c>
      <c r="AO13" s="271"/>
      <c r="AP13" s="529">
        <v>26.266724314379495</v>
      </c>
      <c r="AR13" s="546">
        <v>0</v>
      </c>
      <c r="AT13" s="239">
        <f t="shared" si="4"/>
        <v>3427393.7100000004</v>
      </c>
      <c r="AU13" s="5">
        <f t="shared" si="5"/>
        <v>0</v>
      </c>
    </row>
    <row r="14" spans="1:47" x14ac:dyDescent="0.25">
      <c r="A14" s="192">
        <v>5409</v>
      </c>
      <c r="B14" s="447" t="s">
        <v>106</v>
      </c>
      <c r="C14" s="535">
        <v>15221501.82</v>
      </c>
      <c r="D14" s="535">
        <v>6786359.1200000001</v>
      </c>
      <c r="E14" s="535"/>
      <c r="F14" s="536"/>
      <c r="G14" s="535">
        <v>680316.1</v>
      </c>
      <c r="H14" s="535">
        <v>95595.05</v>
      </c>
      <c r="I14" s="535">
        <v>2580549.39</v>
      </c>
      <c r="J14" s="535">
        <v>665284.18000000005</v>
      </c>
      <c r="K14" s="535">
        <v>76424.5</v>
      </c>
      <c r="L14" s="535">
        <v>4155077.85</v>
      </c>
      <c r="M14" s="498">
        <f t="shared" si="0"/>
        <v>30261108.010000005</v>
      </c>
      <c r="N14" s="243">
        <v>83657.55</v>
      </c>
      <c r="O14" s="243">
        <f>3308119.65-2500000</f>
        <v>808119.64999999991</v>
      </c>
      <c r="P14" s="243">
        <f>2981009.85-1500000</f>
        <v>1481009.85</v>
      </c>
      <c r="Q14" s="243">
        <v>258393.78</v>
      </c>
      <c r="R14" s="243">
        <v>1526736</v>
      </c>
      <c r="S14" s="535">
        <v>85219.58</v>
      </c>
      <c r="T14" s="498">
        <f t="shared" si="1"/>
        <v>34504244.420000002</v>
      </c>
      <c r="U14" s="239">
        <v>-491179.55</v>
      </c>
      <c r="V14" s="243"/>
      <c r="W14" s="243">
        <v>-35458.14</v>
      </c>
      <c r="X14" s="540">
        <v>68</v>
      </c>
      <c r="Y14" s="543">
        <v>1.3</v>
      </c>
      <c r="Z14" s="215">
        <v>7904</v>
      </c>
      <c r="AA14" s="268"/>
      <c r="AB14" s="237">
        <v>851445</v>
      </c>
      <c r="AC14" s="443">
        <f>AB14/VPI!R14</f>
        <v>1.9883177115777935</v>
      </c>
      <c r="AD14" s="445">
        <f t="shared" si="2"/>
        <v>3859083</v>
      </c>
      <c r="AE14" s="443">
        <f>AD14/VPI!R14</f>
        <v>9.0118364419883434</v>
      </c>
      <c r="AF14" s="237">
        <v>4710528</v>
      </c>
      <c r="AG14" s="237">
        <v>1940232</v>
      </c>
      <c r="AH14" s="237">
        <v>443720</v>
      </c>
      <c r="AI14" s="271"/>
      <c r="AJ14" s="8">
        <v>62921</v>
      </c>
      <c r="AK14" s="443">
        <f>AJ14/VPI!R14</f>
        <v>0.14693484456445963</v>
      </c>
      <c r="AL14" s="445">
        <f t="shared" si="3"/>
        <v>1435064</v>
      </c>
      <c r="AM14" s="443">
        <f>AL14/VPI!R14</f>
        <v>3.3512008038659862</v>
      </c>
      <c r="AN14" s="8">
        <v>1497985</v>
      </c>
      <c r="AO14" s="271"/>
      <c r="AP14" s="529">
        <v>30.84388659402752</v>
      </c>
      <c r="AR14" s="546">
        <v>1</v>
      </c>
      <c r="AT14" s="239">
        <f t="shared" si="4"/>
        <v>30261108.010000005</v>
      </c>
      <c r="AU14" s="5">
        <f t="shared" si="5"/>
        <v>0</v>
      </c>
    </row>
    <row r="15" spans="1:47" x14ac:dyDescent="0.25">
      <c r="A15" s="192">
        <v>5410</v>
      </c>
      <c r="B15" s="447" t="s">
        <v>116</v>
      </c>
      <c r="C15" s="535">
        <v>1826918.67</v>
      </c>
      <c r="D15" s="535">
        <v>597142.54</v>
      </c>
      <c r="E15" s="535"/>
      <c r="F15" s="536"/>
      <c r="G15" s="535">
        <v>28854.3</v>
      </c>
      <c r="H15" s="535">
        <v>3703.1</v>
      </c>
      <c r="I15" s="535"/>
      <c r="J15" s="535">
        <v>57273.55</v>
      </c>
      <c r="K15" s="535">
        <v>12013.85</v>
      </c>
      <c r="L15" s="535">
        <v>589806.6</v>
      </c>
      <c r="M15" s="498">
        <f t="shared" si="0"/>
        <v>3115712.61</v>
      </c>
      <c r="N15" s="243">
        <v>13127.75</v>
      </c>
      <c r="O15" s="243">
        <v>209907.6</v>
      </c>
      <c r="P15" s="243">
        <v>222863.15</v>
      </c>
      <c r="Q15" s="243">
        <v>68947.58</v>
      </c>
      <c r="R15" s="243">
        <v>217531.4</v>
      </c>
      <c r="S15" s="535">
        <v>3575.83</v>
      </c>
      <c r="T15" s="498">
        <f t="shared" si="1"/>
        <v>3851665.92</v>
      </c>
      <c r="U15" s="239">
        <v>-18212.55</v>
      </c>
      <c r="V15" s="243"/>
      <c r="W15" s="243">
        <v>-228.16</v>
      </c>
      <c r="X15" s="540">
        <v>77</v>
      </c>
      <c r="Y15" s="543">
        <v>1.5</v>
      </c>
      <c r="Z15" s="215">
        <v>1162</v>
      </c>
      <c r="AA15" s="268"/>
      <c r="AB15" s="237">
        <v>266385</v>
      </c>
      <c r="AC15" s="443">
        <f>AB15/VPI!R15</f>
        <v>6.8988606663359313</v>
      </c>
      <c r="AD15" s="445">
        <f t="shared" si="2"/>
        <v>1530409</v>
      </c>
      <c r="AE15" s="443">
        <f>AD15/VPI!R15</f>
        <v>39.634658308487737</v>
      </c>
      <c r="AF15" s="237">
        <v>1796794</v>
      </c>
      <c r="AG15" s="237">
        <v>114704</v>
      </c>
      <c r="AH15" s="237">
        <v>71172</v>
      </c>
      <c r="AI15" s="271"/>
      <c r="AJ15" s="8">
        <v>0</v>
      </c>
      <c r="AK15" s="443">
        <f>AJ15/VPI!R15</f>
        <v>0</v>
      </c>
      <c r="AL15" s="445">
        <f t="shared" si="3"/>
        <v>100560</v>
      </c>
      <c r="AM15" s="443">
        <f>AL15/VPI!R15</f>
        <v>2.6043111609390213</v>
      </c>
      <c r="AN15" s="8">
        <v>100560</v>
      </c>
      <c r="AO15" s="271"/>
      <c r="AP15" s="529">
        <v>25.621418173221048</v>
      </c>
      <c r="AR15" s="546">
        <v>0</v>
      </c>
      <c r="AT15" s="239">
        <f t="shared" si="4"/>
        <v>3115712.61</v>
      </c>
      <c r="AU15" s="5">
        <f t="shared" si="5"/>
        <v>0</v>
      </c>
    </row>
    <row r="16" spans="1:47" x14ac:dyDescent="0.25">
      <c r="A16" s="192">
        <v>5411</v>
      </c>
      <c r="B16" s="447" t="s">
        <v>117</v>
      </c>
      <c r="C16" s="535">
        <v>3282407.15</v>
      </c>
      <c r="D16" s="535">
        <v>1412427.06</v>
      </c>
      <c r="E16" s="535"/>
      <c r="F16" s="536"/>
      <c r="G16" s="535">
        <v>83187.75</v>
      </c>
      <c r="H16" s="535">
        <v>21352.55</v>
      </c>
      <c r="I16" s="535">
        <v>118306.4</v>
      </c>
      <c r="J16" s="535">
        <v>142093.76999999999</v>
      </c>
      <c r="K16" s="535">
        <v>14419.25</v>
      </c>
      <c r="L16" s="535">
        <v>1273088.8999999999</v>
      </c>
      <c r="M16" s="498">
        <f t="shared" si="0"/>
        <v>6347282.8300000001</v>
      </c>
      <c r="N16" s="243">
        <v>8538.2000000000007</v>
      </c>
      <c r="O16" s="243">
        <v>46659.6</v>
      </c>
      <c r="P16" s="243">
        <v>527910.9</v>
      </c>
      <c r="Q16" s="243">
        <v>5781.12</v>
      </c>
      <c r="R16" s="243">
        <v>451099.35</v>
      </c>
      <c r="S16" s="535">
        <v>11481.83</v>
      </c>
      <c r="T16" s="498">
        <f t="shared" si="1"/>
        <v>7398753.8300000001</v>
      </c>
      <c r="U16" s="239">
        <v>-53846.27</v>
      </c>
      <c r="V16" s="243"/>
      <c r="W16" s="243">
        <v>-3427.92</v>
      </c>
      <c r="X16" s="540">
        <v>76</v>
      </c>
      <c r="Y16" s="543">
        <v>1.5</v>
      </c>
      <c r="Z16" s="215">
        <v>1451</v>
      </c>
      <c r="AA16" s="268"/>
      <c r="AB16" s="237">
        <v>265757</v>
      </c>
      <c r="AC16" s="443">
        <f>AB16/VPI!R16</f>
        <v>3.4332561141423628</v>
      </c>
      <c r="AD16" s="445">
        <f t="shared" si="2"/>
        <v>1300129</v>
      </c>
      <c r="AE16" s="443">
        <f>AD16/VPI!R16</f>
        <v>16.796080022064505</v>
      </c>
      <c r="AF16" s="237">
        <v>1565886</v>
      </c>
      <c r="AG16" s="237">
        <v>215909</v>
      </c>
      <c r="AH16" s="237">
        <v>77589</v>
      </c>
      <c r="AI16" s="271"/>
      <c r="AJ16" s="8">
        <v>0</v>
      </c>
      <c r="AK16" s="443">
        <f>AJ16/VPI!R16</f>
        <v>0</v>
      </c>
      <c r="AL16" s="445">
        <f t="shared" si="3"/>
        <v>113230</v>
      </c>
      <c r="AM16" s="443">
        <f>AL16/VPI!R16</f>
        <v>1.4627934158059421</v>
      </c>
      <c r="AN16" s="8">
        <v>113230</v>
      </c>
      <c r="AO16" s="271"/>
      <c r="AP16" s="529">
        <v>36.440583127553595</v>
      </c>
      <c r="AR16" s="546">
        <v>0</v>
      </c>
      <c r="AT16" s="239">
        <f t="shared" si="4"/>
        <v>6347282.8300000001</v>
      </c>
      <c r="AU16" s="5">
        <f t="shared" si="5"/>
        <v>0</v>
      </c>
    </row>
    <row r="17" spans="1:47" x14ac:dyDescent="0.25">
      <c r="A17" s="192">
        <v>5412</v>
      </c>
      <c r="B17" s="447" t="s">
        <v>118</v>
      </c>
      <c r="C17" s="535">
        <v>1179470.7</v>
      </c>
      <c r="D17" s="535">
        <v>143282.57999999999</v>
      </c>
      <c r="E17" s="535"/>
      <c r="F17" s="536"/>
      <c r="G17" s="535">
        <v>173237.2</v>
      </c>
      <c r="H17" s="535">
        <v>9813.9</v>
      </c>
      <c r="I17" s="535"/>
      <c r="J17" s="535">
        <v>92707.5</v>
      </c>
      <c r="K17" s="535">
        <v>48156.45</v>
      </c>
      <c r="L17" s="535">
        <v>352477.6</v>
      </c>
      <c r="M17" s="498">
        <f t="shared" si="0"/>
        <v>1999145.9299999997</v>
      </c>
      <c r="N17" s="243">
        <v>939726.85</v>
      </c>
      <c r="O17" s="243"/>
      <c r="P17" s="243">
        <v>72356.100000000006</v>
      </c>
      <c r="Q17" s="243">
        <v>266.27999999999997</v>
      </c>
      <c r="R17" s="243">
        <v>50258.15</v>
      </c>
      <c r="S17" s="535">
        <v>20104.8</v>
      </c>
      <c r="T17" s="498">
        <f t="shared" si="1"/>
        <v>3081858.1099999994</v>
      </c>
      <c r="U17" s="239">
        <v>-27629.17</v>
      </c>
      <c r="V17" s="243"/>
      <c r="W17" s="243">
        <v>-71.84</v>
      </c>
      <c r="X17" s="540">
        <v>69</v>
      </c>
      <c r="Y17" s="543">
        <v>1</v>
      </c>
      <c r="Z17" s="215">
        <v>883</v>
      </c>
      <c r="AA17" s="268"/>
      <c r="AB17" s="237">
        <v>49427</v>
      </c>
      <c r="AC17" s="443">
        <f>AB17/VPI!R17</f>
        <v>1.7122379778051788</v>
      </c>
      <c r="AD17" s="445">
        <f t="shared" si="2"/>
        <v>199263</v>
      </c>
      <c r="AE17" s="443">
        <f>AD17/VPI!R17</f>
        <v>6.9028198387802897</v>
      </c>
      <c r="AF17" s="237">
        <v>248690</v>
      </c>
      <c r="AG17" s="237">
        <v>64813</v>
      </c>
      <c r="AH17" s="237">
        <v>27082</v>
      </c>
      <c r="AI17" s="271"/>
      <c r="AJ17" s="8">
        <v>0</v>
      </c>
      <c r="AK17" s="443">
        <f>AJ17/VPI!R17</f>
        <v>0</v>
      </c>
      <c r="AL17" s="445">
        <f t="shared" si="3"/>
        <v>41799</v>
      </c>
      <c r="AM17" s="443">
        <f>AL17/VPI!R17</f>
        <v>1.4479906778537777</v>
      </c>
      <c r="AN17" s="8">
        <v>41799</v>
      </c>
      <c r="AO17" s="271"/>
      <c r="AP17" s="529">
        <v>28.530364586945129</v>
      </c>
      <c r="AR17" s="546">
        <v>0</v>
      </c>
      <c r="AT17" s="239">
        <f t="shared" si="4"/>
        <v>1999145.9299999997</v>
      </c>
      <c r="AU17" s="5">
        <f t="shared" si="5"/>
        <v>0</v>
      </c>
    </row>
    <row r="18" spans="1:47" x14ac:dyDescent="0.25">
      <c r="A18" s="192">
        <v>5413</v>
      </c>
      <c r="B18" s="447" t="s">
        <v>119</v>
      </c>
      <c r="C18" s="535">
        <v>2251085.61</v>
      </c>
      <c r="D18" s="535">
        <v>191822.61</v>
      </c>
      <c r="E18" s="535"/>
      <c r="F18" s="536"/>
      <c r="G18" s="535">
        <v>128199.75</v>
      </c>
      <c r="H18" s="535">
        <v>7631.15</v>
      </c>
      <c r="I18" s="535"/>
      <c r="J18" s="535">
        <v>79364.179999999993</v>
      </c>
      <c r="K18" s="535">
        <v>33412.050000000003</v>
      </c>
      <c r="L18" s="535">
        <v>341588.85</v>
      </c>
      <c r="M18" s="498">
        <f t="shared" si="0"/>
        <v>3033104.1999999997</v>
      </c>
      <c r="N18" s="243">
        <v>228687.95</v>
      </c>
      <c r="O18" s="243">
        <v>675121.8</v>
      </c>
      <c r="P18" s="243">
        <v>130658.45</v>
      </c>
      <c r="Q18" s="243">
        <v>14864.84</v>
      </c>
      <c r="R18" s="243">
        <v>59414.85</v>
      </c>
      <c r="S18" s="535">
        <v>14918.53</v>
      </c>
      <c r="T18" s="498">
        <f t="shared" si="1"/>
        <v>4156770.62</v>
      </c>
      <c r="U18" s="239">
        <v>-72050.83</v>
      </c>
      <c r="V18" s="243"/>
      <c r="W18" s="243">
        <v>-270.43</v>
      </c>
      <c r="X18" s="540">
        <v>68</v>
      </c>
      <c r="Y18" s="543">
        <v>1.2</v>
      </c>
      <c r="Z18" s="215">
        <v>1874</v>
      </c>
      <c r="AA18" s="268"/>
      <c r="AB18" s="237">
        <v>45901</v>
      </c>
      <c r="AC18" s="443">
        <f>AB18/VPI!R18</f>
        <v>1.0639592776719944</v>
      </c>
      <c r="AD18" s="445">
        <f t="shared" si="2"/>
        <v>163513</v>
      </c>
      <c r="AE18" s="443">
        <f>AD18/VPI!R18</f>
        <v>3.7901390682116038</v>
      </c>
      <c r="AF18" s="237">
        <v>209414</v>
      </c>
      <c r="AG18" s="237">
        <v>181583</v>
      </c>
      <c r="AH18" s="237">
        <v>61945</v>
      </c>
      <c r="AI18" s="271"/>
      <c r="AJ18" s="8">
        <v>1494</v>
      </c>
      <c r="AK18" s="443">
        <f>AJ18/VPI!R18</f>
        <v>3.4630076922985545E-2</v>
      </c>
      <c r="AL18" s="445">
        <f t="shared" si="3"/>
        <v>15960</v>
      </c>
      <c r="AM18" s="443">
        <f>AL18/VPI!R18</f>
        <v>0.36994379363510665</v>
      </c>
      <c r="AN18" s="8">
        <v>17454</v>
      </c>
      <c r="AO18" s="271"/>
      <c r="AP18" s="529">
        <v>14.775634880523311</v>
      </c>
      <c r="AR18" s="546">
        <v>0</v>
      </c>
      <c r="AT18" s="239">
        <f t="shared" si="4"/>
        <v>3033104.1999999997</v>
      </c>
      <c r="AU18" s="5">
        <f t="shared" si="5"/>
        <v>0</v>
      </c>
    </row>
    <row r="19" spans="1:47" x14ac:dyDescent="0.25">
      <c r="A19" s="192">
        <v>5414</v>
      </c>
      <c r="B19" s="447" t="s">
        <v>120</v>
      </c>
      <c r="C19" s="535">
        <v>7586340.4699999997</v>
      </c>
      <c r="D19" s="535">
        <v>1389159.9</v>
      </c>
      <c r="E19" s="535"/>
      <c r="F19" s="536"/>
      <c r="G19" s="535">
        <v>1119346.3500000001</v>
      </c>
      <c r="H19" s="535">
        <v>617167.65</v>
      </c>
      <c r="I19" s="535">
        <v>105516.83</v>
      </c>
      <c r="J19" s="535">
        <v>287772.21000000002</v>
      </c>
      <c r="K19" s="535">
        <v>166580.79999999999</v>
      </c>
      <c r="L19" s="535">
        <v>1279790.05</v>
      </c>
      <c r="M19" s="498">
        <f t="shared" si="0"/>
        <v>12551674.260000002</v>
      </c>
      <c r="N19" s="243">
        <v>1493353.75</v>
      </c>
      <c r="O19" s="243">
        <v>383509.6</v>
      </c>
      <c r="P19" s="243">
        <v>790753.4</v>
      </c>
      <c r="Q19" s="243">
        <v>48284.82</v>
      </c>
      <c r="R19" s="243">
        <v>513080.9</v>
      </c>
      <c r="S19" s="535">
        <v>190724.17</v>
      </c>
      <c r="T19" s="498">
        <f t="shared" si="1"/>
        <v>15971380.900000002</v>
      </c>
      <c r="U19" s="239">
        <v>-256999.15</v>
      </c>
      <c r="V19" s="243"/>
      <c r="W19" s="243">
        <v>-4067.22</v>
      </c>
      <c r="X19" s="540">
        <v>67.5</v>
      </c>
      <c r="Y19" s="543">
        <v>1</v>
      </c>
      <c r="Z19" s="215">
        <v>5921</v>
      </c>
      <c r="AA19" s="268"/>
      <c r="AB19" s="237">
        <v>582907</v>
      </c>
      <c r="AC19" s="443">
        <f>AB19/VPI!R19</f>
        <v>3.140257429802594</v>
      </c>
      <c r="AD19" s="445">
        <f t="shared" si="2"/>
        <v>2051218</v>
      </c>
      <c r="AE19" s="443">
        <f>AD19/VPI!R19</f>
        <v>11.050394942323248</v>
      </c>
      <c r="AF19" s="237">
        <v>2634125</v>
      </c>
      <c r="AG19" s="237">
        <v>1612658</v>
      </c>
      <c r="AH19" s="237">
        <v>169154</v>
      </c>
      <c r="AI19" s="271"/>
      <c r="AJ19" s="8">
        <v>0</v>
      </c>
      <c r="AK19" s="443">
        <f>AJ19/VPI!R19</f>
        <v>0</v>
      </c>
      <c r="AL19" s="445">
        <f t="shared" si="3"/>
        <v>376784</v>
      </c>
      <c r="AM19" s="443">
        <f>AL19/VPI!R19</f>
        <v>2.0298242351365494</v>
      </c>
      <c r="AN19" s="8">
        <v>376784</v>
      </c>
      <c r="AO19" s="271"/>
      <c r="AP19" s="529">
        <v>12.196902699502765</v>
      </c>
      <c r="AR19" s="546">
        <v>0</v>
      </c>
      <c r="AT19" s="239">
        <f t="shared" si="4"/>
        <v>12551674.260000002</v>
      </c>
      <c r="AU19" s="5">
        <f t="shared" si="5"/>
        <v>0</v>
      </c>
    </row>
    <row r="20" spans="1:47" x14ac:dyDescent="0.25">
      <c r="A20" s="192">
        <v>5415</v>
      </c>
      <c r="B20" s="447" t="s">
        <v>66</v>
      </c>
      <c r="C20" s="535">
        <v>1780737.35</v>
      </c>
      <c r="D20" s="535">
        <v>357400.28</v>
      </c>
      <c r="E20" s="535"/>
      <c r="F20" s="536"/>
      <c r="G20" s="535">
        <v>112040.2</v>
      </c>
      <c r="H20" s="535">
        <v>4793.6000000000004</v>
      </c>
      <c r="I20" s="535">
        <v>2064.5</v>
      </c>
      <c r="J20" s="535">
        <v>54660.11</v>
      </c>
      <c r="K20" s="535">
        <v>12842.7</v>
      </c>
      <c r="L20" s="535">
        <v>355676.05</v>
      </c>
      <c r="M20" s="498">
        <f t="shared" si="0"/>
        <v>2680214.79</v>
      </c>
      <c r="N20" s="243">
        <v>34692.85</v>
      </c>
      <c r="O20" s="243">
        <v>187794.7</v>
      </c>
      <c r="P20" s="243">
        <v>171774.5</v>
      </c>
      <c r="Q20" s="243">
        <v>7899.57</v>
      </c>
      <c r="R20" s="243">
        <v>187309.7</v>
      </c>
      <c r="S20" s="535">
        <v>12832.04</v>
      </c>
      <c r="T20" s="498">
        <f t="shared" si="1"/>
        <v>3282518.1500000004</v>
      </c>
      <c r="U20" s="239">
        <v>-15188.45</v>
      </c>
      <c r="V20" s="243"/>
      <c r="W20" s="243">
        <v>-15.43</v>
      </c>
      <c r="X20" s="540">
        <v>71.5</v>
      </c>
      <c r="Y20" s="543">
        <v>1.5</v>
      </c>
      <c r="Z20" s="215">
        <v>1038</v>
      </c>
      <c r="AA20" s="268"/>
      <c r="AB20" s="237">
        <v>38892</v>
      </c>
      <c r="AC20" s="443">
        <f>AB20/VPI!R20</f>
        <v>1.0832017404763163</v>
      </c>
      <c r="AD20" s="445">
        <f t="shared" si="2"/>
        <v>263259</v>
      </c>
      <c r="AE20" s="443">
        <f>AD20/VPI!R20</f>
        <v>7.3321661780328755</v>
      </c>
      <c r="AF20" s="237">
        <v>302151</v>
      </c>
      <c r="AG20" s="237">
        <v>78009</v>
      </c>
      <c r="AH20" s="237">
        <v>170130</v>
      </c>
      <c r="AI20" s="271"/>
      <c r="AJ20" s="8">
        <v>0</v>
      </c>
      <c r="AK20" s="443">
        <f>AJ20/VPI!R20</f>
        <v>0</v>
      </c>
      <c r="AL20" s="445">
        <f t="shared" si="3"/>
        <v>71814</v>
      </c>
      <c r="AM20" s="443">
        <f>AL20/VPI!R20</f>
        <v>2.0001298413701067</v>
      </c>
      <c r="AN20" s="8">
        <v>71814</v>
      </c>
      <c r="AO20" s="271"/>
      <c r="AP20" s="529">
        <v>28.642154353716197</v>
      </c>
      <c r="AR20" s="546">
        <v>0</v>
      </c>
      <c r="AT20" s="239">
        <f t="shared" si="4"/>
        <v>2680214.79</v>
      </c>
      <c r="AU20" s="5">
        <f t="shared" si="5"/>
        <v>0</v>
      </c>
    </row>
    <row r="21" spans="1:47" x14ac:dyDescent="0.25">
      <c r="A21" s="192">
        <v>5422</v>
      </c>
      <c r="B21" s="447" t="s">
        <v>67</v>
      </c>
      <c r="C21" s="535">
        <v>10262114.060000001</v>
      </c>
      <c r="D21" s="535">
        <v>1587644.92</v>
      </c>
      <c r="E21" s="535"/>
      <c r="F21" s="536"/>
      <c r="G21" s="535">
        <f>10700136.55-4000000</f>
        <v>6700136.5500000007</v>
      </c>
      <c r="H21" s="535">
        <v>237262.6</v>
      </c>
      <c r="I21" s="535">
        <v>213869.35</v>
      </c>
      <c r="J21" s="535">
        <v>355439.33</v>
      </c>
      <c r="K21" s="535">
        <v>133262.20000000001</v>
      </c>
      <c r="L21" s="535">
        <v>1109072.3700000001</v>
      </c>
      <c r="M21" s="498">
        <f t="shared" si="0"/>
        <v>20598801.380000003</v>
      </c>
      <c r="N21" s="243">
        <v>962173.15</v>
      </c>
      <c r="O21" s="243">
        <v>889968.1</v>
      </c>
      <c r="P21" s="243">
        <v>346638.6</v>
      </c>
      <c r="Q21" s="243">
        <v>11849.31</v>
      </c>
      <c r="R21" s="243">
        <v>227086.8</v>
      </c>
      <c r="S21" s="535">
        <v>1201272.3799999999</v>
      </c>
      <c r="T21" s="498">
        <f t="shared" si="1"/>
        <v>24237789.720000003</v>
      </c>
      <c r="U21" s="239">
        <v>-311685.46999999997</v>
      </c>
      <c r="V21" s="243"/>
      <c r="W21" s="243">
        <v>-8304.34</v>
      </c>
      <c r="X21" s="540">
        <v>70</v>
      </c>
      <c r="Y21" s="543">
        <v>1</v>
      </c>
      <c r="Z21" s="215">
        <v>3781</v>
      </c>
      <c r="AA21" s="268"/>
      <c r="AB21" s="237">
        <v>225588</v>
      </c>
      <c r="AC21" s="443">
        <f>AB21/VPI!R21</f>
        <v>0.73474823362633124</v>
      </c>
      <c r="AD21" s="445">
        <f t="shared" si="2"/>
        <v>1322665</v>
      </c>
      <c r="AE21" s="443">
        <f>AD21/VPI!R21</f>
        <v>4.3079675001745281</v>
      </c>
      <c r="AF21" s="237">
        <v>1548253</v>
      </c>
      <c r="AG21" s="237">
        <v>164487</v>
      </c>
      <c r="AH21" s="237">
        <v>371253</v>
      </c>
      <c r="AI21" s="271"/>
      <c r="AJ21" s="8">
        <v>0</v>
      </c>
      <c r="AK21" s="443">
        <f>AJ21/VPI!R21</f>
        <v>0</v>
      </c>
      <c r="AL21" s="445">
        <f t="shared" si="3"/>
        <v>18703</v>
      </c>
      <c r="AM21" s="443">
        <f>AL21/VPI!R21</f>
        <v>6.0916344014368108E-2</v>
      </c>
      <c r="AN21" s="8">
        <v>18703</v>
      </c>
      <c r="AO21" s="271"/>
      <c r="AP21" s="529">
        <v>38.309339109903867</v>
      </c>
      <c r="AR21" s="546">
        <v>0</v>
      </c>
      <c r="AT21" s="239">
        <f t="shared" si="4"/>
        <v>20598801.380000003</v>
      </c>
      <c r="AU21" s="5">
        <f t="shared" si="5"/>
        <v>0</v>
      </c>
    </row>
    <row r="22" spans="1:47" x14ac:dyDescent="0.25">
      <c r="A22" s="192">
        <v>5423</v>
      </c>
      <c r="B22" s="447" t="s">
        <v>68</v>
      </c>
      <c r="C22" s="535">
        <v>941804.45</v>
      </c>
      <c r="D22" s="535">
        <v>131352.92000000001</v>
      </c>
      <c r="E22" s="535"/>
      <c r="F22" s="536"/>
      <c r="G22" s="535">
        <v>6790.5</v>
      </c>
      <c r="H22" s="535">
        <v>848.2</v>
      </c>
      <c r="I22" s="535"/>
      <c r="J22" s="535">
        <v>43203.64</v>
      </c>
      <c r="K22" s="535">
        <v>2520.85</v>
      </c>
      <c r="L22" s="535">
        <v>40647.5</v>
      </c>
      <c r="M22" s="498">
        <f t="shared" si="0"/>
        <v>1167168.0599999998</v>
      </c>
      <c r="N22" s="243">
        <v>23690.6</v>
      </c>
      <c r="O22" s="243"/>
      <c r="P22" s="243">
        <v>50178.5</v>
      </c>
      <c r="Q22" s="243"/>
      <c r="R22" s="243">
        <v>95709.2</v>
      </c>
      <c r="S22" s="535">
        <v>838.97</v>
      </c>
      <c r="T22" s="498">
        <f t="shared" si="1"/>
        <v>1337585.3299999998</v>
      </c>
      <c r="U22" s="239">
        <v>-26486.6</v>
      </c>
      <c r="V22" s="243"/>
      <c r="W22" s="243">
        <v>0</v>
      </c>
      <c r="X22" s="540">
        <v>73</v>
      </c>
      <c r="Y22" s="543">
        <v>0.5</v>
      </c>
      <c r="Z22" s="215">
        <v>567</v>
      </c>
      <c r="AA22" s="268"/>
      <c r="AB22" s="237">
        <v>39559</v>
      </c>
      <c r="AC22" s="443">
        <f>AB22/VPI!R22</f>
        <v>2.4428060740913526</v>
      </c>
      <c r="AD22" s="445">
        <f t="shared" si="2"/>
        <v>64880</v>
      </c>
      <c r="AE22" s="443">
        <f>AD22/VPI!R22</f>
        <v>4.0064020346077243</v>
      </c>
      <c r="AF22" s="237">
        <v>104439</v>
      </c>
      <c r="AG22" s="237">
        <v>55715</v>
      </c>
      <c r="AH22" s="237">
        <v>80067</v>
      </c>
      <c r="AI22" s="271"/>
      <c r="AJ22" s="8">
        <v>0</v>
      </c>
      <c r="AK22" s="443">
        <f>AJ22/VPI!R22</f>
        <v>0</v>
      </c>
      <c r="AL22" s="445">
        <f t="shared" si="3"/>
        <v>13821</v>
      </c>
      <c r="AM22" s="443">
        <f>AL22/VPI!R22</f>
        <v>0.85345996486302944</v>
      </c>
      <c r="AN22" s="8">
        <v>13821</v>
      </c>
      <c r="AO22" s="271"/>
      <c r="AP22" s="529">
        <v>20.959034921851142</v>
      </c>
      <c r="AR22" s="546">
        <v>0</v>
      </c>
      <c r="AT22" s="239">
        <f t="shared" si="4"/>
        <v>1167168.0599999998</v>
      </c>
      <c r="AU22" s="5">
        <f t="shared" si="5"/>
        <v>0</v>
      </c>
    </row>
    <row r="23" spans="1:47" x14ac:dyDescent="0.25">
      <c r="A23" s="192">
        <v>5424</v>
      </c>
      <c r="B23" s="447" t="s">
        <v>69</v>
      </c>
      <c r="C23" s="535">
        <v>514059.66</v>
      </c>
      <c r="D23" s="535">
        <v>55965.24</v>
      </c>
      <c r="E23" s="535"/>
      <c r="F23" s="536"/>
      <c r="G23" s="535">
        <v>2430.9499999999998</v>
      </c>
      <c r="H23" s="535">
        <v>602.9</v>
      </c>
      <c r="I23" s="535">
        <v>46446.65</v>
      </c>
      <c r="J23" s="535">
        <v>9616.0499999999993</v>
      </c>
      <c r="K23" s="535">
        <v>766</v>
      </c>
      <c r="L23" s="535">
        <v>50516.6</v>
      </c>
      <c r="M23" s="498">
        <f t="shared" si="0"/>
        <v>680404.05</v>
      </c>
      <c r="N23" s="243"/>
      <c r="O23" s="243">
        <v>2072.3000000000002</v>
      </c>
      <c r="P23" s="243">
        <v>26028.2</v>
      </c>
      <c r="Q23" s="243"/>
      <c r="R23" s="243">
        <v>3468.45</v>
      </c>
      <c r="S23" s="535">
        <v>333.22</v>
      </c>
      <c r="T23" s="498">
        <f t="shared" si="1"/>
        <v>712306.22</v>
      </c>
      <c r="U23" s="239">
        <v>-53783.7</v>
      </c>
      <c r="V23" s="243"/>
      <c r="W23" s="243">
        <v>-172.9</v>
      </c>
      <c r="X23" s="540">
        <v>75.5</v>
      </c>
      <c r="Y23" s="543">
        <v>1</v>
      </c>
      <c r="Z23" s="215">
        <v>308</v>
      </c>
      <c r="AA23" s="268"/>
      <c r="AB23" s="237">
        <v>21357</v>
      </c>
      <c r="AC23" s="443">
        <f>AB23/VPI!R23</f>
        <v>2.5725960885168968</v>
      </c>
      <c r="AD23" s="445">
        <f t="shared" si="2"/>
        <v>59916</v>
      </c>
      <c r="AE23" s="443">
        <f>AD23/VPI!R23</f>
        <v>7.2172902205168512</v>
      </c>
      <c r="AF23" s="237">
        <v>81273</v>
      </c>
      <c r="AG23" s="237">
        <v>13034</v>
      </c>
      <c r="AH23" s="237">
        <v>49153</v>
      </c>
      <c r="AI23" s="271"/>
      <c r="AJ23" s="8">
        <v>22881</v>
      </c>
      <c r="AK23" s="443">
        <f>AJ23/VPI!R23</f>
        <v>2.7561722667675759</v>
      </c>
      <c r="AL23" s="445">
        <f t="shared" si="3"/>
        <v>8018</v>
      </c>
      <c r="AM23" s="443">
        <f>AL23/VPI!R23</f>
        <v>0.96582270158395278</v>
      </c>
      <c r="AN23" s="8">
        <v>30899</v>
      </c>
      <c r="AO23" s="271"/>
      <c r="AP23" s="529">
        <v>18.570387905574659</v>
      </c>
      <c r="AR23" s="546">
        <v>0</v>
      </c>
      <c r="AT23" s="239">
        <f t="shared" si="4"/>
        <v>680404.05</v>
      </c>
      <c r="AU23" s="5">
        <f t="shared" si="5"/>
        <v>0</v>
      </c>
    </row>
    <row r="24" spans="1:47" x14ac:dyDescent="0.25">
      <c r="A24" s="192">
        <v>5425</v>
      </c>
      <c r="B24" s="447" t="s">
        <v>70</v>
      </c>
      <c r="C24" s="535">
        <v>2313458.9700000002</v>
      </c>
      <c r="D24" s="535">
        <v>280521.11</v>
      </c>
      <c r="E24" s="535"/>
      <c r="F24" s="536"/>
      <c r="G24" s="535">
        <v>258664.8</v>
      </c>
      <c r="H24" s="535">
        <v>34672.85</v>
      </c>
      <c r="I24" s="535"/>
      <c r="J24" s="535">
        <v>67129.86</v>
      </c>
      <c r="K24" s="535">
        <v>17852.900000000001</v>
      </c>
      <c r="L24" s="535">
        <v>124893.1</v>
      </c>
      <c r="M24" s="498">
        <f t="shared" si="0"/>
        <v>3097193.59</v>
      </c>
      <c r="N24" s="243">
        <v>73221.8</v>
      </c>
      <c r="O24" s="243">
        <v>74117.899999999994</v>
      </c>
      <c r="P24" s="243">
        <v>108800.15</v>
      </c>
      <c r="Q24" s="243">
        <v>5589.58</v>
      </c>
      <c r="R24" s="243">
        <v>99329</v>
      </c>
      <c r="S24" s="535">
        <v>32217.75</v>
      </c>
      <c r="T24" s="498">
        <f t="shared" si="1"/>
        <v>3490469.7699999996</v>
      </c>
      <c r="U24" s="239">
        <v>-174243.94</v>
      </c>
      <c r="V24" s="243"/>
      <c r="W24" s="243">
        <v>-298.74</v>
      </c>
      <c r="X24" s="540">
        <v>69</v>
      </c>
      <c r="Y24" s="543">
        <v>0.57999999999999996</v>
      </c>
      <c r="Z24" s="215">
        <v>1634</v>
      </c>
      <c r="AA24" s="268"/>
      <c r="AB24" s="237">
        <v>161611</v>
      </c>
      <c r="AC24" s="443">
        <f>AB24/VPI!R24</f>
        <v>3.6550414797105701</v>
      </c>
      <c r="AD24" s="445">
        <f t="shared" si="2"/>
        <v>471012</v>
      </c>
      <c r="AE24" s="443">
        <f>AD24/VPI!R24</f>
        <v>10.652544674814431</v>
      </c>
      <c r="AF24" s="237">
        <v>632623</v>
      </c>
      <c r="AG24" s="237">
        <v>320161</v>
      </c>
      <c r="AH24" s="237">
        <v>245333</v>
      </c>
      <c r="AI24" s="271"/>
      <c r="AJ24" s="8">
        <v>0</v>
      </c>
      <c r="AK24" s="443">
        <f>AJ24/VPI!R24</f>
        <v>0</v>
      </c>
      <c r="AL24" s="445">
        <f t="shared" si="3"/>
        <v>194792</v>
      </c>
      <c r="AM24" s="443">
        <f>AL24/VPI!R24</f>
        <v>4.4054726467615533</v>
      </c>
      <c r="AN24" s="8">
        <v>194792</v>
      </c>
      <c r="AO24" s="271"/>
      <c r="AP24" s="529">
        <v>12.252378865117905</v>
      </c>
      <c r="AR24" s="546">
        <v>0</v>
      </c>
      <c r="AT24" s="239">
        <f t="shared" si="4"/>
        <v>3097193.59</v>
      </c>
      <c r="AU24" s="5">
        <f t="shared" si="5"/>
        <v>0</v>
      </c>
    </row>
    <row r="25" spans="1:47" x14ac:dyDescent="0.25">
      <c r="A25" s="192">
        <v>5426</v>
      </c>
      <c r="B25" s="447" t="s">
        <v>65</v>
      </c>
      <c r="C25" s="535">
        <v>1771140.38</v>
      </c>
      <c r="D25" s="535">
        <v>612801.13</v>
      </c>
      <c r="E25" s="535"/>
      <c r="F25" s="536"/>
      <c r="G25" s="535">
        <v>4513.6499999999996</v>
      </c>
      <c r="H25" s="535">
        <v>2542.6</v>
      </c>
      <c r="I25" s="535">
        <v>736141.55</v>
      </c>
      <c r="J25" s="535">
        <v>6633.74</v>
      </c>
      <c r="K25" s="535">
        <v>4216.3</v>
      </c>
      <c r="L25" s="535">
        <v>357752.05</v>
      </c>
      <c r="M25" s="498">
        <f t="shared" si="0"/>
        <v>3495741.3999999994</v>
      </c>
      <c r="N25" s="243">
        <v>12144.3</v>
      </c>
      <c r="O25" s="243">
        <f>1955529-1900000</f>
        <v>55529</v>
      </c>
      <c r="P25" s="243">
        <v>183230.2</v>
      </c>
      <c r="Q25" s="243"/>
      <c r="R25" s="243">
        <v>69511.05</v>
      </c>
      <c r="S25" s="535">
        <v>775</v>
      </c>
      <c r="T25" s="498">
        <f t="shared" si="1"/>
        <v>3816930.9499999993</v>
      </c>
      <c r="U25" s="239">
        <v>-9230.2999999999993</v>
      </c>
      <c r="V25" s="243"/>
      <c r="W25" s="243">
        <v>-6365.13</v>
      </c>
      <c r="X25" s="540">
        <v>64.5</v>
      </c>
      <c r="Y25" s="543">
        <v>1.2</v>
      </c>
      <c r="Z25" s="215">
        <v>497</v>
      </c>
      <c r="AA25" s="268"/>
      <c r="AB25" s="237">
        <v>0</v>
      </c>
      <c r="AC25" s="443">
        <f>AB25/VPI!R25</f>
        <v>0</v>
      </c>
      <c r="AD25" s="445">
        <f t="shared" si="2"/>
        <v>0</v>
      </c>
      <c r="AE25" s="443">
        <f>AD25/VPI!R25</f>
        <v>0</v>
      </c>
      <c r="AF25" s="237">
        <v>0</v>
      </c>
      <c r="AG25" s="237">
        <v>0</v>
      </c>
      <c r="AH25" s="237">
        <v>0</v>
      </c>
      <c r="AI25" s="271"/>
      <c r="AJ25" s="8">
        <v>0</v>
      </c>
      <c r="AK25" s="443">
        <f>AJ25/VPI!R25</f>
        <v>0</v>
      </c>
      <c r="AL25" s="445">
        <f t="shared" si="3"/>
        <v>0</v>
      </c>
      <c r="AM25" s="443">
        <f>AL25/VPI!R25</f>
        <v>0</v>
      </c>
      <c r="AN25" s="8">
        <v>0</v>
      </c>
      <c r="AO25" s="271"/>
      <c r="AP25" s="529">
        <v>50.420879580609423</v>
      </c>
      <c r="AR25" s="546">
        <v>0</v>
      </c>
      <c r="AT25" s="239">
        <f t="shared" si="4"/>
        <v>3495741.3999999994</v>
      </c>
      <c r="AU25" s="5">
        <f t="shared" si="5"/>
        <v>0</v>
      </c>
    </row>
    <row r="26" spans="1:47" x14ac:dyDescent="0.25">
      <c r="A26" s="192">
        <v>5427</v>
      </c>
      <c r="B26" s="447" t="s">
        <v>289</v>
      </c>
      <c r="C26" s="535">
        <v>3335493.39</v>
      </c>
      <c r="D26" s="535">
        <v>1020396.3</v>
      </c>
      <c r="E26" s="535"/>
      <c r="F26" s="536"/>
      <c r="G26" s="535">
        <v>57118.7</v>
      </c>
      <c r="H26" s="535">
        <v>8063.25</v>
      </c>
      <c r="I26" s="535">
        <v>836549.25</v>
      </c>
      <c r="J26" s="535">
        <v>48332.75</v>
      </c>
      <c r="K26" s="535">
        <v>0</v>
      </c>
      <c r="L26" s="535">
        <v>471371.6</v>
      </c>
      <c r="M26" s="498">
        <f t="shared" si="0"/>
        <v>5777325.2400000002</v>
      </c>
      <c r="N26" s="243">
        <v>12746.65</v>
      </c>
      <c r="O26" s="243">
        <v>5395.5</v>
      </c>
      <c r="P26" s="243">
        <v>224038.1</v>
      </c>
      <c r="Q26" s="243">
        <v>486.65</v>
      </c>
      <c r="R26" s="243">
        <v>196256.7</v>
      </c>
      <c r="S26" s="535">
        <v>7159.04</v>
      </c>
      <c r="T26" s="498">
        <f t="shared" si="1"/>
        <v>6223407.8800000008</v>
      </c>
      <c r="U26" s="239">
        <v>-29525.919999999998</v>
      </c>
      <c r="V26" s="243"/>
      <c r="W26" s="243">
        <v>-1109.8499999999999</v>
      </c>
      <c r="X26" s="540">
        <v>64</v>
      </c>
      <c r="Y26" s="543">
        <v>1.3</v>
      </c>
      <c r="Z26" s="215">
        <v>893</v>
      </c>
      <c r="AA26" s="268"/>
      <c r="AB26" s="237">
        <v>0</v>
      </c>
      <c r="AC26" s="443">
        <f>AB26/VPI!R26</f>
        <v>0</v>
      </c>
      <c r="AD26" s="445">
        <f t="shared" si="2"/>
        <v>0</v>
      </c>
      <c r="AE26" s="443">
        <f>AD26/VPI!R26</f>
        <v>0</v>
      </c>
      <c r="AF26" s="237">
        <v>0</v>
      </c>
      <c r="AG26" s="237">
        <v>0</v>
      </c>
      <c r="AH26" s="237">
        <v>0</v>
      </c>
      <c r="AI26" s="271"/>
      <c r="AJ26" s="8">
        <v>0</v>
      </c>
      <c r="AK26" s="443">
        <f>AJ26/VPI!R26</f>
        <v>0</v>
      </c>
      <c r="AL26" s="445">
        <f t="shared" si="3"/>
        <v>0</v>
      </c>
      <c r="AM26" s="443">
        <f>AL26/VPI!R26</f>
        <v>0</v>
      </c>
      <c r="AN26" s="8">
        <v>0</v>
      </c>
      <c r="AO26" s="271"/>
      <c r="AP26" s="529">
        <v>43.613960786583064</v>
      </c>
      <c r="AR26" s="546">
        <v>0</v>
      </c>
      <c r="AT26" s="239">
        <f t="shared" si="4"/>
        <v>5777325.2400000002</v>
      </c>
      <c r="AU26" s="5">
        <f t="shared" si="5"/>
        <v>0</v>
      </c>
    </row>
    <row r="27" spans="1:47" x14ac:dyDescent="0.25">
      <c r="A27" s="192">
        <v>5428</v>
      </c>
      <c r="B27" s="447" t="s">
        <v>290</v>
      </c>
      <c r="C27" s="535">
        <v>4244196.3899999997</v>
      </c>
      <c r="D27" s="535">
        <v>511785.94</v>
      </c>
      <c r="E27" s="535"/>
      <c r="F27" s="536"/>
      <c r="G27" s="535">
        <v>15522.4</v>
      </c>
      <c r="H27" s="535">
        <v>7893.65</v>
      </c>
      <c r="I27" s="535"/>
      <c r="J27" s="535">
        <v>132596.54</v>
      </c>
      <c r="K27" s="535">
        <v>13774.6</v>
      </c>
      <c r="L27" s="535">
        <v>477035.3</v>
      </c>
      <c r="M27" s="498">
        <f t="shared" si="0"/>
        <v>5402804.8200000003</v>
      </c>
      <c r="N27" s="243">
        <v>253111.45</v>
      </c>
      <c r="O27" s="243">
        <v>150717.29999999999</v>
      </c>
      <c r="P27" s="243">
        <v>295624.59999999998</v>
      </c>
      <c r="Q27" s="243">
        <v>29101.13</v>
      </c>
      <c r="R27" s="243">
        <v>242105.65</v>
      </c>
      <c r="S27" s="535">
        <v>2571.8200000000002</v>
      </c>
      <c r="T27" s="498">
        <f t="shared" si="1"/>
        <v>6376036.7700000005</v>
      </c>
      <c r="U27" s="239">
        <v>-98183.12</v>
      </c>
      <c r="V27" s="243"/>
      <c r="W27" s="243">
        <v>-246.03</v>
      </c>
      <c r="X27" s="540">
        <v>74.5</v>
      </c>
      <c r="Y27" s="543">
        <v>1.2</v>
      </c>
      <c r="Z27" s="215">
        <v>2402</v>
      </c>
      <c r="AA27" s="268"/>
      <c r="AB27" s="237">
        <v>240024</v>
      </c>
      <c r="AC27" s="443">
        <f>AB27/VPI!R27</f>
        <v>3.4018153938456108</v>
      </c>
      <c r="AD27" s="445">
        <f t="shared" si="2"/>
        <v>542727</v>
      </c>
      <c r="AE27" s="443">
        <f>AD27/VPI!R27</f>
        <v>7.6919685667085247</v>
      </c>
      <c r="AF27" s="237">
        <v>782751</v>
      </c>
      <c r="AG27" s="237">
        <v>111430</v>
      </c>
      <c r="AH27" s="237">
        <v>244512</v>
      </c>
      <c r="AI27" s="271"/>
      <c r="AJ27" s="8">
        <v>0</v>
      </c>
      <c r="AK27" s="443">
        <f>AJ27/VPI!R27</f>
        <v>0</v>
      </c>
      <c r="AL27" s="445">
        <f t="shared" si="3"/>
        <v>253604</v>
      </c>
      <c r="AM27" s="443">
        <f>AL27/VPI!R27</f>
        <v>3.5942822015332729</v>
      </c>
      <c r="AN27" s="8">
        <v>253604</v>
      </c>
      <c r="AO27" s="271"/>
      <c r="AP27" s="529">
        <v>21.051615581499629</v>
      </c>
      <c r="AR27" s="546">
        <v>0</v>
      </c>
      <c r="AT27" s="239">
        <f t="shared" si="4"/>
        <v>5402804.8200000003</v>
      </c>
      <c r="AU27" s="5">
        <f t="shared" si="5"/>
        <v>0</v>
      </c>
    </row>
    <row r="28" spans="1:47" x14ac:dyDescent="0.25">
      <c r="A28" s="192">
        <v>5429</v>
      </c>
      <c r="B28" s="447" t="s">
        <v>302</v>
      </c>
      <c r="C28" s="535">
        <v>1148772.25</v>
      </c>
      <c r="D28" s="535">
        <v>144238.94</v>
      </c>
      <c r="E28" s="535"/>
      <c r="F28" s="536"/>
      <c r="G28" s="535">
        <v>8322.2999999999993</v>
      </c>
      <c r="H28" s="535">
        <v>3544.4</v>
      </c>
      <c r="I28" s="535"/>
      <c r="J28" s="535">
        <v>32135.82</v>
      </c>
      <c r="K28" s="535">
        <v>1218.25</v>
      </c>
      <c r="L28" s="535">
        <v>107227.9</v>
      </c>
      <c r="M28" s="498">
        <f t="shared" si="0"/>
        <v>1445459.8599999999</v>
      </c>
      <c r="N28" s="243">
        <v>2875.4</v>
      </c>
      <c r="O28" s="243"/>
      <c r="P28" s="243">
        <v>130709.6</v>
      </c>
      <c r="Q28" s="243"/>
      <c r="R28" s="243">
        <v>57181.75</v>
      </c>
      <c r="S28" s="535">
        <v>1303.3399999999999</v>
      </c>
      <c r="T28" s="498">
        <f t="shared" si="1"/>
        <v>1637529.95</v>
      </c>
      <c r="U28" s="239">
        <v>-7283.85</v>
      </c>
      <c r="V28" s="243"/>
      <c r="W28" s="243">
        <v>0</v>
      </c>
      <c r="X28" s="540">
        <v>77.5</v>
      </c>
      <c r="Y28" s="543">
        <v>1</v>
      </c>
      <c r="Z28" s="215">
        <v>520</v>
      </c>
      <c r="AA28" s="268"/>
      <c r="AB28" s="237">
        <v>4161</v>
      </c>
      <c r="AC28" s="443">
        <f>AB28/VPI!R28</f>
        <v>0.22402370690486115</v>
      </c>
      <c r="AD28" s="445">
        <f t="shared" si="2"/>
        <v>186710</v>
      </c>
      <c r="AE28" s="443">
        <f>AD28/VPI!R28</f>
        <v>10.052262993560833</v>
      </c>
      <c r="AF28" s="237">
        <v>190871</v>
      </c>
      <c r="AG28" s="237">
        <v>21588</v>
      </c>
      <c r="AH28" s="237">
        <v>46843</v>
      </c>
      <c r="AI28" s="271"/>
      <c r="AJ28" s="8">
        <v>0</v>
      </c>
      <c r="AK28" s="443">
        <f>AJ28/VPI!R28</f>
        <v>0</v>
      </c>
      <c r="AL28" s="445">
        <f t="shared" si="3"/>
        <v>26814</v>
      </c>
      <c r="AM28" s="443">
        <f>AL28/VPI!R28</f>
        <v>1.4436365481727822</v>
      </c>
      <c r="AN28" s="8">
        <v>26814</v>
      </c>
      <c r="AO28" s="271"/>
      <c r="AP28" s="529">
        <v>22.928749630880251</v>
      </c>
      <c r="AR28" s="546">
        <v>0</v>
      </c>
      <c r="AT28" s="239">
        <f t="shared" si="4"/>
        <v>1445459.8599999999</v>
      </c>
      <c r="AU28" s="5">
        <f t="shared" si="5"/>
        <v>0</v>
      </c>
    </row>
    <row r="29" spans="1:47" x14ac:dyDescent="0.25">
      <c r="A29" s="192">
        <v>5430</v>
      </c>
      <c r="B29" s="447" t="s">
        <v>303</v>
      </c>
      <c r="C29" s="535">
        <v>1001317.39</v>
      </c>
      <c r="D29" s="535">
        <v>105027.7</v>
      </c>
      <c r="E29" s="535"/>
      <c r="F29" s="536"/>
      <c r="G29" s="535">
        <v>5758.7</v>
      </c>
      <c r="H29" s="535">
        <v>2740.7</v>
      </c>
      <c r="I29" s="535"/>
      <c r="J29" s="535">
        <v>6430.09</v>
      </c>
      <c r="K29" s="535">
        <v>1254.3</v>
      </c>
      <c r="L29" s="535">
        <v>93941.5</v>
      </c>
      <c r="M29" s="498">
        <f t="shared" si="0"/>
        <v>1216470.3800000001</v>
      </c>
      <c r="N29" s="243">
        <v>3411.95</v>
      </c>
      <c r="O29" s="243">
        <v>1739.6</v>
      </c>
      <c r="P29" s="243">
        <v>68959.55</v>
      </c>
      <c r="Q29" s="243">
        <v>17.59</v>
      </c>
      <c r="R29" s="243">
        <v>22824.75</v>
      </c>
      <c r="S29" s="535">
        <v>933.5</v>
      </c>
      <c r="T29" s="498">
        <f t="shared" si="1"/>
        <v>1314357.3200000003</v>
      </c>
      <c r="U29" s="239">
        <v>-9726.2199999999993</v>
      </c>
      <c r="V29" s="243"/>
      <c r="W29" s="243">
        <v>-198.34</v>
      </c>
      <c r="X29" s="540">
        <v>77.5</v>
      </c>
      <c r="Y29" s="543">
        <v>1</v>
      </c>
      <c r="Z29" s="215">
        <v>485</v>
      </c>
      <c r="AA29" s="268"/>
      <c r="AB29" s="237">
        <v>47590</v>
      </c>
      <c r="AC29" s="443">
        <f>AB29/VPI!R29</f>
        <v>3.0544384581489319</v>
      </c>
      <c r="AD29" s="445">
        <f t="shared" si="2"/>
        <v>92589</v>
      </c>
      <c r="AE29" s="443">
        <f>AD29/VPI!R29</f>
        <v>5.9425804244915206</v>
      </c>
      <c r="AF29" s="237">
        <f>161852-21673</f>
        <v>140179</v>
      </c>
      <c r="AG29" s="237">
        <v>21020</v>
      </c>
      <c r="AH29" s="237">
        <v>44021</v>
      </c>
      <c r="AI29" s="271"/>
      <c r="AJ29" s="8">
        <v>0</v>
      </c>
      <c r="AK29" s="443">
        <f>AJ29/VPI!R29</f>
        <v>0</v>
      </c>
      <c r="AL29" s="445">
        <f t="shared" si="3"/>
        <v>-1255</v>
      </c>
      <c r="AM29" s="443">
        <f>AL29/VPI!R29</f>
        <v>-8.0548860369340392E-2</v>
      </c>
      <c r="AN29" s="8">
        <v>-1255</v>
      </c>
      <c r="AO29" s="271"/>
      <c r="AP29" s="529">
        <v>20.804152179773769</v>
      </c>
      <c r="AR29" s="546">
        <v>0</v>
      </c>
      <c r="AT29" s="239">
        <f t="shared" si="4"/>
        <v>1216470.3800000001</v>
      </c>
      <c r="AU29" s="5">
        <f t="shared" si="5"/>
        <v>0</v>
      </c>
    </row>
    <row r="30" spans="1:47" x14ac:dyDescent="0.25">
      <c r="A30" s="192">
        <v>5431</v>
      </c>
      <c r="B30" s="447" t="s">
        <v>304</v>
      </c>
      <c r="C30" s="535">
        <v>619965.16</v>
      </c>
      <c r="D30" s="535">
        <v>76820.53</v>
      </c>
      <c r="E30" s="535"/>
      <c r="F30" s="536"/>
      <c r="G30" s="535">
        <v>483.7</v>
      </c>
      <c r="H30" s="535">
        <v>297.25</v>
      </c>
      <c r="I30" s="535"/>
      <c r="J30" s="535">
        <v>24529.14</v>
      </c>
      <c r="K30" s="535">
        <v>833.85</v>
      </c>
      <c r="L30" s="535">
        <v>53281.25</v>
      </c>
      <c r="M30" s="498">
        <f t="shared" si="0"/>
        <v>776210.88</v>
      </c>
      <c r="N30" s="243">
        <v>304.2</v>
      </c>
      <c r="O30" s="243"/>
      <c r="P30" s="243">
        <v>19687.75</v>
      </c>
      <c r="Q30" s="243"/>
      <c r="R30" s="243">
        <v>14464.35</v>
      </c>
      <c r="S30" s="535">
        <v>85.77</v>
      </c>
      <c r="T30" s="498">
        <f t="shared" si="1"/>
        <v>810752.95</v>
      </c>
      <c r="U30" s="239">
        <v>-1138.93</v>
      </c>
      <c r="V30" s="243"/>
      <c r="W30" s="243">
        <v>-752.43</v>
      </c>
      <c r="X30" s="540">
        <v>74</v>
      </c>
      <c r="Y30" s="543">
        <v>1</v>
      </c>
      <c r="Z30" s="215">
        <v>319</v>
      </c>
      <c r="AA30" s="268"/>
      <c r="AB30" s="237">
        <v>0</v>
      </c>
      <c r="AC30" s="443">
        <f>AB30/VPI!R30</f>
        <v>0</v>
      </c>
      <c r="AD30" s="445">
        <f t="shared" si="2"/>
        <v>45203</v>
      </c>
      <c r="AE30" s="443">
        <f>AD30/VPI!R30</f>
        <v>4.3194720428627242</v>
      </c>
      <c r="AF30" s="237">
        <v>45203</v>
      </c>
      <c r="AG30" s="237">
        <v>13086</v>
      </c>
      <c r="AH30" s="237">
        <v>41493</v>
      </c>
      <c r="AI30" s="271"/>
      <c r="AJ30" s="8">
        <v>0</v>
      </c>
      <c r="AK30" s="443">
        <f>AJ30/VPI!R30</f>
        <v>0</v>
      </c>
      <c r="AL30" s="445">
        <f t="shared" si="3"/>
        <v>45701</v>
      </c>
      <c r="AM30" s="443">
        <f>AL30/VPI!R30</f>
        <v>4.3670595277054476</v>
      </c>
      <c r="AN30" s="8">
        <v>45701</v>
      </c>
      <c r="AO30" s="271"/>
      <c r="AP30" s="529">
        <v>24.816501733559328</v>
      </c>
      <c r="AR30" s="546">
        <v>0</v>
      </c>
      <c r="AT30" s="239">
        <f t="shared" si="4"/>
        <v>776210.88</v>
      </c>
      <c r="AU30" s="5">
        <f t="shared" si="5"/>
        <v>0</v>
      </c>
    </row>
    <row r="31" spans="1:47" x14ac:dyDescent="0.25">
      <c r="A31" s="192">
        <v>5434</v>
      </c>
      <c r="B31" s="447" t="s">
        <v>305</v>
      </c>
      <c r="C31" s="535">
        <v>2712040.59</v>
      </c>
      <c r="D31" s="535"/>
      <c r="E31" s="535"/>
      <c r="F31" s="536"/>
      <c r="G31" s="535">
        <v>12862.25</v>
      </c>
      <c r="H31" s="535">
        <v>3552.1</v>
      </c>
      <c r="I31" s="535"/>
      <c r="J31" s="535">
        <v>58202.59</v>
      </c>
      <c r="K31" s="535">
        <v>3394.7</v>
      </c>
      <c r="L31" s="535">
        <v>289753.84999999998</v>
      </c>
      <c r="M31" s="498">
        <f t="shared" si="0"/>
        <v>3079806.08</v>
      </c>
      <c r="N31" s="243">
        <v>35327.85</v>
      </c>
      <c r="O31" s="243">
        <v>20257.900000000001</v>
      </c>
      <c r="P31" s="243">
        <v>115133.35</v>
      </c>
      <c r="Q31" s="243"/>
      <c r="R31" s="243">
        <v>128749.55</v>
      </c>
      <c r="S31" s="535">
        <v>1802.81</v>
      </c>
      <c r="T31" s="498">
        <f t="shared" si="1"/>
        <v>3381077.54</v>
      </c>
      <c r="U31" s="239">
        <v>-6435.52</v>
      </c>
      <c r="V31" s="243"/>
      <c r="W31" s="243">
        <v>-577.35</v>
      </c>
      <c r="X31" s="540">
        <v>69.5</v>
      </c>
      <c r="Y31" s="543">
        <v>1.2</v>
      </c>
      <c r="Z31" s="215">
        <v>1072</v>
      </c>
      <c r="AA31" s="268"/>
      <c r="AB31" s="237">
        <v>14491</v>
      </c>
      <c r="AC31" s="443">
        <f>AB31/VPI!R31</f>
        <v>0.33279029335933685</v>
      </c>
      <c r="AD31" s="445">
        <f t="shared" si="2"/>
        <v>263740</v>
      </c>
      <c r="AE31" s="443">
        <f>AD31/VPI!R31</f>
        <v>6.0568706073142984</v>
      </c>
      <c r="AF31" s="237">
        <v>278231</v>
      </c>
      <c r="AG31" s="237">
        <v>46934</v>
      </c>
      <c r="AH31" s="237">
        <v>119682</v>
      </c>
      <c r="AI31" s="271"/>
      <c r="AJ31" s="8">
        <v>0</v>
      </c>
      <c r="AK31" s="443">
        <f>AJ31/VPI!R31</f>
        <v>0</v>
      </c>
      <c r="AL31" s="445">
        <f t="shared" si="3"/>
        <v>37134</v>
      </c>
      <c r="AM31" s="443">
        <f>AL31/VPI!R31</f>
        <v>0.85279378604689915</v>
      </c>
      <c r="AN31" s="8">
        <v>37134</v>
      </c>
      <c r="AO31" s="271"/>
      <c r="AP31" s="529">
        <v>28.744822434434074</v>
      </c>
      <c r="AR31" s="546">
        <v>0</v>
      </c>
      <c r="AT31" s="239">
        <f t="shared" si="4"/>
        <v>3079806.08</v>
      </c>
      <c r="AU31" s="5">
        <f t="shared" si="5"/>
        <v>0</v>
      </c>
    </row>
    <row r="32" spans="1:47" x14ac:dyDescent="0.25">
      <c r="A32" s="192">
        <v>5435</v>
      </c>
      <c r="B32" s="447" t="s">
        <v>291</v>
      </c>
      <c r="C32" s="535">
        <v>1501072.09</v>
      </c>
      <c r="D32" s="535">
        <v>168163.35</v>
      </c>
      <c r="E32" s="535"/>
      <c r="F32" s="536"/>
      <c r="G32" s="535">
        <v>9511.1</v>
      </c>
      <c r="H32" s="535">
        <v>248.35</v>
      </c>
      <c r="I32" s="535"/>
      <c r="J32" s="535">
        <v>17216.53</v>
      </c>
      <c r="K32" s="535"/>
      <c r="L32" s="535">
        <v>128517.7</v>
      </c>
      <c r="M32" s="498">
        <f t="shared" si="0"/>
        <v>1824729.1200000003</v>
      </c>
      <c r="N32" s="243">
        <v>17237.5</v>
      </c>
      <c r="O32" s="243">
        <v>5557</v>
      </c>
      <c r="P32" s="243">
        <v>135732.4</v>
      </c>
      <c r="Q32" s="243"/>
      <c r="R32" s="243">
        <v>122333.55</v>
      </c>
      <c r="S32" s="535">
        <v>1071.9000000000001</v>
      </c>
      <c r="T32" s="498">
        <f t="shared" si="1"/>
        <v>2106661.4700000002</v>
      </c>
      <c r="U32" s="239">
        <v>-41272.65</v>
      </c>
      <c r="V32" s="243"/>
      <c r="W32" s="243">
        <v>-614.47</v>
      </c>
      <c r="X32" s="540">
        <v>69</v>
      </c>
      <c r="Y32" s="543">
        <v>1</v>
      </c>
      <c r="Z32" s="215">
        <v>674</v>
      </c>
      <c r="AA32" s="268"/>
      <c r="AB32" s="237">
        <v>0</v>
      </c>
      <c r="AC32" s="443">
        <f>AB32/VPI!R32</f>
        <v>0</v>
      </c>
      <c r="AD32" s="445">
        <f t="shared" si="2"/>
        <v>97472</v>
      </c>
      <c r="AE32" s="443">
        <f>AD32/VPI!R32</f>
        <v>3.77011917447361</v>
      </c>
      <c r="AF32" s="237">
        <v>97472</v>
      </c>
      <c r="AG32" s="237">
        <v>43811</v>
      </c>
      <c r="AH32" s="237">
        <v>67471</v>
      </c>
      <c r="AI32" s="271"/>
      <c r="AJ32" s="8">
        <v>0</v>
      </c>
      <c r="AK32" s="443">
        <f>AJ32/VPI!R32</f>
        <v>0</v>
      </c>
      <c r="AL32" s="445">
        <f t="shared" si="3"/>
        <v>17893</v>
      </c>
      <c r="AM32" s="443">
        <f>AL32/VPI!R32</f>
        <v>0.6920832894457517</v>
      </c>
      <c r="AN32" s="8">
        <v>17893</v>
      </c>
      <c r="AO32" s="271"/>
      <c r="AP32" s="529">
        <v>29.433839938265265</v>
      </c>
      <c r="AR32" s="546">
        <v>0</v>
      </c>
      <c r="AT32" s="239">
        <f t="shared" si="4"/>
        <v>1824729.1200000003</v>
      </c>
      <c r="AU32" s="5">
        <f t="shared" si="5"/>
        <v>0</v>
      </c>
    </row>
    <row r="33" spans="1:47" x14ac:dyDescent="0.25">
      <c r="A33" s="192">
        <v>5436</v>
      </c>
      <c r="B33" s="447" t="s">
        <v>292</v>
      </c>
      <c r="C33" s="535">
        <v>1181921.1499999999</v>
      </c>
      <c r="D33" s="535">
        <v>71886.600000000006</v>
      </c>
      <c r="E33" s="535"/>
      <c r="F33" s="536"/>
      <c r="G33" s="535">
        <v>4432.3</v>
      </c>
      <c r="H33" s="535">
        <v>-78.25</v>
      </c>
      <c r="I33" s="535"/>
      <c r="J33" s="535">
        <v>32225.58</v>
      </c>
      <c r="K33" s="535"/>
      <c r="L33" s="535">
        <v>72534.8</v>
      </c>
      <c r="M33" s="498">
        <f t="shared" si="0"/>
        <v>1362922.1800000002</v>
      </c>
      <c r="N33" s="243"/>
      <c r="O33" s="243">
        <v>69500</v>
      </c>
      <c r="P33" s="243">
        <v>40975</v>
      </c>
      <c r="Q33" s="243"/>
      <c r="R33" s="243">
        <v>41167</v>
      </c>
      <c r="S33" s="535">
        <v>478.21</v>
      </c>
      <c r="T33" s="498">
        <f t="shared" si="1"/>
        <v>1515042.3900000001</v>
      </c>
      <c r="U33" s="239">
        <v>-14241.17</v>
      </c>
      <c r="V33" s="243"/>
      <c r="W33" s="243">
        <v>-972.35</v>
      </c>
      <c r="X33" s="540">
        <v>81</v>
      </c>
      <c r="Y33" s="543">
        <v>0.8</v>
      </c>
      <c r="Z33" s="215">
        <v>458</v>
      </c>
      <c r="AA33" s="268"/>
      <c r="AB33" s="237">
        <v>0</v>
      </c>
      <c r="AC33" s="443">
        <f>AB33/VPI!R33</f>
        <v>0</v>
      </c>
      <c r="AD33" s="445">
        <f t="shared" si="2"/>
        <v>0</v>
      </c>
      <c r="AE33" s="443">
        <f>AD33/VPI!R33</f>
        <v>0</v>
      </c>
      <c r="AF33" s="237">
        <v>0</v>
      </c>
      <c r="AG33" s="237">
        <v>0</v>
      </c>
      <c r="AH33" s="237">
        <v>0</v>
      </c>
      <c r="AI33" s="271"/>
      <c r="AJ33" s="8">
        <v>0</v>
      </c>
      <c r="AK33" s="443">
        <f>AJ33/VPI!R33</f>
        <v>0</v>
      </c>
      <c r="AL33" s="445">
        <f t="shared" si="3"/>
        <v>0</v>
      </c>
      <c r="AM33" s="443">
        <f>AL33/VPI!R33</f>
        <v>0</v>
      </c>
      <c r="AN33" s="8">
        <v>0</v>
      </c>
      <c r="AO33" s="271"/>
      <c r="AP33" s="529">
        <v>25.098676775138053</v>
      </c>
      <c r="AR33" s="546">
        <v>0</v>
      </c>
      <c r="AT33" s="239">
        <f t="shared" si="4"/>
        <v>1362922.1800000002</v>
      </c>
      <c r="AU33" s="5">
        <f t="shared" si="5"/>
        <v>0</v>
      </c>
    </row>
    <row r="34" spans="1:47" x14ac:dyDescent="0.25">
      <c r="A34" s="192">
        <v>5437</v>
      </c>
      <c r="B34" s="447" t="s">
        <v>293</v>
      </c>
      <c r="C34" s="535">
        <v>910759.95</v>
      </c>
      <c r="D34" s="535">
        <v>79161.72</v>
      </c>
      <c r="E34" s="535"/>
      <c r="F34" s="536"/>
      <c r="G34" s="535">
        <v>14292.4</v>
      </c>
      <c r="H34" s="535">
        <v>492.2</v>
      </c>
      <c r="I34" s="535"/>
      <c r="J34" s="535">
        <v>13661.14</v>
      </c>
      <c r="K34" s="535">
        <v>791.85</v>
      </c>
      <c r="L34" s="535">
        <v>70137.45</v>
      </c>
      <c r="M34" s="498">
        <f t="shared" si="0"/>
        <v>1089296.71</v>
      </c>
      <c r="N34" s="243"/>
      <c r="O34" s="243">
        <v>91417.4</v>
      </c>
      <c r="P34" s="243">
        <v>156395.45000000001</v>
      </c>
      <c r="Q34" s="243"/>
      <c r="R34" s="243">
        <v>69247.350000000006</v>
      </c>
      <c r="S34" s="535">
        <v>1623.82</v>
      </c>
      <c r="T34" s="498">
        <f t="shared" si="1"/>
        <v>1407980.73</v>
      </c>
      <c r="U34" s="239">
        <v>-6812.87</v>
      </c>
      <c r="V34" s="243"/>
      <c r="W34" s="243">
        <v>-17.79</v>
      </c>
      <c r="X34" s="540">
        <v>80</v>
      </c>
      <c r="Y34" s="543">
        <v>1</v>
      </c>
      <c r="Z34" s="215">
        <v>444</v>
      </c>
      <c r="AA34" s="268"/>
      <c r="AB34" s="237">
        <v>0</v>
      </c>
      <c r="AC34" s="443">
        <f>AB34/VPI!R34</f>
        <v>0</v>
      </c>
      <c r="AD34" s="445">
        <f t="shared" si="2"/>
        <v>525762</v>
      </c>
      <c r="AE34" s="443">
        <f>AD34/VPI!R34</f>
        <v>38.798406999227844</v>
      </c>
      <c r="AF34" s="237">
        <v>525762</v>
      </c>
      <c r="AG34" s="237">
        <v>12323</v>
      </c>
      <c r="AH34" s="237">
        <v>46060</v>
      </c>
      <c r="AI34" s="271"/>
      <c r="AJ34" s="8">
        <v>0</v>
      </c>
      <c r="AK34" s="443">
        <f>AJ34/VPI!R34</f>
        <v>0</v>
      </c>
      <c r="AL34" s="445">
        <f t="shared" si="3"/>
        <v>9707</v>
      </c>
      <c r="AM34" s="443">
        <f>AL34/VPI!R34</f>
        <v>0.71632437631762025</v>
      </c>
      <c r="AN34" s="8">
        <v>9707</v>
      </c>
      <c r="AO34" s="271"/>
      <c r="AP34" s="529">
        <v>22.09565084807473</v>
      </c>
      <c r="AR34" s="546">
        <v>0</v>
      </c>
      <c r="AT34" s="239">
        <f t="shared" si="4"/>
        <v>1089296.71</v>
      </c>
      <c r="AU34" s="5">
        <f t="shared" si="5"/>
        <v>0</v>
      </c>
    </row>
    <row r="35" spans="1:47" x14ac:dyDescent="0.25">
      <c r="A35" s="192">
        <v>5451</v>
      </c>
      <c r="B35" s="447" t="s">
        <v>294</v>
      </c>
      <c r="C35" s="535">
        <v>5009328.8600000003</v>
      </c>
      <c r="D35" s="535">
        <v>603521.75</v>
      </c>
      <c r="E35" s="535"/>
      <c r="F35" s="536"/>
      <c r="G35" s="535">
        <v>1939123.65</v>
      </c>
      <c r="H35" s="535">
        <v>37474.449999999997</v>
      </c>
      <c r="I35" s="535"/>
      <c r="J35" s="535">
        <v>436798.86</v>
      </c>
      <c r="K35" s="535">
        <v>146076.35</v>
      </c>
      <c r="L35" s="535">
        <v>1450748.75</v>
      </c>
      <c r="M35" s="498">
        <f t="shared" si="0"/>
        <v>9623072.6699999999</v>
      </c>
      <c r="N35" s="243">
        <v>562337.4</v>
      </c>
      <c r="O35" s="243">
        <v>21825.5</v>
      </c>
      <c r="P35" s="243">
        <v>600691.75</v>
      </c>
      <c r="Q35" s="243">
        <v>128391.92</v>
      </c>
      <c r="R35" s="243">
        <v>171738.8</v>
      </c>
      <c r="S35" s="535">
        <v>217092.99</v>
      </c>
      <c r="T35" s="498">
        <f t="shared" si="1"/>
        <v>11325151.030000001</v>
      </c>
      <c r="U35" s="239">
        <v>-321439.74</v>
      </c>
      <c r="V35" s="243"/>
      <c r="W35" s="243">
        <v>-574.02</v>
      </c>
      <c r="X35" s="540">
        <v>66.5</v>
      </c>
      <c r="Y35" s="543">
        <v>1.5</v>
      </c>
      <c r="Z35" s="215">
        <v>4616</v>
      </c>
      <c r="AA35" s="268"/>
      <c r="AB35" s="237">
        <v>580891</v>
      </c>
      <c r="AC35" s="443">
        <f>AB35/VPI!R35</f>
        <v>4.2158044662121519</v>
      </c>
      <c r="AD35" s="445">
        <f t="shared" si="2"/>
        <v>1280197</v>
      </c>
      <c r="AE35" s="443">
        <f>AD35/VPI!R35</f>
        <v>9.2910033555889111</v>
      </c>
      <c r="AF35" s="237">
        <v>1861088</v>
      </c>
      <c r="AG35" s="237">
        <v>693477</v>
      </c>
      <c r="AH35" s="237">
        <v>451330</v>
      </c>
      <c r="AI35" s="271"/>
      <c r="AJ35" s="8">
        <v>0</v>
      </c>
      <c r="AK35" s="443">
        <f>AJ35/VPI!R35</f>
        <v>0</v>
      </c>
      <c r="AL35" s="445">
        <f t="shared" si="3"/>
        <v>78927</v>
      </c>
      <c r="AM35" s="443">
        <f>AL35/VPI!R35</f>
        <v>0.57281107661286967</v>
      </c>
      <c r="AN35" s="8">
        <v>78927</v>
      </c>
      <c r="AO35" s="271"/>
      <c r="AP35" s="529">
        <v>14.698892807111354</v>
      </c>
      <c r="AR35" s="546">
        <v>0</v>
      </c>
      <c r="AT35" s="239">
        <f t="shared" si="4"/>
        <v>9623072.6699999999</v>
      </c>
      <c r="AU35" s="5">
        <f t="shared" si="5"/>
        <v>0</v>
      </c>
    </row>
    <row r="36" spans="1:47" x14ac:dyDescent="0.25">
      <c r="A36" s="192">
        <v>5456</v>
      </c>
      <c r="B36" s="447" t="s">
        <v>295</v>
      </c>
      <c r="C36" s="535">
        <v>3029771.66</v>
      </c>
      <c r="D36" s="535">
        <v>317950.07</v>
      </c>
      <c r="E36" s="535"/>
      <c r="F36" s="536"/>
      <c r="G36" s="535">
        <v>39520.199999999997</v>
      </c>
      <c r="H36" s="535">
        <v>2180.5500000000002</v>
      </c>
      <c r="I36" s="535"/>
      <c r="J36" s="535">
        <v>52329.66</v>
      </c>
      <c r="K36" s="535">
        <v>10849.65</v>
      </c>
      <c r="L36" s="535">
        <v>531103.80000000005</v>
      </c>
      <c r="M36" s="498">
        <f t="shared" si="0"/>
        <v>3983705.59</v>
      </c>
      <c r="N36" s="243">
        <v>5267</v>
      </c>
      <c r="O36" s="243">
        <v>10898.2</v>
      </c>
      <c r="P36" s="243">
        <v>195993.75</v>
      </c>
      <c r="Q36" s="243">
        <v>80211.77</v>
      </c>
      <c r="R36" s="243">
        <v>188890.3</v>
      </c>
      <c r="S36" s="535">
        <v>4580.0600000000004</v>
      </c>
      <c r="T36" s="498">
        <f t="shared" si="1"/>
        <v>4469546.669999999</v>
      </c>
      <c r="U36" s="239">
        <v>-106547.49</v>
      </c>
      <c r="V36" s="243"/>
      <c r="W36" s="243">
        <v>-506.24</v>
      </c>
      <c r="X36" s="540">
        <v>59</v>
      </c>
      <c r="Y36" s="543">
        <v>1.5</v>
      </c>
      <c r="Z36" s="215">
        <v>1836</v>
      </c>
      <c r="AA36" s="268"/>
      <c r="AB36" s="237">
        <v>69229</v>
      </c>
      <c r="AC36" s="443">
        <f>AB36/VPI!R36</f>
        <v>1.0792995426400902</v>
      </c>
      <c r="AD36" s="445">
        <f t="shared" si="2"/>
        <v>537696</v>
      </c>
      <c r="AE36" s="443">
        <f>AD36/VPI!R36</f>
        <v>8.382831571731586</v>
      </c>
      <c r="AF36" s="237">
        <v>606925</v>
      </c>
      <c r="AG36" s="237">
        <v>97215</v>
      </c>
      <c r="AH36" s="237">
        <v>184588</v>
      </c>
      <c r="AI36" s="271"/>
      <c r="AJ36" s="8">
        <v>0</v>
      </c>
      <c r="AK36" s="443">
        <f>AJ36/VPI!R36</f>
        <v>0</v>
      </c>
      <c r="AL36" s="445">
        <f t="shared" si="3"/>
        <v>28239</v>
      </c>
      <c r="AM36" s="443">
        <f>AL36/VPI!R36</f>
        <v>0.44025393671168889</v>
      </c>
      <c r="AN36" s="8">
        <v>28239</v>
      </c>
      <c r="AO36" s="271"/>
      <c r="AP36" s="529">
        <v>26.558717648473817</v>
      </c>
      <c r="AR36" s="546">
        <v>0</v>
      </c>
      <c r="AT36" s="239">
        <f t="shared" si="4"/>
        <v>3983705.59</v>
      </c>
      <c r="AU36" s="5">
        <f t="shared" si="5"/>
        <v>0</v>
      </c>
    </row>
    <row r="37" spans="1:47" x14ac:dyDescent="0.25">
      <c r="A37" s="192">
        <v>5458</v>
      </c>
      <c r="B37" s="447" t="s">
        <v>296</v>
      </c>
      <c r="C37" s="535">
        <v>1674822.35</v>
      </c>
      <c r="D37" s="535">
        <v>290751.75</v>
      </c>
      <c r="E37" s="535"/>
      <c r="F37" s="536"/>
      <c r="G37" s="535">
        <v>24617.55</v>
      </c>
      <c r="H37" s="535">
        <v>1373.6</v>
      </c>
      <c r="I37" s="535"/>
      <c r="J37" s="535">
        <v>59073.19</v>
      </c>
      <c r="K37" s="535">
        <v>12888.25</v>
      </c>
      <c r="L37" s="535">
        <v>284886.15000000002</v>
      </c>
      <c r="M37" s="498">
        <f t="shared" si="0"/>
        <v>2348412.8400000003</v>
      </c>
      <c r="N37" s="243">
        <v>1661.35</v>
      </c>
      <c r="O37" s="243">
        <v>120558.8</v>
      </c>
      <c r="P37" s="243">
        <v>55638.45</v>
      </c>
      <c r="Q37" s="243">
        <v>14872.5</v>
      </c>
      <c r="R37" s="243">
        <v>71087.399999999994</v>
      </c>
      <c r="S37" s="535">
        <v>2854.65</v>
      </c>
      <c r="T37" s="498">
        <f t="shared" si="1"/>
        <v>2615085.9900000002</v>
      </c>
      <c r="U37" s="239">
        <v>-14228.07</v>
      </c>
      <c r="V37" s="243"/>
      <c r="W37" s="243">
        <v>-151.1</v>
      </c>
      <c r="X37" s="540">
        <v>65</v>
      </c>
      <c r="Y37" s="543">
        <v>1.5</v>
      </c>
      <c r="Z37" s="215">
        <v>866</v>
      </c>
      <c r="AA37" s="268"/>
      <c r="AB37" s="237">
        <v>16757</v>
      </c>
      <c r="AC37" s="443">
        <f>AB37/VPI!R37</f>
        <v>0.48263275152352197</v>
      </c>
      <c r="AD37" s="445">
        <f t="shared" si="2"/>
        <v>277922</v>
      </c>
      <c r="AE37" s="443">
        <f>AD37/VPI!R37</f>
        <v>8.0046702613188678</v>
      </c>
      <c r="AF37" s="237">
        <v>294679</v>
      </c>
      <c r="AG37" s="237">
        <v>80194</v>
      </c>
      <c r="AH37" s="237">
        <v>78827</v>
      </c>
      <c r="AI37" s="271"/>
      <c r="AJ37" s="8">
        <v>0</v>
      </c>
      <c r="AK37" s="443">
        <f>AJ37/VPI!R37</f>
        <v>0</v>
      </c>
      <c r="AL37" s="445">
        <f t="shared" si="3"/>
        <v>17512</v>
      </c>
      <c r="AM37" s="443">
        <f>AL37/VPI!R37</f>
        <v>0.50437815508025996</v>
      </c>
      <c r="AN37" s="8">
        <v>17512</v>
      </c>
      <c r="AO37" s="271"/>
      <c r="AP37" s="529">
        <v>28.341943490592183</v>
      </c>
      <c r="AR37" s="546">
        <v>0</v>
      </c>
      <c r="AT37" s="239">
        <f t="shared" si="4"/>
        <v>2348412.8400000003</v>
      </c>
      <c r="AU37" s="5">
        <f t="shared" si="5"/>
        <v>0</v>
      </c>
    </row>
    <row r="38" spans="1:47" x14ac:dyDescent="0.25">
      <c r="A38" s="192">
        <v>5464</v>
      </c>
      <c r="B38" s="447" t="s">
        <v>344</v>
      </c>
      <c r="C38" s="535">
        <v>6002531.6100000003</v>
      </c>
      <c r="D38" s="535">
        <v>1145557.5900000001</v>
      </c>
      <c r="E38" s="535"/>
      <c r="F38" s="536"/>
      <c r="G38" s="535">
        <v>39239.35</v>
      </c>
      <c r="H38" s="535">
        <v>8188.45</v>
      </c>
      <c r="I38" s="535">
        <v>5716.2</v>
      </c>
      <c r="J38" s="535">
        <v>132675.49</v>
      </c>
      <c r="K38" s="535">
        <v>28110.75</v>
      </c>
      <c r="L38" s="535">
        <v>1055533.5</v>
      </c>
      <c r="M38" s="498">
        <f t="shared" si="0"/>
        <v>8417552.9400000013</v>
      </c>
      <c r="N38" s="243">
        <v>340.45</v>
      </c>
      <c r="O38" s="243">
        <v>166459.1</v>
      </c>
      <c r="P38" s="243">
        <v>904420.85</v>
      </c>
      <c r="Q38" s="243">
        <v>16393.46</v>
      </c>
      <c r="R38" s="243">
        <v>409718.55</v>
      </c>
      <c r="S38" s="535">
        <v>5209.08</v>
      </c>
      <c r="T38" s="498">
        <f t="shared" si="1"/>
        <v>9920094.4300000016</v>
      </c>
      <c r="U38" s="239">
        <v>-98442.41</v>
      </c>
      <c r="V38" s="243"/>
      <c r="W38" s="243">
        <v>-4687.72</v>
      </c>
      <c r="X38" s="540">
        <v>67</v>
      </c>
      <c r="Y38" s="543">
        <v>1.5</v>
      </c>
      <c r="Z38" s="215">
        <v>3465</v>
      </c>
      <c r="AA38" s="268"/>
      <c r="AB38" s="237">
        <v>179182</v>
      </c>
      <c r="AC38" s="443">
        <f>AB38/VPI!R38</f>
        <v>1.5036225037412572</v>
      </c>
      <c r="AD38" s="445">
        <f t="shared" si="2"/>
        <v>665376</v>
      </c>
      <c r="AE38" s="443">
        <f>AD38/VPI!R38</f>
        <v>5.5835649063485322</v>
      </c>
      <c r="AF38" s="237">
        <v>844558</v>
      </c>
      <c r="AG38" s="237">
        <v>183508</v>
      </c>
      <c r="AH38" s="237">
        <v>325184</v>
      </c>
      <c r="AI38" s="271"/>
      <c r="AJ38" s="8">
        <v>0</v>
      </c>
      <c r="AK38" s="443">
        <f>AJ38/VPI!R38</f>
        <v>0</v>
      </c>
      <c r="AL38" s="445">
        <f t="shared" si="3"/>
        <v>31212</v>
      </c>
      <c r="AM38" s="443">
        <f>AL38/VPI!R38</f>
        <v>0.2619184158384889</v>
      </c>
      <c r="AN38" s="8">
        <v>31212</v>
      </c>
      <c r="AO38" s="271"/>
      <c r="AP38" s="529">
        <v>19.903538686228934</v>
      </c>
      <c r="AR38" s="546">
        <v>0</v>
      </c>
      <c r="AT38" s="239">
        <f t="shared" si="4"/>
        <v>8417552.9400000013</v>
      </c>
      <c r="AU38" s="5">
        <f t="shared" si="5"/>
        <v>0</v>
      </c>
    </row>
    <row r="39" spans="1:47" x14ac:dyDescent="0.25">
      <c r="A39" s="192">
        <v>5471</v>
      </c>
      <c r="B39" s="447" t="s">
        <v>297</v>
      </c>
      <c r="C39" s="535">
        <v>1171278.3700000001</v>
      </c>
      <c r="D39" s="535">
        <v>143008.88</v>
      </c>
      <c r="E39" s="535"/>
      <c r="F39" s="536"/>
      <c r="G39" s="535">
        <v>114347.85</v>
      </c>
      <c r="H39" s="535">
        <v>4031.45</v>
      </c>
      <c r="I39" s="535"/>
      <c r="J39" s="535">
        <v>24741.16</v>
      </c>
      <c r="K39" s="535">
        <v>4233.25</v>
      </c>
      <c r="L39" s="535">
        <v>123504.65</v>
      </c>
      <c r="M39" s="498">
        <f t="shared" si="0"/>
        <v>1585145.6099999999</v>
      </c>
      <c r="N39" s="243">
        <v>9506.5499999999993</v>
      </c>
      <c r="O39" s="243">
        <v>4295.8</v>
      </c>
      <c r="P39" s="243">
        <v>60101.25</v>
      </c>
      <c r="Q39" s="243"/>
      <c r="R39" s="243">
        <v>10798.85</v>
      </c>
      <c r="S39" s="535">
        <v>13001.79</v>
      </c>
      <c r="T39" s="498">
        <f t="shared" si="1"/>
        <v>1682849.85</v>
      </c>
      <c r="U39" s="239">
        <v>-9720.76</v>
      </c>
      <c r="V39" s="243"/>
      <c r="W39" s="243">
        <v>-43.82</v>
      </c>
      <c r="X39" s="540">
        <v>70</v>
      </c>
      <c r="Y39" s="543">
        <v>0.9</v>
      </c>
      <c r="Z39" s="215">
        <v>626</v>
      </c>
      <c r="AA39" s="268"/>
      <c r="AB39" s="237">
        <v>39410</v>
      </c>
      <c r="AC39" s="443">
        <f>AB39/VPI!R39</f>
        <v>1.721921495555665</v>
      </c>
      <c r="AD39" s="445">
        <f t="shared" si="2"/>
        <v>102273</v>
      </c>
      <c r="AE39" s="443">
        <f>AD39/VPI!R39</f>
        <v>4.4685632355992011</v>
      </c>
      <c r="AF39" s="237">
        <v>141683</v>
      </c>
      <c r="AG39" s="237">
        <v>20645</v>
      </c>
      <c r="AH39" s="237">
        <v>55933</v>
      </c>
      <c r="AI39" s="271"/>
      <c r="AJ39" s="8">
        <v>0</v>
      </c>
      <c r="AK39" s="443">
        <f>AJ39/VPI!R39</f>
        <v>0</v>
      </c>
      <c r="AL39" s="445">
        <f t="shared" si="3"/>
        <v>396</v>
      </c>
      <c r="AM39" s="443">
        <f>AL39/VPI!R39</f>
        <v>1.7302230708958217E-2</v>
      </c>
      <c r="AN39" s="8">
        <v>396</v>
      </c>
      <c r="AO39" s="271"/>
      <c r="AP39" s="529">
        <v>22.986411125903011</v>
      </c>
      <c r="AR39" s="546">
        <v>0</v>
      </c>
      <c r="AT39" s="239">
        <f t="shared" si="4"/>
        <v>1585145.6099999999</v>
      </c>
      <c r="AU39" s="5">
        <f t="shared" si="5"/>
        <v>0</v>
      </c>
    </row>
    <row r="40" spans="1:47" x14ac:dyDescent="0.25">
      <c r="A40" s="192">
        <v>5472</v>
      </c>
      <c r="B40" s="447" t="s">
        <v>298</v>
      </c>
      <c r="C40" s="535">
        <v>1204103.9099999999</v>
      </c>
      <c r="D40" s="535">
        <v>192184.88</v>
      </c>
      <c r="E40" s="535"/>
      <c r="F40" s="536"/>
      <c r="G40" s="535">
        <v>61261.95</v>
      </c>
      <c r="H40" s="535">
        <v>279.3</v>
      </c>
      <c r="I40" s="535"/>
      <c r="J40" s="535">
        <v>13338.27</v>
      </c>
      <c r="K40" s="535">
        <v>1422.55</v>
      </c>
      <c r="L40" s="535">
        <v>111315.05</v>
      </c>
      <c r="M40" s="498">
        <f t="shared" si="0"/>
        <v>1583905.9100000001</v>
      </c>
      <c r="N40" s="243"/>
      <c r="O40" s="243">
        <v>96601.8</v>
      </c>
      <c r="P40" s="243">
        <v>57797.05</v>
      </c>
      <c r="Q40" s="243">
        <v>7994.49</v>
      </c>
      <c r="R40" s="243">
        <v>42353.45</v>
      </c>
      <c r="S40" s="535">
        <v>6759.18</v>
      </c>
      <c r="T40" s="498">
        <f t="shared" si="1"/>
        <v>1795411.8800000001</v>
      </c>
      <c r="U40" s="239">
        <v>-1565.35</v>
      </c>
      <c r="V40" s="243"/>
      <c r="W40" s="243">
        <v>-457.52</v>
      </c>
      <c r="X40" s="540">
        <v>72</v>
      </c>
      <c r="Y40" s="543">
        <v>1</v>
      </c>
      <c r="Z40" s="215">
        <v>507</v>
      </c>
      <c r="AA40" s="268"/>
      <c r="AB40" s="237">
        <v>23825</v>
      </c>
      <c r="AC40" s="443">
        <f>AB40/VPI!R40</f>
        <v>1.0743834143710751</v>
      </c>
      <c r="AD40" s="445">
        <f t="shared" si="2"/>
        <v>78750</v>
      </c>
      <c r="AE40" s="443">
        <f>AD40/VPI!R40</f>
        <v>3.5512148533776355</v>
      </c>
      <c r="AF40" s="237">
        <v>102575</v>
      </c>
      <c r="AG40" s="237">
        <v>23858</v>
      </c>
      <c r="AH40" s="237">
        <v>25194</v>
      </c>
      <c r="AI40" s="271"/>
      <c r="AJ40" s="8">
        <v>0</v>
      </c>
      <c r="AK40" s="443">
        <f>AJ40/VPI!R40</f>
        <v>0</v>
      </c>
      <c r="AL40" s="445">
        <f t="shared" si="3"/>
        <v>45347</v>
      </c>
      <c r="AM40" s="443">
        <f>AL40/VPI!R40</f>
        <v>2.0449135232522622</v>
      </c>
      <c r="AN40" s="8">
        <v>45347</v>
      </c>
      <c r="AO40" s="271"/>
      <c r="AP40" s="529">
        <v>32.512141281651189</v>
      </c>
      <c r="AR40" s="546">
        <v>0</v>
      </c>
      <c r="AT40" s="239">
        <f t="shared" si="4"/>
        <v>1583905.9100000001</v>
      </c>
      <c r="AU40" s="5">
        <f t="shared" si="5"/>
        <v>0</v>
      </c>
    </row>
    <row r="41" spans="1:47" x14ac:dyDescent="0.25">
      <c r="A41" s="192">
        <v>5473</v>
      </c>
      <c r="B41" s="447" t="s">
        <v>188</v>
      </c>
      <c r="C41" s="535">
        <v>2068139.82</v>
      </c>
      <c r="D41" s="535">
        <v>236761</v>
      </c>
      <c r="E41" s="535"/>
      <c r="F41" s="536"/>
      <c r="G41" s="535">
        <v>17400.95</v>
      </c>
      <c r="H41" s="535">
        <v>720.7</v>
      </c>
      <c r="I41" s="535"/>
      <c r="J41" s="535">
        <v>-4141.21</v>
      </c>
      <c r="K41" s="535">
        <v>8991.2000000000007</v>
      </c>
      <c r="L41" s="535">
        <v>192206.4</v>
      </c>
      <c r="M41" s="498">
        <f t="shared" si="0"/>
        <v>2520078.8600000008</v>
      </c>
      <c r="N41" s="243">
        <v>4238.3</v>
      </c>
      <c r="O41" s="243"/>
      <c r="P41" s="243">
        <v>133840.70000000001</v>
      </c>
      <c r="Q41" s="243">
        <v>24.58</v>
      </c>
      <c r="R41" s="243">
        <v>120047.15</v>
      </c>
      <c r="S41" s="535">
        <v>1990.33</v>
      </c>
      <c r="T41" s="498">
        <f t="shared" si="1"/>
        <v>2780219.9200000009</v>
      </c>
      <c r="U41" s="239">
        <v>-20658.46</v>
      </c>
      <c r="V41" s="243"/>
      <c r="W41" s="243">
        <v>-14.11</v>
      </c>
      <c r="X41" s="540">
        <v>67.5</v>
      </c>
      <c r="Y41" s="543">
        <v>1</v>
      </c>
      <c r="Z41" s="215">
        <v>1001</v>
      </c>
      <c r="AA41" s="268"/>
      <c r="AB41" s="237">
        <v>0</v>
      </c>
      <c r="AC41" s="443">
        <f>AB41/VPI!R41</f>
        <v>0</v>
      </c>
      <c r="AD41" s="445">
        <f t="shared" si="2"/>
        <v>0</v>
      </c>
      <c r="AE41" s="443">
        <f>AD41/VPI!R41</f>
        <v>0</v>
      </c>
      <c r="AF41" s="237">
        <v>0</v>
      </c>
      <c r="AG41" s="237">
        <v>0</v>
      </c>
      <c r="AH41" s="237">
        <v>0</v>
      </c>
      <c r="AI41" s="271"/>
      <c r="AJ41" s="8">
        <v>0</v>
      </c>
      <c r="AK41" s="443">
        <f>AJ41/VPI!R41</f>
        <v>0</v>
      </c>
      <c r="AL41" s="445">
        <f t="shared" si="3"/>
        <v>0</v>
      </c>
      <c r="AM41" s="443">
        <f>AL41/VPI!R41</f>
        <v>0</v>
      </c>
      <c r="AN41" s="8">
        <v>0</v>
      </c>
      <c r="AO41" s="271"/>
      <c r="AP41" s="529">
        <v>27.731932524908935</v>
      </c>
      <c r="AR41" s="546">
        <v>0</v>
      </c>
      <c r="AT41" s="239">
        <f t="shared" si="4"/>
        <v>2520078.8600000008</v>
      </c>
      <c r="AU41" s="5">
        <f t="shared" si="5"/>
        <v>0</v>
      </c>
    </row>
    <row r="42" spans="1:47" x14ac:dyDescent="0.25">
      <c r="A42" s="192">
        <v>5474</v>
      </c>
      <c r="B42" s="447" t="s">
        <v>189</v>
      </c>
      <c r="C42" s="535">
        <v>830248.54</v>
      </c>
      <c r="D42" s="535">
        <v>98617.82</v>
      </c>
      <c r="E42" s="535"/>
      <c r="F42" s="536"/>
      <c r="G42" s="535">
        <v>9761.4500000000007</v>
      </c>
      <c r="H42" s="535">
        <v>4628.8999999999996</v>
      </c>
      <c r="I42" s="535">
        <v>-36561.5</v>
      </c>
      <c r="J42" s="535">
        <v>1142.73</v>
      </c>
      <c r="K42" s="535">
        <v>369</v>
      </c>
      <c r="L42" s="535">
        <v>89502.5</v>
      </c>
      <c r="M42" s="498">
        <f t="shared" si="0"/>
        <v>997709.44000000006</v>
      </c>
      <c r="N42" s="243">
        <v>2826.15</v>
      </c>
      <c r="O42" s="243">
        <v>248.4</v>
      </c>
      <c r="P42" s="243">
        <v>63041</v>
      </c>
      <c r="Q42" s="243">
        <v>2076</v>
      </c>
      <c r="R42" s="243">
        <v>29643.75</v>
      </c>
      <c r="S42" s="535">
        <v>1580.51</v>
      </c>
      <c r="T42" s="498">
        <f t="shared" si="1"/>
        <v>1097125.2500000002</v>
      </c>
      <c r="U42" s="239">
        <v>-5446.47</v>
      </c>
      <c r="V42" s="243"/>
      <c r="W42" s="243">
        <v>-270.48</v>
      </c>
      <c r="X42" s="540">
        <v>76</v>
      </c>
      <c r="Y42" s="543">
        <v>1.2</v>
      </c>
      <c r="Z42" s="215">
        <v>398</v>
      </c>
      <c r="AA42" s="268"/>
      <c r="AB42" s="237">
        <v>105548</v>
      </c>
      <c r="AC42" s="443">
        <f>AB42/VPI!R42</f>
        <v>8.1792464012634092</v>
      </c>
      <c r="AD42" s="445">
        <f t="shared" si="2"/>
        <v>217257</v>
      </c>
      <c r="AE42" s="443">
        <f>AD42/VPI!R42</f>
        <v>16.835928064949449</v>
      </c>
      <c r="AF42" s="237">
        <v>322805</v>
      </c>
      <c r="AG42" s="237">
        <v>15505</v>
      </c>
      <c r="AH42" s="237">
        <v>71288</v>
      </c>
      <c r="AI42" s="271"/>
      <c r="AJ42" s="8">
        <v>0</v>
      </c>
      <c r="AK42" s="443">
        <f>AJ42/VPI!R42</f>
        <v>0</v>
      </c>
      <c r="AL42" s="445">
        <f t="shared" si="3"/>
        <v>5981</v>
      </c>
      <c r="AM42" s="443">
        <f>AL42/VPI!R42</f>
        <v>0.46348649643722717</v>
      </c>
      <c r="AN42" s="8">
        <v>5981</v>
      </c>
      <c r="AO42" s="271"/>
      <c r="AP42" s="529">
        <v>25.44047950118885</v>
      </c>
      <c r="AR42" s="546">
        <v>0</v>
      </c>
      <c r="AT42" s="239">
        <f t="shared" si="4"/>
        <v>997709.44000000006</v>
      </c>
      <c r="AU42" s="5">
        <f t="shared" si="5"/>
        <v>0</v>
      </c>
    </row>
    <row r="43" spans="1:47" x14ac:dyDescent="0.25">
      <c r="A43" s="192">
        <v>5475</v>
      </c>
      <c r="B43" s="447" t="s">
        <v>306</v>
      </c>
      <c r="C43" s="535">
        <v>253400.1</v>
      </c>
      <c r="D43" s="535">
        <v>42955.33</v>
      </c>
      <c r="E43" s="535"/>
      <c r="F43" s="536"/>
      <c r="G43" s="535">
        <v>303.3</v>
      </c>
      <c r="H43" s="535">
        <v>43</v>
      </c>
      <c r="I43" s="535"/>
      <c r="J43" s="535">
        <v>738.72</v>
      </c>
      <c r="K43" s="535"/>
      <c r="L43" s="535">
        <v>25399.3</v>
      </c>
      <c r="M43" s="498">
        <f t="shared" si="0"/>
        <v>322839.74999999994</v>
      </c>
      <c r="N43" s="243"/>
      <c r="O43" s="243"/>
      <c r="P43" s="243">
        <v>910.7</v>
      </c>
      <c r="Q43" s="243">
        <v>61.03</v>
      </c>
      <c r="R43" s="243">
        <v>8489.85</v>
      </c>
      <c r="S43" s="535">
        <v>38.04</v>
      </c>
      <c r="T43" s="498">
        <f t="shared" si="1"/>
        <v>332339.36999999994</v>
      </c>
      <c r="U43" s="239">
        <v>-2144.58</v>
      </c>
      <c r="V43" s="243"/>
      <c r="W43" s="243">
        <v>0</v>
      </c>
      <c r="X43" s="540">
        <v>75</v>
      </c>
      <c r="Y43" s="543">
        <v>1</v>
      </c>
      <c r="Z43" s="215">
        <v>155</v>
      </c>
      <c r="AA43" s="268"/>
      <c r="AB43" s="237">
        <v>1356</v>
      </c>
      <c r="AC43" s="443">
        <f>AB43/VPI!R43</f>
        <v>0.31702564235567321</v>
      </c>
      <c r="AD43" s="445">
        <f t="shared" si="2"/>
        <v>15403</v>
      </c>
      <c r="AE43" s="443">
        <f>AD43/VPI!R43</f>
        <v>3.6011400952835064</v>
      </c>
      <c r="AF43" s="237">
        <v>16759</v>
      </c>
      <c r="AG43" s="237">
        <v>6027</v>
      </c>
      <c r="AH43" s="237">
        <v>25006</v>
      </c>
      <c r="AI43" s="271"/>
      <c r="AJ43" s="8">
        <v>0</v>
      </c>
      <c r="AK43" s="443">
        <f>AJ43/VPI!R43</f>
        <v>0</v>
      </c>
      <c r="AL43" s="445">
        <f t="shared" si="3"/>
        <v>27749</v>
      </c>
      <c r="AM43" s="443">
        <f>AL43/VPI!R43</f>
        <v>6.4875697269377408</v>
      </c>
      <c r="AN43" s="8">
        <v>27749</v>
      </c>
      <c r="AO43" s="271"/>
      <c r="AP43" s="529">
        <v>12.706555216640416</v>
      </c>
      <c r="AR43" s="546">
        <v>0</v>
      </c>
      <c r="AT43" s="239">
        <f t="shared" si="4"/>
        <v>322839.74999999994</v>
      </c>
      <c r="AU43" s="5">
        <f t="shared" si="5"/>
        <v>0</v>
      </c>
    </row>
    <row r="44" spans="1:47" x14ac:dyDescent="0.25">
      <c r="A44" s="192">
        <v>5476</v>
      </c>
      <c r="B44" s="447" t="s">
        <v>307</v>
      </c>
      <c r="C44" s="535">
        <v>738808.12</v>
      </c>
      <c r="D44" s="535">
        <v>74910.12</v>
      </c>
      <c r="E44" s="535"/>
      <c r="F44" s="536"/>
      <c r="G44" s="535">
        <v>319.3</v>
      </c>
      <c r="H44" s="535">
        <v>-4343.1499999999996</v>
      </c>
      <c r="I44" s="535"/>
      <c r="J44" s="535">
        <v>8338.2800000000007</v>
      </c>
      <c r="K44" s="535"/>
      <c r="L44" s="535">
        <v>61737.3</v>
      </c>
      <c r="M44" s="498">
        <f t="shared" si="0"/>
        <v>879769.97000000009</v>
      </c>
      <c r="N44" s="243"/>
      <c r="O44" s="243"/>
      <c r="P44" s="243">
        <v>47404.15</v>
      </c>
      <c r="Q44" s="243"/>
      <c r="R44" s="243">
        <v>41817.9</v>
      </c>
      <c r="S44" s="535">
        <v>0</v>
      </c>
      <c r="T44" s="498">
        <f t="shared" si="1"/>
        <v>968992.02000000014</v>
      </c>
      <c r="U44" s="239">
        <v>-3599.73</v>
      </c>
      <c r="V44" s="243"/>
      <c r="W44" s="243">
        <v>-254.69</v>
      </c>
      <c r="X44" s="540">
        <v>72.5</v>
      </c>
      <c r="Y44" s="543">
        <v>1</v>
      </c>
      <c r="Z44" s="215">
        <v>322</v>
      </c>
      <c r="AA44" s="268"/>
      <c r="AB44" s="237">
        <v>0</v>
      </c>
      <c r="AC44" s="443">
        <f>AB44/VPI!R44</f>
        <v>0</v>
      </c>
      <c r="AD44" s="445">
        <f t="shared" si="2"/>
        <v>49567</v>
      </c>
      <c r="AE44" s="443">
        <f>AD44/VPI!R44</f>
        <v>4.1026871825714242</v>
      </c>
      <c r="AF44" s="237">
        <v>49567</v>
      </c>
      <c r="AG44" s="237">
        <v>23215</v>
      </c>
      <c r="AH44" s="237">
        <v>35733</v>
      </c>
      <c r="AI44" s="271"/>
      <c r="AJ44" s="8">
        <v>0</v>
      </c>
      <c r="AK44" s="443">
        <f>AJ44/VPI!R44</f>
        <v>0</v>
      </c>
      <c r="AL44" s="445">
        <f t="shared" si="3"/>
        <v>-3940</v>
      </c>
      <c r="AM44" s="443">
        <f>AL44/VPI!R44</f>
        <v>-0.32611591380013738</v>
      </c>
      <c r="AN44" s="8">
        <v>-3940</v>
      </c>
      <c r="AO44" s="271"/>
      <c r="AP44" s="529">
        <v>25.83212373102582</v>
      </c>
      <c r="AR44" s="546">
        <v>0</v>
      </c>
      <c r="AT44" s="239">
        <f t="shared" si="4"/>
        <v>879769.97000000009</v>
      </c>
      <c r="AU44" s="5">
        <f t="shared" si="5"/>
        <v>0</v>
      </c>
    </row>
    <row r="45" spans="1:47" x14ac:dyDescent="0.25">
      <c r="A45" s="192">
        <v>5477</v>
      </c>
      <c r="B45" s="447" t="s">
        <v>308</v>
      </c>
      <c r="C45" s="535">
        <v>7793073.3899999997</v>
      </c>
      <c r="D45" s="535">
        <v>976168.19</v>
      </c>
      <c r="E45" s="535"/>
      <c r="F45" s="536"/>
      <c r="G45" s="535">
        <v>416291.7</v>
      </c>
      <c r="H45" s="535">
        <v>15636.75</v>
      </c>
      <c r="I45" s="535"/>
      <c r="J45" s="535">
        <v>171591.45</v>
      </c>
      <c r="K45" s="535">
        <v>58880.4</v>
      </c>
      <c r="L45" s="535">
        <v>754712.75</v>
      </c>
      <c r="M45" s="498">
        <f t="shared" si="0"/>
        <v>10186354.629999999</v>
      </c>
      <c r="N45" s="243">
        <v>116740.25</v>
      </c>
      <c r="O45" s="243">
        <v>155937.70000000001</v>
      </c>
      <c r="P45" s="243">
        <v>425939.65</v>
      </c>
      <c r="Q45" s="243">
        <v>57373.19</v>
      </c>
      <c r="R45" s="243">
        <v>484737.1</v>
      </c>
      <c r="S45" s="535">
        <v>47439.41</v>
      </c>
      <c r="T45" s="498">
        <f t="shared" si="1"/>
        <v>11474521.929999998</v>
      </c>
      <c r="U45" s="239">
        <v>-380726.05</v>
      </c>
      <c r="V45" s="243"/>
      <c r="W45" s="243">
        <v>-1363.04</v>
      </c>
      <c r="X45" s="540">
        <v>69.5</v>
      </c>
      <c r="Y45" s="543">
        <v>1</v>
      </c>
      <c r="Z45" s="215">
        <v>4326</v>
      </c>
      <c r="AA45" s="268"/>
      <c r="AB45" s="237">
        <v>160348</v>
      </c>
      <c r="AC45" s="443">
        <f>AB45/VPI!R45</f>
        <v>1.12464407309639</v>
      </c>
      <c r="AD45" s="445">
        <f t="shared" si="2"/>
        <v>988098</v>
      </c>
      <c r="AE45" s="443">
        <f>AD45/VPI!R45</f>
        <v>6.9302926094394497</v>
      </c>
      <c r="AF45" s="237">
        <v>1148446</v>
      </c>
      <c r="AG45" s="237">
        <v>418556</v>
      </c>
      <c r="AH45" s="237">
        <v>661237</v>
      </c>
      <c r="AI45" s="271"/>
      <c r="AJ45" s="8">
        <v>0</v>
      </c>
      <c r="AK45" s="443">
        <f>AJ45/VPI!R45</f>
        <v>0</v>
      </c>
      <c r="AL45" s="445">
        <f t="shared" si="3"/>
        <v>24663</v>
      </c>
      <c r="AM45" s="443">
        <f>AL45/VPI!R45</f>
        <v>0.17298062198952446</v>
      </c>
      <c r="AN45" s="8">
        <v>24663</v>
      </c>
      <c r="AO45" s="271"/>
      <c r="AP45" s="529">
        <v>15.632763304990986</v>
      </c>
      <c r="AR45" s="546">
        <v>0</v>
      </c>
      <c r="AT45" s="239">
        <f t="shared" si="4"/>
        <v>10186354.629999999</v>
      </c>
      <c r="AU45" s="5">
        <f t="shared" si="5"/>
        <v>0</v>
      </c>
    </row>
    <row r="46" spans="1:47" x14ac:dyDescent="0.25">
      <c r="A46" s="192">
        <v>5479</v>
      </c>
      <c r="B46" s="447" t="s">
        <v>214</v>
      </c>
      <c r="C46" s="535">
        <v>1237762.04</v>
      </c>
      <c r="D46" s="535">
        <v>112447.46</v>
      </c>
      <c r="E46" s="535"/>
      <c r="F46" s="536"/>
      <c r="G46" s="535">
        <v>9132.65</v>
      </c>
      <c r="H46" s="535">
        <v>16.5</v>
      </c>
      <c r="I46" s="535">
        <v>-25685.4</v>
      </c>
      <c r="J46" s="535">
        <v>15477.41</v>
      </c>
      <c r="K46" s="535">
        <v>1464.25</v>
      </c>
      <c r="L46" s="535">
        <v>90803.45</v>
      </c>
      <c r="M46" s="498">
        <f t="shared" si="0"/>
        <v>1441418.3599999999</v>
      </c>
      <c r="N46" s="243">
        <v>7894.9</v>
      </c>
      <c r="O46" s="243">
        <v>53272.3</v>
      </c>
      <c r="P46" s="243">
        <v>46290.75</v>
      </c>
      <c r="Q46" s="243"/>
      <c r="R46" s="243">
        <v>15856.95</v>
      </c>
      <c r="S46" s="535">
        <v>1004.87</v>
      </c>
      <c r="T46" s="498">
        <f t="shared" si="1"/>
        <v>1565738.13</v>
      </c>
      <c r="U46" s="239">
        <v>-57619.12</v>
      </c>
      <c r="V46" s="243"/>
      <c r="W46" s="243">
        <v>0</v>
      </c>
      <c r="X46" s="540">
        <v>77</v>
      </c>
      <c r="Y46" s="543">
        <v>1</v>
      </c>
      <c r="Z46" s="215">
        <v>531</v>
      </c>
      <c r="AA46" s="268"/>
      <c r="AB46" s="237">
        <v>25094</v>
      </c>
      <c r="AC46" s="443">
        <f>AB46/VPI!R46</f>
        <v>1.3953150384569557</v>
      </c>
      <c r="AD46" s="445">
        <f t="shared" si="2"/>
        <v>94038</v>
      </c>
      <c r="AE46" s="443">
        <f>AD46/VPI!R46</f>
        <v>5.2288449663830079</v>
      </c>
      <c r="AF46" s="237">
        <v>119132</v>
      </c>
      <c r="AG46" s="237">
        <v>20898</v>
      </c>
      <c r="AH46" s="237">
        <v>83383</v>
      </c>
      <c r="AI46" s="271"/>
      <c r="AJ46" s="8">
        <v>0</v>
      </c>
      <c r="AK46" s="443">
        <f>AJ46/VPI!R46</f>
        <v>0</v>
      </c>
      <c r="AL46" s="445">
        <f t="shared" si="3"/>
        <v>67769</v>
      </c>
      <c r="AM46" s="443">
        <f>AL46/VPI!R46</f>
        <v>3.7681957775240869</v>
      </c>
      <c r="AN46" s="8">
        <v>67769</v>
      </c>
      <c r="AO46" s="271"/>
      <c r="AP46" s="529">
        <v>26.552508323685771</v>
      </c>
      <c r="AR46" s="546">
        <v>0</v>
      </c>
      <c r="AT46" s="239">
        <f t="shared" si="4"/>
        <v>1441418.3599999999</v>
      </c>
      <c r="AU46" s="5">
        <f t="shared" si="5"/>
        <v>0</v>
      </c>
    </row>
    <row r="47" spans="1:47" x14ac:dyDescent="0.25">
      <c r="A47" s="192">
        <v>5480</v>
      </c>
      <c r="B47" s="447" t="s">
        <v>215</v>
      </c>
      <c r="C47" s="535">
        <v>2123184.9300000002</v>
      </c>
      <c r="D47" s="535">
        <v>277454.71999999997</v>
      </c>
      <c r="E47" s="535"/>
      <c r="F47" s="536"/>
      <c r="G47" s="535">
        <v>-39909.800000000003</v>
      </c>
      <c r="H47" s="535">
        <v>14073.15</v>
      </c>
      <c r="I47" s="535"/>
      <c r="J47" s="535">
        <v>40898.230000000003</v>
      </c>
      <c r="K47" s="535">
        <v>12107.15</v>
      </c>
      <c r="L47" s="535">
        <v>375692.2</v>
      </c>
      <c r="M47" s="498">
        <f t="shared" si="0"/>
        <v>2803500.5800000005</v>
      </c>
      <c r="N47" s="243">
        <v>229974.39999999999</v>
      </c>
      <c r="O47" s="243"/>
      <c r="P47" s="243">
        <v>180519.15</v>
      </c>
      <c r="Q47" s="243">
        <v>49270.01</v>
      </c>
      <c r="R47" s="243">
        <v>118166.55</v>
      </c>
      <c r="S47" s="535">
        <v>0</v>
      </c>
      <c r="T47" s="498">
        <f t="shared" si="1"/>
        <v>3381430.69</v>
      </c>
      <c r="U47" s="239">
        <v>-61393.75</v>
      </c>
      <c r="V47" s="243"/>
      <c r="W47" s="243">
        <v>-1047.54</v>
      </c>
      <c r="X47" s="540">
        <v>66</v>
      </c>
      <c r="Y47" s="543">
        <v>1.2</v>
      </c>
      <c r="Z47" s="215">
        <v>1051</v>
      </c>
      <c r="AA47" s="268"/>
      <c r="AB47" s="237">
        <v>211606</v>
      </c>
      <c r="AC47" s="443">
        <f>AB47/VPI!R47</f>
        <v>5.1200369031855217</v>
      </c>
      <c r="AD47" s="445">
        <f t="shared" si="2"/>
        <v>98786</v>
      </c>
      <c r="AE47" s="443">
        <f>AD47/VPI!R47</f>
        <v>2.3902345184828642</v>
      </c>
      <c r="AF47" s="237">
        <v>310392</v>
      </c>
      <c r="AG47" s="237">
        <v>83343</v>
      </c>
      <c r="AH47" s="237">
        <v>121683</v>
      </c>
      <c r="AI47" s="271"/>
      <c r="AJ47" s="8">
        <v>0</v>
      </c>
      <c r="AK47" s="443">
        <f>AJ47/VPI!R47</f>
        <v>0</v>
      </c>
      <c r="AL47" s="445">
        <f t="shared" si="3"/>
        <v>23523</v>
      </c>
      <c r="AM47" s="443">
        <f>AL47/VPI!R47</f>
        <v>0.56916452309307408</v>
      </c>
      <c r="AN47" s="8">
        <v>23523</v>
      </c>
      <c r="AO47" s="271"/>
      <c r="AP47" s="529">
        <v>31.234749886317346</v>
      </c>
      <c r="AR47" s="546">
        <v>0</v>
      </c>
      <c r="AT47" s="239">
        <f t="shared" si="4"/>
        <v>2803500.5800000005</v>
      </c>
      <c r="AU47" s="5">
        <f t="shared" si="5"/>
        <v>0</v>
      </c>
    </row>
    <row r="48" spans="1:47" x14ac:dyDescent="0.25">
      <c r="A48" s="192">
        <v>5481</v>
      </c>
      <c r="B48" s="447" t="s">
        <v>216</v>
      </c>
      <c r="C48" s="535">
        <v>455686.95</v>
      </c>
      <c r="D48" s="535">
        <v>97788.61</v>
      </c>
      <c r="E48" s="535"/>
      <c r="F48" s="536"/>
      <c r="G48" s="535">
        <v>13007.8</v>
      </c>
      <c r="H48" s="535">
        <v>533.04999999999995</v>
      </c>
      <c r="I48" s="535"/>
      <c r="J48" s="535">
        <v>-833.47</v>
      </c>
      <c r="K48" s="535"/>
      <c r="L48" s="535">
        <v>41423.35</v>
      </c>
      <c r="M48" s="498">
        <f t="shared" si="0"/>
        <v>607606.29000000015</v>
      </c>
      <c r="N48" s="243"/>
      <c r="O48" s="243"/>
      <c r="P48" s="243">
        <v>16085.85</v>
      </c>
      <c r="Q48" s="243"/>
      <c r="R48" s="243">
        <v>1853.3</v>
      </c>
      <c r="S48" s="535">
        <v>1487.21</v>
      </c>
      <c r="T48" s="498">
        <f t="shared" si="1"/>
        <v>627032.65000000014</v>
      </c>
      <c r="U48" s="239">
        <v>-73.41</v>
      </c>
      <c r="V48" s="243"/>
      <c r="W48" s="243">
        <v>0</v>
      </c>
      <c r="X48" s="540">
        <v>75</v>
      </c>
      <c r="Y48" s="543">
        <v>1</v>
      </c>
      <c r="Z48" s="215">
        <v>225</v>
      </c>
      <c r="AA48" s="268"/>
      <c r="AB48" s="237">
        <v>0</v>
      </c>
      <c r="AC48" s="443">
        <f>AB48/VPI!R48</f>
        <v>0</v>
      </c>
      <c r="AD48" s="445">
        <f t="shared" si="2"/>
        <v>37756</v>
      </c>
      <c r="AE48" s="443">
        <f>AD48/VPI!R48</f>
        <v>4.6496003112146918</v>
      </c>
      <c r="AF48" s="237">
        <v>37756</v>
      </c>
      <c r="AG48" s="237">
        <v>8882</v>
      </c>
      <c r="AH48" s="237">
        <v>41359</v>
      </c>
      <c r="AI48" s="271"/>
      <c r="AJ48" s="8">
        <v>0</v>
      </c>
      <c r="AK48" s="443">
        <f>AJ48/VPI!R48</f>
        <v>0</v>
      </c>
      <c r="AL48" s="445">
        <f t="shared" si="3"/>
        <v>3091</v>
      </c>
      <c r="AM48" s="443">
        <f>AL48/VPI!R48</f>
        <v>0.38065246747443088</v>
      </c>
      <c r="AN48" s="8">
        <v>3091</v>
      </c>
      <c r="AO48" s="271"/>
      <c r="AP48" s="529">
        <v>24.604119074012697</v>
      </c>
      <c r="AR48" s="546">
        <v>0</v>
      </c>
      <c r="AT48" s="239">
        <f t="shared" si="4"/>
        <v>607606.29000000015</v>
      </c>
      <c r="AU48" s="5">
        <f t="shared" si="5"/>
        <v>0</v>
      </c>
    </row>
    <row r="49" spans="1:47" x14ac:dyDescent="0.25">
      <c r="A49" s="192">
        <v>5482</v>
      </c>
      <c r="B49" s="447" t="s">
        <v>217</v>
      </c>
      <c r="C49" s="535">
        <v>1465884.87</v>
      </c>
      <c r="D49" s="535">
        <v>102517.28</v>
      </c>
      <c r="E49" s="535"/>
      <c r="F49" s="536"/>
      <c r="G49" s="535">
        <v>339145.3</v>
      </c>
      <c r="H49" s="535">
        <v>23203.35</v>
      </c>
      <c r="I49" s="535"/>
      <c r="J49" s="535">
        <v>43014.7</v>
      </c>
      <c r="K49" s="535">
        <v>54198.35</v>
      </c>
      <c r="L49" s="535">
        <v>443951.55</v>
      </c>
      <c r="M49" s="498">
        <f t="shared" si="0"/>
        <v>2471915.4000000004</v>
      </c>
      <c r="N49" s="243">
        <v>311950.55</v>
      </c>
      <c r="O49" s="243">
        <v>29857</v>
      </c>
      <c r="P49" s="243">
        <v>149037.35</v>
      </c>
      <c r="Q49" s="243">
        <v>5313.64</v>
      </c>
      <c r="R49" s="243">
        <v>26578.95</v>
      </c>
      <c r="S49" s="535">
        <v>39797.35</v>
      </c>
      <c r="T49" s="498">
        <f t="shared" si="1"/>
        <v>3034450.2400000007</v>
      </c>
      <c r="U49" s="239">
        <v>-24344.36</v>
      </c>
      <c r="V49" s="243"/>
      <c r="W49" s="243">
        <v>-893.6</v>
      </c>
      <c r="X49" s="540">
        <v>46</v>
      </c>
      <c r="Y49" s="543">
        <v>1</v>
      </c>
      <c r="Z49" s="215">
        <v>1198</v>
      </c>
      <c r="AA49" s="268"/>
      <c r="AB49" s="237">
        <v>132942</v>
      </c>
      <c r="AC49" s="443">
        <f>AB49/VPI!R49</f>
        <v>2.4541939140475102</v>
      </c>
      <c r="AD49" s="445">
        <f t="shared" si="2"/>
        <v>150533</v>
      </c>
      <c r="AE49" s="443">
        <f>AD49/VPI!R49</f>
        <v>2.7789349676047741</v>
      </c>
      <c r="AF49" s="237">
        <v>283475</v>
      </c>
      <c r="AG49" s="237">
        <v>114722</v>
      </c>
      <c r="AH49" s="237">
        <v>132945</v>
      </c>
      <c r="AI49" s="271"/>
      <c r="AJ49" s="8">
        <v>6192</v>
      </c>
      <c r="AK49" s="443">
        <f>AJ49/VPI!R49</f>
        <v>0.11430826011179449</v>
      </c>
      <c r="AL49" s="445">
        <f t="shared" si="3"/>
        <v>46079</v>
      </c>
      <c r="AM49" s="443">
        <f>AL49/VPI!R49</f>
        <v>0.85064766112586865</v>
      </c>
      <c r="AN49" s="8">
        <v>52271</v>
      </c>
      <c r="AO49" s="271"/>
      <c r="AP49" s="529">
        <v>35.128535169562824</v>
      </c>
      <c r="AR49" s="546">
        <v>0</v>
      </c>
      <c r="AT49" s="239">
        <f t="shared" si="4"/>
        <v>2471915.4000000004</v>
      </c>
      <c r="AU49" s="5">
        <f t="shared" si="5"/>
        <v>0</v>
      </c>
    </row>
    <row r="50" spans="1:47" x14ac:dyDescent="0.25">
      <c r="A50" s="192">
        <v>5483</v>
      </c>
      <c r="B50" s="447" t="s">
        <v>125</v>
      </c>
      <c r="C50" s="535">
        <v>668207.48</v>
      </c>
      <c r="D50" s="535">
        <v>80851.03</v>
      </c>
      <c r="E50" s="535"/>
      <c r="F50" s="536"/>
      <c r="G50" s="535">
        <v>1712.6</v>
      </c>
      <c r="H50" s="535">
        <v>698.8</v>
      </c>
      <c r="I50" s="535"/>
      <c r="J50" s="535">
        <v>2470.9699999999998</v>
      </c>
      <c r="K50" s="535">
        <v>175.5</v>
      </c>
      <c r="L50" s="535">
        <v>57093.4</v>
      </c>
      <c r="M50" s="498">
        <f t="shared" si="0"/>
        <v>811209.78</v>
      </c>
      <c r="N50" s="243"/>
      <c r="O50" s="243"/>
      <c r="P50" s="243">
        <v>7370.05</v>
      </c>
      <c r="Q50" s="243"/>
      <c r="R50" s="243">
        <v>5726.6</v>
      </c>
      <c r="S50" s="535">
        <v>264.85000000000002</v>
      </c>
      <c r="T50" s="498">
        <f t="shared" si="1"/>
        <v>824571.28</v>
      </c>
      <c r="U50" s="239">
        <v>-9810.84</v>
      </c>
      <c r="V50" s="243"/>
      <c r="W50" s="243">
        <v>-850.75</v>
      </c>
      <c r="X50" s="540">
        <v>76</v>
      </c>
      <c r="Y50" s="543">
        <v>1</v>
      </c>
      <c r="Z50" s="215">
        <v>319</v>
      </c>
      <c r="AA50" s="268"/>
      <c r="AB50" s="237">
        <v>428</v>
      </c>
      <c r="AC50" s="443">
        <f>AB50/VPI!R50</f>
        <v>4.0618719195681427E-2</v>
      </c>
      <c r="AD50" s="445">
        <f t="shared" si="2"/>
        <v>28406</v>
      </c>
      <c r="AE50" s="443">
        <f>AD50/VPI!R50</f>
        <v>2.6958302277395481</v>
      </c>
      <c r="AF50" s="237">
        <v>28834</v>
      </c>
      <c r="AG50" s="237">
        <v>12650</v>
      </c>
      <c r="AH50" s="237">
        <v>35400</v>
      </c>
      <c r="AI50" s="271"/>
      <c r="AJ50" s="8">
        <v>0</v>
      </c>
      <c r="AK50" s="443">
        <f>AJ50/VPI!R50</f>
        <v>0</v>
      </c>
      <c r="AL50" s="445">
        <f t="shared" si="3"/>
        <v>3977</v>
      </c>
      <c r="AM50" s="443">
        <f>AL50/VPI!R50</f>
        <v>0.37743141645146033</v>
      </c>
      <c r="AN50" s="8">
        <v>3977</v>
      </c>
      <c r="AO50" s="271"/>
      <c r="AP50" s="529">
        <v>22.642831069449382</v>
      </c>
      <c r="AR50" s="546">
        <v>0</v>
      </c>
      <c r="AT50" s="239">
        <f t="shared" si="4"/>
        <v>811209.78</v>
      </c>
      <c r="AU50" s="5">
        <f t="shared" si="5"/>
        <v>0</v>
      </c>
    </row>
    <row r="51" spans="1:47" x14ac:dyDescent="0.25">
      <c r="A51" s="192">
        <v>5484</v>
      </c>
      <c r="B51" s="447" t="s">
        <v>126</v>
      </c>
      <c r="C51" s="535">
        <v>2129014.9900000002</v>
      </c>
      <c r="D51" s="535">
        <v>255931.75</v>
      </c>
      <c r="E51" s="535"/>
      <c r="F51" s="536"/>
      <c r="G51" s="535">
        <v>31895.599999999999</v>
      </c>
      <c r="H51" s="535">
        <v>2658.85</v>
      </c>
      <c r="I51" s="535"/>
      <c r="J51" s="535">
        <v>23138.720000000001</v>
      </c>
      <c r="K51" s="535">
        <v>6192.35</v>
      </c>
      <c r="L51" s="535">
        <v>199256.8</v>
      </c>
      <c r="M51" s="498">
        <f t="shared" si="0"/>
        <v>2648089.0600000005</v>
      </c>
      <c r="N51" s="243">
        <v>32793.65</v>
      </c>
      <c r="O51" s="243">
        <v>5997.1</v>
      </c>
      <c r="P51" s="243">
        <v>144022.6</v>
      </c>
      <c r="Q51" s="243">
        <v>23617.33</v>
      </c>
      <c r="R51" s="243">
        <v>88519.15</v>
      </c>
      <c r="S51" s="535">
        <v>3795.18</v>
      </c>
      <c r="T51" s="498">
        <f t="shared" si="1"/>
        <v>2946834.0700000008</v>
      </c>
      <c r="U51" s="239">
        <v>-15238.01</v>
      </c>
      <c r="V51" s="243"/>
      <c r="W51" s="243">
        <v>-32.799999999999997</v>
      </c>
      <c r="X51" s="540">
        <v>74</v>
      </c>
      <c r="Y51" s="543">
        <v>1</v>
      </c>
      <c r="Z51" s="215">
        <v>1018</v>
      </c>
      <c r="AA51" s="268"/>
      <c r="AB51" s="237">
        <v>74374</v>
      </c>
      <c r="AC51" s="443">
        <f>AB51/VPI!R51</f>
        <v>2.0688716493151138</v>
      </c>
      <c r="AD51" s="445">
        <f t="shared" si="2"/>
        <v>213959</v>
      </c>
      <c r="AE51" s="443">
        <f>AD51/VPI!R51</f>
        <v>5.9517265336786034</v>
      </c>
      <c r="AF51" s="237">
        <v>288333</v>
      </c>
      <c r="AG51" s="237">
        <v>39496</v>
      </c>
      <c r="AH51" s="237">
        <v>131001</v>
      </c>
      <c r="AI51" s="271"/>
      <c r="AJ51" s="8">
        <v>0</v>
      </c>
      <c r="AK51" s="443">
        <f>AJ51/VPI!R51</f>
        <v>0</v>
      </c>
      <c r="AL51" s="445">
        <f t="shared" si="3"/>
        <v>82152</v>
      </c>
      <c r="AM51" s="443">
        <f>AL51/VPI!R51</f>
        <v>2.2852333306603816</v>
      </c>
      <c r="AN51" s="8">
        <v>82152</v>
      </c>
      <c r="AO51" s="271"/>
      <c r="AP51" s="529">
        <v>26.543965903749562</v>
      </c>
      <c r="AR51" s="546">
        <v>0</v>
      </c>
      <c r="AT51" s="239">
        <f t="shared" si="4"/>
        <v>2648089.0600000005</v>
      </c>
      <c r="AU51" s="5">
        <f t="shared" si="5"/>
        <v>0</v>
      </c>
    </row>
    <row r="52" spans="1:47" x14ac:dyDescent="0.25">
      <c r="A52" s="192">
        <v>5485</v>
      </c>
      <c r="B52" s="447" t="s">
        <v>127</v>
      </c>
      <c r="C52" s="535">
        <v>1424211.48</v>
      </c>
      <c r="D52" s="535">
        <v>174516.12</v>
      </c>
      <c r="E52" s="535"/>
      <c r="F52" s="536"/>
      <c r="G52" s="535">
        <v>37892.400000000001</v>
      </c>
      <c r="H52" s="535">
        <v>1033.75</v>
      </c>
      <c r="I52" s="535"/>
      <c r="J52" s="535">
        <v>887.65</v>
      </c>
      <c r="K52" s="535">
        <v>-244</v>
      </c>
      <c r="L52" s="535">
        <v>79438.55</v>
      </c>
      <c r="M52" s="498">
        <f t="shared" si="0"/>
        <v>1717735.95</v>
      </c>
      <c r="N52" s="243">
        <v>12308.85</v>
      </c>
      <c r="O52" s="243">
        <v>1.4</v>
      </c>
      <c r="P52" s="243">
        <v>85562.8</v>
      </c>
      <c r="Q52" s="243">
        <v>1394.72</v>
      </c>
      <c r="R52" s="243">
        <v>57300.15</v>
      </c>
      <c r="S52" s="535">
        <v>4275.33</v>
      </c>
      <c r="T52" s="498">
        <f t="shared" si="1"/>
        <v>1878579.2</v>
      </c>
      <c r="U52" s="239">
        <v>-9064.44</v>
      </c>
      <c r="V52" s="243"/>
      <c r="W52" s="243">
        <v>-268.92</v>
      </c>
      <c r="X52" s="540">
        <v>70</v>
      </c>
      <c r="Y52" s="543">
        <v>1</v>
      </c>
      <c r="Z52" s="215">
        <v>445</v>
      </c>
      <c r="AA52" s="268"/>
      <c r="AB52" s="237">
        <v>0</v>
      </c>
      <c r="AC52" s="443">
        <f>AB52/VPI!R52</f>
        <v>0</v>
      </c>
      <c r="AD52" s="445">
        <f t="shared" si="2"/>
        <v>46705</v>
      </c>
      <c r="AE52" s="443">
        <f>AD52/VPI!R52</f>
        <v>1.907357905205231</v>
      </c>
      <c r="AF52" s="237">
        <v>46705</v>
      </c>
      <c r="AG52" s="237">
        <v>16100</v>
      </c>
      <c r="AH52" s="237">
        <v>72490</v>
      </c>
      <c r="AI52" s="271"/>
      <c r="AJ52" s="8">
        <v>0</v>
      </c>
      <c r="AK52" s="443">
        <f>AJ52/VPI!R52</f>
        <v>0</v>
      </c>
      <c r="AL52" s="445">
        <f t="shared" si="3"/>
        <v>78815</v>
      </c>
      <c r="AM52" s="443">
        <f>AL52/VPI!R52</f>
        <v>3.2186792270367257</v>
      </c>
      <c r="AN52" s="8">
        <v>78815</v>
      </c>
      <c r="AO52" s="271"/>
      <c r="AP52" s="529">
        <v>30.220787697411097</v>
      </c>
      <c r="AR52" s="546">
        <v>0</v>
      </c>
      <c r="AT52" s="239">
        <f t="shared" si="4"/>
        <v>1717735.95</v>
      </c>
      <c r="AU52" s="5">
        <f t="shared" si="5"/>
        <v>0</v>
      </c>
    </row>
    <row r="53" spans="1:47" x14ac:dyDescent="0.25">
      <c r="A53" s="192">
        <v>5486</v>
      </c>
      <c r="B53" s="447" t="s">
        <v>0</v>
      </c>
      <c r="C53" s="535">
        <v>1659115.49</v>
      </c>
      <c r="D53" s="535">
        <v>339466.74</v>
      </c>
      <c r="E53" s="535"/>
      <c r="F53" s="536"/>
      <c r="G53" s="535">
        <v>40384.65</v>
      </c>
      <c r="H53" s="535">
        <v>4801.1000000000004</v>
      </c>
      <c r="I53" s="535">
        <v>-34441</v>
      </c>
      <c r="J53" s="535">
        <v>35680.080000000002</v>
      </c>
      <c r="K53" s="535">
        <v>11348.3</v>
      </c>
      <c r="L53" s="535">
        <v>201357.5</v>
      </c>
      <c r="M53" s="498">
        <f t="shared" si="0"/>
        <v>2257712.8600000003</v>
      </c>
      <c r="N53" s="243">
        <v>49479.55</v>
      </c>
      <c r="O53" s="243">
        <v>31401.5</v>
      </c>
      <c r="P53" s="243">
        <v>129063</v>
      </c>
      <c r="Q53" s="243">
        <v>5560.12</v>
      </c>
      <c r="R53" s="243">
        <v>164204.70000000001</v>
      </c>
      <c r="S53" s="535">
        <v>4962.82</v>
      </c>
      <c r="T53" s="498">
        <f t="shared" si="1"/>
        <v>2642384.5500000003</v>
      </c>
      <c r="U53" s="239">
        <v>-76024.160000000003</v>
      </c>
      <c r="V53" s="243"/>
      <c r="W53" s="243">
        <v>-87.56</v>
      </c>
      <c r="X53" s="540">
        <v>75</v>
      </c>
      <c r="Y53" s="543">
        <v>1</v>
      </c>
      <c r="Z53" s="215">
        <v>1079</v>
      </c>
      <c r="AA53" s="268"/>
      <c r="AB53" s="237">
        <v>185476</v>
      </c>
      <c r="AC53" s="443">
        <f>AB53/VPI!R53</f>
        <v>6.345763055529229</v>
      </c>
      <c r="AD53" s="445">
        <f t="shared" si="2"/>
        <v>186984</v>
      </c>
      <c r="AE53" s="443">
        <f>AD53/VPI!R53</f>
        <v>6.3973568503476317</v>
      </c>
      <c r="AF53" s="237">
        <v>372460</v>
      </c>
      <c r="AG53" s="237">
        <v>84465</v>
      </c>
      <c r="AH53" s="237">
        <v>163781</v>
      </c>
      <c r="AI53" s="271"/>
      <c r="AJ53" s="8">
        <v>0</v>
      </c>
      <c r="AK53" s="443">
        <f>AJ53/VPI!R53</f>
        <v>0</v>
      </c>
      <c r="AL53" s="445">
        <f t="shared" si="3"/>
        <v>112778</v>
      </c>
      <c r="AM53" s="443">
        <f>AL53/VPI!R53</f>
        <v>3.8585178992240254</v>
      </c>
      <c r="AN53" s="8">
        <v>112778</v>
      </c>
      <c r="AO53" s="271"/>
      <c r="AP53" s="529">
        <v>24.739191802059409</v>
      </c>
      <c r="AR53" s="546">
        <v>0</v>
      </c>
      <c r="AT53" s="239">
        <f t="shared" si="4"/>
        <v>2257712.8600000003</v>
      </c>
      <c r="AU53" s="5">
        <f t="shared" si="5"/>
        <v>0</v>
      </c>
    </row>
    <row r="54" spans="1:47" x14ac:dyDescent="0.25">
      <c r="A54" s="192">
        <v>5487</v>
      </c>
      <c r="B54" s="447" t="s">
        <v>1</v>
      </c>
      <c r="C54" s="535">
        <v>1043169.63</v>
      </c>
      <c r="D54" s="535">
        <v>121224.17</v>
      </c>
      <c r="E54" s="535"/>
      <c r="F54" s="536"/>
      <c r="G54" s="535">
        <v>5542.05</v>
      </c>
      <c r="H54" s="535">
        <v>39.65</v>
      </c>
      <c r="I54" s="535"/>
      <c r="J54" s="535">
        <v>331.33</v>
      </c>
      <c r="K54" s="535">
        <v>993.25</v>
      </c>
      <c r="L54" s="535">
        <v>84501.8</v>
      </c>
      <c r="M54" s="498">
        <f t="shared" si="0"/>
        <v>1255801.8800000001</v>
      </c>
      <c r="N54" s="243"/>
      <c r="O54" s="243">
        <v>1988.2</v>
      </c>
      <c r="P54" s="243">
        <v>24475</v>
      </c>
      <c r="Q54" s="243">
        <v>6371.44</v>
      </c>
      <c r="R54" s="243">
        <v>8625.2999999999993</v>
      </c>
      <c r="S54" s="535">
        <v>613.04999999999995</v>
      </c>
      <c r="T54" s="498">
        <f t="shared" si="1"/>
        <v>1297874.8700000001</v>
      </c>
      <c r="U54" s="239">
        <v>-16121.17</v>
      </c>
      <c r="V54" s="243"/>
      <c r="W54" s="243">
        <v>-1.21</v>
      </c>
      <c r="X54" s="540">
        <v>75</v>
      </c>
      <c r="Y54" s="543">
        <v>1</v>
      </c>
      <c r="Z54" s="215">
        <v>475</v>
      </c>
      <c r="AA54" s="268"/>
      <c r="AB54" s="237">
        <v>9878</v>
      </c>
      <c r="AC54" s="443">
        <f>AB54/VPI!R54</f>
        <v>0.59426598180637258</v>
      </c>
      <c r="AD54" s="445">
        <f t="shared" si="2"/>
        <v>76277</v>
      </c>
      <c r="AE54" s="443">
        <f>AD54/VPI!R54</f>
        <v>4.5888668044386192</v>
      </c>
      <c r="AF54" s="237">
        <v>86155</v>
      </c>
      <c r="AG54" s="237">
        <v>37162</v>
      </c>
      <c r="AH54" s="237">
        <v>41336</v>
      </c>
      <c r="AI54" s="271"/>
      <c r="AJ54" s="8">
        <v>0</v>
      </c>
      <c r="AK54" s="443">
        <f>AJ54/VPI!R54</f>
        <v>0</v>
      </c>
      <c r="AL54" s="445">
        <f t="shared" si="3"/>
        <v>1490</v>
      </c>
      <c r="AM54" s="443">
        <f>AL54/VPI!R54</f>
        <v>8.9639229893854533E-2</v>
      </c>
      <c r="AN54" s="8">
        <v>1490</v>
      </c>
      <c r="AO54" s="271"/>
      <c r="AP54" s="529">
        <v>16.068607626916279</v>
      </c>
      <c r="AR54" s="546">
        <v>0</v>
      </c>
      <c r="AT54" s="239">
        <f t="shared" si="4"/>
        <v>1255801.8800000001</v>
      </c>
      <c r="AU54" s="5">
        <f t="shared" si="5"/>
        <v>0</v>
      </c>
    </row>
    <row r="55" spans="1:47" x14ac:dyDescent="0.25">
      <c r="A55" s="192">
        <v>5488</v>
      </c>
      <c r="B55" s="447" t="s">
        <v>2</v>
      </c>
      <c r="C55" s="535">
        <v>116463.69</v>
      </c>
      <c r="D55" s="535">
        <v>9517.4500000000007</v>
      </c>
      <c r="E55" s="535"/>
      <c r="F55" s="536"/>
      <c r="G55" s="535">
        <v>465.15</v>
      </c>
      <c r="H55" s="535">
        <v>155</v>
      </c>
      <c r="I55" s="535"/>
      <c r="J55" s="535">
        <v>-2075.6799999999998</v>
      </c>
      <c r="K55" s="535"/>
      <c r="L55" s="535">
        <v>8582</v>
      </c>
      <c r="M55" s="498">
        <f t="shared" si="0"/>
        <v>133107.60999999999</v>
      </c>
      <c r="N55" s="243"/>
      <c r="O55" s="243"/>
      <c r="P55" s="243"/>
      <c r="Q55" s="243"/>
      <c r="R55" s="243"/>
      <c r="S55" s="535">
        <v>68.11</v>
      </c>
      <c r="T55" s="498">
        <f t="shared" si="1"/>
        <v>133175.71999999997</v>
      </c>
      <c r="U55" s="239">
        <v>-12.59</v>
      </c>
      <c r="V55" s="243"/>
      <c r="W55" s="243">
        <v>-17.96</v>
      </c>
      <c r="X55" s="540">
        <v>77</v>
      </c>
      <c r="Y55" s="543">
        <v>1</v>
      </c>
      <c r="Z55" s="215">
        <v>60</v>
      </c>
      <c r="AA55" s="268"/>
      <c r="AB55" s="237">
        <v>0</v>
      </c>
      <c r="AC55" s="443">
        <f>AB55/VPI!R55</f>
        <v>0</v>
      </c>
      <c r="AD55" s="445">
        <f t="shared" si="2"/>
        <v>1725</v>
      </c>
      <c r="AE55" s="443">
        <f>AD55/VPI!R55</f>
        <v>0.99759533147165624</v>
      </c>
      <c r="AF55" s="237">
        <v>1725</v>
      </c>
      <c r="AG55" s="237">
        <v>0</v>
      </c>
      <c r="AH55" s="237">
        <v>3016</v>
      </c>
      <c r="AI55" s="271"/>
      <c r="AJ55" s="8">
        <v>0</v>
      </c>
      <c r="AK55" s="443">
        <f>AJ55/VPI!R55</f>
        <v>0</v>
      </c>
      <c r="AL55" s="445">
        <f t="shared" si="3"/>
        <v>0</v>
      </c>
      <c r="AM55" s="443">
        <f>AL55/VPI!R55</f>
        <v>0</v>
      </c>
      <c r="AN55" s="8">
        <v>0</v>
      </c>
      <c r="AO55" s="271"/>
      <c r="AP55" s="529">
        <v>14.163234934138563</v>
      </c>
      <c r="AR55" s="546">
        <v>0</v>
      </c>
      <c r="AT55" s="239">
        <f t="shared" si="4"/>
        <v>133107.60999999999</v>
      </c>
      <c r="AU55" s="5">
        <f t="shared" si="5"/>
        <v>0</v>
      </c>
    </row>
    <row r="56" spans="1:47" x14ac:dyDescent="0.25">
      <c r="A56" s="192">
        <v>5489</v>
      </c>
      <c r="B56" s="447" t="s">
        <v>3</v>
      </c>
      <c r="C56" s="535">
        <v>1722710.11</v>
      </c>
      <c r="D56" s="535">
        <v>717822.44</v>
      </c>
      <c r="E56" s="535"/>
      <c r="F56" s="536"/>
      <c r="G56" s="535">
        <v>152718.20000000001</v>
      </c>
      <c r="H56" s="535">
        <v>82003.850000000006</v>
      </c>
      <c r="I56" s="535"/>
      <c r="J56" s="535">
        <v>80272.08</v>
      </c>
      <c r="K56" s="535">
        <v>6591.5</v>
      </c>
      <c r="L56" s="535">
        <v>299794.45</v>
      </c>
      <c r="M56" s="498">
        <f t="shared" si="0"/>
        <v>3061912.6300000004</v>
      </c>
      <c r="N56" s="243">
        <v>165302.79999999999</v>
      </c>
      <c r="O56" s="243"/>
      <c r="P56" s="243">
        <v>165655.6</v>
      </c>
      <c r="Q56" s="243">
        <v>11010.02</v>
      </c>
      <c r="R56" s="243">
        <v>118495.25</v>
      </c>
      <c r="S56" s="535">
        <v>0</v>
      </c>
      <c r="T56" s="498">
        <f t="shared" si="1"/>
        <v>3522376.3000000003</v>
      </c>
      <c r="U56" s="239">
        <v>-23124.43</v>
      </c>
      <c r="V56" s="243"/>
      <c r="W56" s="243">
        <v>-49027.49</v>
      </c>
      <c r="X56" s="540">
        <v>59.5</v>
      </c>
      <c r="Y56" s="543">
        <v>1</v>
      </c>
      <c r="Z56" s="215">
        <v>795</v>
      </c>
      <c r="AA56" s="268"/>
      <c r="AB56" s="237">
        <v>55740</v>
      </c>
      <c r="AC56" s="443">
        <f>AB56/VPI!R56</f>
        <v>1.1052260563738572</v>
      </c>
      <c r="AD56" s="445">
        <f t="shared" si="2"/>
        <v>87201</v>
      </c>
      <c r="AE56" s="443">
        <f>AD56/VPI!R56</f>
        <v>1.729042291744828</v>
      </c>
      <c r="AF56" s="237">
        <v>142941</v>
      </c>
      <c r="AG56" s="237">
        <v>25676</v>
      </c>
      <c r="AH56" s="237">
        <v>71423</v>
      </c>
      <c r="AI56" s="271"/>
      <c r="AJ56" s="8">
        <v>0</v>
      </c>
      <c r="AK56" s="443">
        <f>AJ56/VPI!R56</f>
        <v>0</v>
      </c>
      <c r="AL56" s="445">
        <f t="shared" si="3"/>
        <v>37608</v>
      </c>
      <c r="AM56" s="443">
        <f>AL56/VPI!R56</f>
        <v>0.74570042210455723</v>
      </c>
      <c r="AN56" s="8">
        <v>37608</v>
      </c>
      <c r="AO56" s="271"/>
      <c r="AP56" s="529">
        <v>43.410435391517844</v>
      </c>
      <c r="AR56" s="546">
        <v>0</v>
      </c>
      <c r="AT56" s="239">
        <f t="shared" si="4"/>
        <v>3061912.6300000004</v>
      </c>
      <c r="AU56" s="5">
        <f t="shared" si="5"/>
        <v>0</v>
      </c>
    </row>
    <row r="57" spans="1:47" x14ac:dyDescent="0.25">
      <c r="A57" s="192">
        <v>5490</v>
      </c>
      <c r="B57" s="447" t="s">
        <v>4</v>
      </c>
      <c r="C57" s="535">
        <v>574735.82999999996</v>
      </c>
      <c r="D57" s="535">
        <v>87372.76</v>
      </c>
      <c r="E57" s="535"/>
      <c r="F57" s="536"/>
      <c r="G57" s="535">
        <v>3474.35</v>
      </c>
      <c r="H57" s="535">
        <v>245.7</v>
      </c>
      <c r="I57" s="535"/>
      <c r="J57" s="535">
        <v>2071.5300000000002</v>
      </c>
      <c r="K57" s="535"/>
      <c r="L57" s="535">
        <v>47397.65</v>
      </c>
      <c r="M57" s="498">
        <f t="shared" si="0"/>
        <v>715297.82</v>
      </c>
      <c r="N57" s="243"/>
      <c r="O57" s="243"/>
      <c r="P57" s="243">
        <v>11853.3</v>
      </c>
      <c r="Q57" s="243"/>
      <c r="R57" s="243">
        <v>26881</v>
      </c>
      <c r="S57" s="535">
        <v>408.58</v>
      </c>
      <c r="T57" s="498">
        <f t="shared" si="1"/>
        <v>754440.7</v>
      </c>
      <c r="U57" s="239">
        <v>-13441.41</v>
      </c>
      <c r="V57" s="243"/>
      <c r="W57" s="243">
        <v>-368</v>
      </c>
      <c r="X57" s="540">
        <v>77.5</v>
      </c>
      <c r="Y57" s="543">
        <v>1</v>
      </c>
      <c r="Z57" s="215">
        <v>301</v>
      </c>
      <c r="AA57" s="268"/>
      <c r="AB57" s="237">
        <v>12284</v>
      </c>
      <c r="AC57" s="443">
        <f>AB57/VPI!R57</f>
        <v>1.35633862741027</v>
      </c>
      <c r="AD57" s="445">
        <f t="shared" si="2"/>
        <v>31942</v>
      </c>
      <c r="AE57" s="443">
        <f>AD57/VPI!R57</f>
        <v>3.5268779254916027</v>
      </c>
      <c r="AF57" s="237">
        <v>44226</v>
      </c>
      <c r="AG57" s="237">
        <v>12333</v>
      </c>
      <c r="AH57" s="237">
        <v>33403</v>
      </c>
      <c r="AI57" s="271"/>
      <c r="AJ57" s="8">
        <v>0</v>
      </c>
      <c r="AK57" s="443">
        <f>AJ57/VPI!R57</f>
        <v>0</v>
      </c>
      <c r="AL57" s="445">
        <f t="shared" si="3"/>
        <v>584</v>
      </c>
      <c r="AM57" s="443">
        <f>AL57/VPI!R57</f>
        <v>6.4482396483848722E-2</v>
      </c>
      <c r="AN57" s="8">
        <v>584</v>
      </c>
      <c r="AO57" s="271"/>
      <c r="AP57" s="529">
        <v>15.776887788873832</v>
      </c>
      <c r="AR57" s="546">
        <v>0</v>
      </c>
      <c r="AT57" s="239">
        <f t="shared" si="4"/>
        <v>715297.82</v>
      </c>
      <c r="AU57" s="5">
        <f t="shared" si="5"/>
        <v>0</v>
      </c>
    </row>
    <row r="58" spans="1:47" x14ac:dyDescent="0.25">
      <c r="A58" s="192">
        <v>5491</v>
      </c>
      <c r="B58" s="447" t="s">
        <v>147</v>
      </c>
      <c r="C58" s="535">
        <v>817094.95</v>
      </c>
      <c r="D58" s="535">
        <v>111597.05</v>
      </c>
      <c r="E58" s="535"/>
      <c r="F58" s="536">
        <v>2640</v>
      </c>
      <c r="G58" s="535">
        <v>3796.75</v>
      </c>
      <c r="H58" s="535">
        <v>1928.45</v>
      </c>
      <c r="I58" s="535"/>
      <c r="J58" s="535">
        <v>14479.83</v>
      </c>
      <c r="K58" s="535">
        <v>-1278.5</v>
      </c>
      <c r="L58" s="535">
        <v>90714.25</v>
      </c>
      <c r="M58" s="498">
        <f t="shared" si="0"/>
        <v>1040972.7799999999</v>
      </c>
      <c r="N58" s="243">
        <v>3858.55</v>
      </c>
      <c r="O58" s="243"/>
      <c r="P58" s="243">
        <v>38874</v>
      </c>
      <c r="Q58" s="243">
        <v>1150.07</v>
      </c>
      <c r="R58" s="243">
        <v>6422.8</v>
      </c>
      <c r="S58" s="535">
        <v>628.79999999999995</v>
      </c>
      <c r="T58" s="498">
        <f t="shared" si="1"/>
        <v>1091907.0000000002</v>
      </c>
      <c r="U58" s="239">
        <v>-5240.1099999999997</v>
      </c>
      <c r="V58" s="243"/>
      <c r="W58" s="243">
        <v>-212.45</v>
      </c>
      <c r="X58" s="540">
        <v>76</v>
      </c>
      <c r="Y58" s="543">
        <v>1</v>
      </c>
      <c r="Z58" s="215">
        <v>508</v>
      </c>
      <c r="AA58" s="268"/>
      <c r="AB58" s="237">
        <v>66291</v>
      </c>
      <c r="AC58" s="443">
        <f>AB58/VPI!R58</f>
        <v>4.8569559624312406</v>
      </c>
      <c r="AD58" s="445">
        <f t="shared" si="2"/>
        <v>179601</v>
      </c>
      <c r="AE58" s="443">
        <f>AD58/VPI!R58</f>
        <v>13.158862406791469</v>
      </c>
      <c r="AF58" s="237">
        <v>245892</v>
      </c>
      <c r="AG58" s="237">
        <v>19430</v>
      </c>
      <c r="AH58" s="237">
        <v>75329</v>
      </c>
      <c r="AI58" s="271"/>
      <c r="AJ58" s="8">
        <v>0</v>
      </c>
      <c r="AK58" s="443">
        <f>AJ58/VPI!R58</f>
        <v>0</v>
      </c>
      <c r="AL58" s="445">
        <f t="shared" si="3"/>
        <v>-60973</v>
      </c>
      <c r="AM58" s="443">
        <f>AL58/VPI!R58</f>
        <v>-4.4673209922511354</v>
      </c>
      <c r="AN58" s="8">
        <v>-60973</v>
      </c>
      <c r="AO58" s="271"/>
      <c r="AP58" s="529">
        <v>19.413157754095813</v>
      </c>
      <c r="AR58" s="546">
        <v>0</v>
      </c>
      <c r="AT58" s="239">
        <f t="shared" si="4"/>
        <v>1040972.7799999999</v>
      </c>
      <c r="AU58" s="5">
        <f t="shared" si="5"/>
        <v>0</v>
      </c>
    </row>
    <row r="59" spans="1:47" x14ac:dyDescent="0.25">
      <c r="A59" s="192">
        <v>5492</v>
      </c>
      <c r="B59" s="447" t="s">
        <v>148</v>
      </c>
      <c r="C59" s="535">
        <v>6199342.6900000004</v>
      </c>
      <c r="D59" s="535">
        <v>4598190.0199999996</v>
      </c>
      <c r="E59" s="535"/>
      <c r="F59" s="536"/>
      <c r="G59" s="535">
        <v>58991.35</v>
      </c>
      <c r="H59" s="535">
        <v>2581.15</v>
      </c>
      <c r="I59" s="535"/>
      <c r="J59" s="535">
        <v>111168.97</v>
      </c>
      <c r="K59" s="535">
        <v>3090.45</v>
      </c>
      <c r="L59" s="535">
        <v>74920.649999999994</v>
      </c>
      <c r="M59" s="498">
        <f t="shared" si="0"/>
        <v>11048285.280000001</v>
      </c>
      <c r="N59" s="243">
        <v>5465.05</v>
      </c>
      <c r="O59" s="243">
        <v>206723</v>
      </c>
      <c r="P59" s="243">
        <v>102410.35</v>
      </c>
      <c r="Q59" s="243">
        <v>2782.2</v>
      </c>
      <c r="R59" s="243">
        <v>111182.9</v>
      </c>
      <c r="S59" s="535">
        <v>6762.61</v>
      </c>
      <c r="T59" s="498">
        <f t="shared" si="1"/>
        <v>11483611.390000001</v>
      </c>
      <c r="U59" s="239">
        <v>-11961.08</v>
      </c>
      <c r="V59" s="243"/>
      <c r="W59" s="243">
        <v>-3713.94</v>
      </c>
      <c r="X59" s="540">
        <v>64</v>
      </c>
      <c r="Y59" s="543">
        <v>0.3</v>
      </c>
      <c r="Z59" s="215">
        <v>981</v>
      </c>
      <c r="AA59" s="268"/>
      <c r="AB59" s="237">
        <v>0</v>
      </c>
      <c r="AC59" s="443">
        <f>AB59/VPI!R59</f>
        <v>0</v>
      </c>
      <c r="AD59" s="445">
        <f t="shared" si="2"/>
        <v>307067</v>
      </c>
      <c r="AE59" s="443">
        <f>AD59/VPI!R59</f>
        <v>1.7520139699188924</v>
      </c>
      <c r="AF59" s="237">
        <v>307067</v>
      </c>
      <c r="AG59" s="237">
        <v>95554</v>
      </c>
      <c r="AH59" s="237">
        <v>0</v>
      </c>
      <c r="AI59" s="271"/>
      <c r="AJ59" s="8">
        <v>0</v>
      </c>
      <c r="AK59" s="443">
        <f>AJ59/VPI!R59</f>
        <v>0</v>
      </c>
      <c r="AL59" s="445">
        <f t="shared" si="3"/>
        <v>402325</v>
      </c>
      <c r="AM59" s="443">
        <f>AL59/VPI!R59</f>
        <v>2.2955218908173731</v>
      </c>
      <c r="AN59" s="8">
        <v>402325</v>
      </c>
      <c r="AO59" s="271"/>
      <c r="AP59" s="529">
        <v>50.35148384147012</v>
      </c>
      <c r="AR59" s="546">
        <v>0</v>
      </c>
      <c r="AT59" s="239">
        <f t="shared" si="4"/>
        <v>11048285.280000001</v>
      </c>
      <c r="AU59" s="5">
        <f t="shared" si="5"/>
        <v>0</v>
      </c>
    </row>
    <row r="60" spans="1:47" x14ac:dyDescent="0.25">
      <c r="A60" s="192">
        <v>5493</v>
      </c>
      <c r="B60" s="447" t="s">
        <v>149</v>
      </c>
      <c r="C60" s="535">
        <v>809398.85</v>
      </c>
      <c r="D60" s="535">
        <v>84750.25</v>
      </c>
      <c r="E60" s="535"/>
      <c r="F60" s="536"/>
      <c r="G60" s="535">
        <v>4348.2</v>
      </c>
      <c r="H60" s="535">
        <v>2054.4499999999998</v>
      </c>
      <c r="I60" s="535"/>
      <c r="J60" s="535">
        <v>6486.06</v>
      </c>
      <c r="K60" s="535">
        <v>3388.55</v>
      </c>
      <c r="L60" s="535">
        <v>52860.75</v>
      </c>
      <c r="M60" s="498">
        <f t="shared" si="0"/>
        <v>963287.11</v>
      </c>
      <c r="N60" s="243">
        <v>62150.05</v>
      </c>
      <c r="O60" s="243">
        <v>43775.5</v>
      </c>
      <c r="P60" s="243">
        <v>29890.05</v>
      </c>
      <c r="Q60" s="243">
        <v>2314.0100000000002</v>
      </c>
      <c r="R60" s="243">
        <v>80673.899999999994</v>
      </c>
      <c r="S60" s="535">
        <v>703.21</v>
      </c>
      <c r="T60" s="498">
        <f t="shared" si="1"/>
        <v>1182793.83</v>
      </c>
      <c r="U60" s="239">
        <v>-9727.34</v>
      </c>
      <c r="V60" s="243"/>
      <c r="W60" s="243">
        <v>-296.35000000000002</v>
      </c>
      <c r="X60" s="540">
        <v>73</v>
      </c>
      <c r="Y60" s="543">
        <v>0.65</v>
      </c>
      <c r="Z60" s="215">
        <v>480</v>
      </c>
      <c r="AA60" s="268"/>
      <c r="AB60" s="237">
        <v>0</v>
      </c>
      <c r="AC60" s="443">
        <f>AB60/VPI!R60</f>
        <v>0</v>
      </c>
      <c r="AD60" s="445">
        <f t="shared" si="2"/>
        <v>43164</v>
      </c>
      <c r="AE60" s="443">
        <f>AD60/VPI!R60</f>
        <v>3.1997875727743619</v>
      </c>
      <c r="AF60" s="237">
        <v>43164</v>
      </c>
      <c r="AG60" s="237">
        <v>18321</v>
      </c>
      <c r="AH60" s="237">
        <v>45000</v>
      </c>
      <c r="AI60" s="271"/>
      <c r="AJ60" s="8">
        <v>0</v>
      </c>
      <c r="AK60" s="443">
        <f>AJ60/VPI!R60</f>
        <v>0</v>
      </c>
      <c r="AL60" s="445">
        <f t="shared" si="3"/>
        <v>10141</v>
      </c>
      <c r="AM60" s="443">
        <f>AL60/VPI!R60</f>
        <v>0.751761787033287</v>
      </c>
      <c r="AN60" s="8">
        <v>10141</v>
      </c>
      <c r="AO60" s="271"/>
      <c r="AP60" s="529">
        <v>21.792625077825647</v>
      </c>
      <c r="AR60" s="546">
        <v>0</v>
      </c>
      <c r="AT60" s="239">
        <f t="shared" si="4"/>
        <v>963287.11</v>
      </c>
      <c r="AU60" s="5">
        <f t="shared" si="5"/>
        <v>0</v>
      </c>
    </row>
    <row r="61" spans="1:47" x14ac:dyDescent="0.25">
      <c r="A61" s="192">
        <v>5495</v>
      </c>
      <c r="B61" s="447" t="s">
        <v>150</v>
      </c>
      <c r="C61" s="535">
        <v>5603594.8700000001</v>
      </c>
      <c r="D61" s="535">
        <v>597312.48</v>
      </c>
      <c r="E61" s="535"/>
      <c r="F61" s="536"/>
      <c r="G61" s="535">
        <v>136985.25</v>
      </c>
      <c r="H61" s="535">
        <v>5512.1</v>
      </c>
      <c r="I61" s="535">
        <v>76501.600000000006</v>
      </c>
      <c r="J61" s="535">
        <v>145240.63</v>
      </c>
      <c r="K61" s="535">
        <v>82139.850000000006</v>
      </c>
      <c r="L61" s="535">
        <v>496763.95</v>
      </c>
      <c r="M61" s="498">
        <f t="shared" si="0"/>
        <v>7144050.7299999986</v>
      </c>
      <c r="N61" s="243">
        <v>268180.65000000002</v>
      </c>
      <c r="O61" s="243">
        <v>15468.7</v>
      </c>
      <c r="P61" s="243">
        <v>258107.75</v>
      </c>
      <c r="Q61" s="243">
        <v>26975.93</v>
      </c>
      <c r="R61" s="243">
        <v>230226.7</v>
      </c>
      <c r="S61" s="535">
        <v>15650.72</v>
      </c>
      <c r="T61" s="498">
        <f t="shared" si="1"/>
        <v>7958661.1799999988</v>
      </c>
      <c r="U61" s="239">
        <v>-132239.49</v>
      </c>
      <c r="V61" s="243"/>
      <c r="W61" s="243">
        <v>-1652.23</v>
      </c>
      <c r="X61" s="540">
        <v>74</v>
      </c>
      <c r="Y61" s="543">
        <v>1</v>
      </c>
      <c r="Z61" s="215">
        <v>3210</v>
      </c>
      <c r="AA61" s="268"/>
      <c r="AB61" s="237">
        <v>270209</v>
      </c>
      <c r="AC61" s="443">
        <f>AB61/VPI!R61</f>
        <v>2.8351160752558591</v>
      </c>
      <c r="AD61" s="445">
        <f t="shared" si="2"/>
        <v>566741</v>
      </c>
      <c r="AE61" s="443">
        <f>AD61/VPI!R61</f>
        <v>5.9464211762249999</v>
      </c>
      <c r="AF61" s="237">
        <v>836950</v>
      </c>
      <c r="AG61" s="237">
        <v>445552</v>
      </c>
      <c r="AH61" s="237">
        <v>340318</v>
      </c>
      <c r="AI61" s="271"/>
      <c r="AJ61" s="8">
        <v>0</v>
      </c>
      <c r="AK61" s="443">
        <f>AJ61/VPI!R61</f>
        <v>0</v>
      </c>
      <c r="AL61" s="445">
        <f t="shared" si="3"/>
        <v>89458</v>
      </c>
      <c r="AM61" s="443">
        <f>AL61/VPI!R61</f>
        <v>0.93862089664015136</v>
      </c>
      <c r="AN61" s="8">
        <v>89458</v>
      </c>
      <c r="AO61" s="271"/>
      <c r="AP61" s="529">
        <v>14.150843154186333</v>
      </c>
      <c r="AR61" s="546">
        <v>0</v>
      </c>
      <c r="AT61" s="239">
        <f t="shared" si="4"/>
        <v>7144050.7299999986</v>
      </c>
      <c r="AU61" s="5">
        <f t="shared" si="5"/>
        <v>0</v>
      </c>
    </row>
    <row r="62" spans="1:47" x14ac:dyDescent="0.25">
      <c r="A62" s="192">
        <v>5496</v>
      </c>
      <c r="B62" s="447" t="s">
        <v>151</v>
      </c>
      <c r="C62" s="535">
        <v>3333834.7600000002</v>
      </c>
      <c r="D62" s="535">
        <v>348087.48</v>
      </c>
      <c r="E62" s="535"/>
      <c r="F62" s="536"/>
      <c r="G62" s="535">
        <v>102687.4</v>
      </c>
      <c r="H62" s="535">
        <v>9003.35</v>
      </c>
      <c r="I62" s="535"/>
      <c r="J62" s="535">
        <v>38286.129999999997</v>
      </c>
      <c r="K62" s="535">
        <v>18148.95</v>
      </c>
      <c r="L62" s="535">
        <v>349424.7</v>
      </c>
      <c r="M62" s="498">
        <f t="shared" si="0"/>
        <v>4199472.7700000005</v>
      </c>
      <c r="N62" s="243">
        <v>104386.05</v>
      </c>
      <c r="O62" s="243">
        <v>28508.799999999999</v>
      </c>
      <c r="P62" s="243">
        <v>197617.55</v>
      </c>
      <c r="Q62" s="243">
        <v>465517.47</v>
      </c>
      <c r="R62" s="243">
        <v>201141.7</v>
      </c>
      <c r="S62" s="535">
        <v>12267.18</v>
      </c>
      <c r="T62" s="498">
        <f t="shared" si="1"/>
        <v>5208911.5199999996</v>
      </c>
      <c r="U62" s="239">
        <v>-766849.75</v>
      </c>
      <c r="V62" s="243"/>
      <c r="W62" s="243">
        <v>-170.96</v>
      </c>
      <c r="X62" s="540">
        <v>69.5</v>
      </c>
      <c r="Y62" s="543">
        <v>1</v>
      </c>
      <c r="Z62" s="215">
        <v>1890</v>
      </c>
      <c r="AA62" s="268"/>
      <c r="AB62" s="237">
        <v>248189</v>
      </c>
      <c r="AC62" s="443">
        <f>AB62/VPI!R62</f>
        <v>4.4112765490353132</v>
      </c>
      <c r="AD62" s="445">
        <f t="shared" si="2"/>
        <v>182752</v>
      </c>
      <c r="AE62" s="443">
        <f>AD62/VPI!R62</f>
        <v>3.2482084697117983</v>
      </c>
      <c r="AF62" s="237">
        <v>430941</v>
      </c>
      <c r="AG62" s="237">
        <v>185480</v>
      </c>
      <c r="AH62" s="237">
        <v>209215</v>
      </c>
      <c r="AI62" s="271"/>
      <c r="AJ62" s="8">
        <v>0</v>
      </c>
      <c r="AK62" s="443">
        <f>AJ62/VPI!R62</f>
        <v>0</v>
      </c>
      <c r="AL62" s="445">
        <f t="shared" si="3"/>
        <v>13939</v>
      </c>
      <c r="AM62" s="443">
        <f>AL62/VPI!R62</f>
        <v>0.24774983507328377</v>
      </c>
      <c r="AN62" s="8">
        <v>13939</v>
      </c>
      <c r="AO62" s="271"/>
      <c r="AP62" s="529">
        <v>21.551572383807493</v>
      </c>
      <c r="AR62" s="546">
        <v>0</v>
      </c>
      <c r="AT62" s="239">
        <f t="shared" si="4"/>
        <v>4199472.7700000005</v>
      </c>
      <c r="AU62" s="5">
        <f t="shared" si="5"/>
        <v>0</v>
      </c>
    </row>
    <row r="63" spans="1:47" x14ac:dyDescent="0.25">
      <c r="A63" s="192">
        <v>5497</v>
      </c>
      <c r="B63" s="447" t="s">
        <v>152</v>
      </c>
      <c r="C63" s="535">
        <v>1177437.97</v>
      </c>
      <c r="D63" s="535">
        <v>116482.34</v>
      </c>
      <c r="E63" s="535"/>
      <c r="F63" s="536"/>
      <c r="G63" s="535">
        <v>3777.1</v>
      </c>
      <c r="H63" s="535">
        <v>1620.05</v>
      </c>
      <c r="I63" s="535"/>
      <c r="J63" s="535">
        <v>46697.02</v>
      </c>
      <c r="K63" s="535">
        <v>3863.6</v>
      </c>
      <c r="L63" s="535">
        <v>133394.5</v>
      </c>
      <c r="M63" s="498">
        <f t="shared" si="0"/>
        <v>1483272.5800000003</v>
      </c>
      <c r="N63" s="243">
        <v>218566.05</v>
      </c>
      <c r="O63" s="243">
        <v>371.8</v>
      </c>
      <c r="P63" s="243">
        <v>27720</v>
      </c>
      <c r="Q63" s="243">
        <v>8088.05</v>
      </c>
      <c r="R63" s="243">
        <v>18644.8</v>
      </c>
      <c r="S63" s="535">
        <v>592.77</v>
      </c>
      <c r="T63" s="498">
        <f t="shared" si="1"/>
        <v>1757256.0500000005</v>
      </c>
      <c r="U63" s="239">
        <v>-23118.81</v>
      </c>
      <c r="V63" s="243"/>
      <c r="W63" s="243">
        <v>-122.15</v>
      </c>
      <c r="X63" s="540">
        <v>66</v>
      </c>
      <c r="Y63" s="543">
        <v>1</v>
      </c>
      <c r="Z63" s="215">
        <v>849</v>
      </c>
      <c r="AA63" s="268"/>
      <c r="AB63" s="237">
        <v>79015</v>
      </c>
      <c r="AC63" s="443">
        <f>AB63/VPI!R63</f>
        <v>3.5507222911518332</v>
      </c>
      <c r="AD63" s="445">
        <f t="shared" si="2"/>
        <v>133243</v>
      </c>
      <c r="AE63" s="443">
        <f>AD63/VPI!R63</f>
        <v>5.9875832467245926</v>
      </c>
      <c r="AF63" s="237">
        <v>212258</v>
      </c>
      <c r="AG63" s="237">
        <v>33588</v>
      </c>
      <c r="AH63" s="237">
        <v>94216</v>
      </c>
      <c r="AI63" s="271"/>
      <c r="AJ63" s="8">
        <v>0</v>
      </c>
      <c r="AK63" s="443">
        <f>AJ63/VPI!R63</f>
        <v>0</v>
      </c>
      <c r="AL63" s="445">
        <f t="shared" si="3"/>
        <v>11133</v>
      </c>
      <c r="AM63" s="443">
        <f>AL63/VPI!R63</f>
        <v>0.50028717670560474</v>
      </c>
      <c r="AN63" s="8">
        <v>11133</v>
      </c>
      <c r="AO63" s="271"/>
      <c r="AP63" s="529">
        <v>16.608578147735578</v>
      </c>
      <c r="AR63" s="546">
        <v>0</v>
      </c>
      <c r="AT63" s="239">
        <f t="shared" si="4"/>
        <v>1483272.5800000003</v>
      </c>
      <c r="AU63" s="5">
        <f t="shared" si="5"/>
        <v>0</v>
      </c>
    </row>
    <row r="64" spans="1:47" x14ac:dyDescent="0.25">
      <c r="A64" s="192">
        <v>5498</v>
      </c>
      <c r="B64" s="447" t="s">
        <v>153</v>
      </c>
      <c r="C64" s="535">
        <v>3886748.79</v>
      </c>
      <c r="D64" s="535">
        <v>422611.84</v>
      </c>
      <c r="E64" s="535"/>
      <c r="F64" s="536"/>
      <c r="G64" s="535">
        <v>96073.65</v>
      </c>
      <c r="H64" s="535">
        <v>8165.6</v>
      </c>
      <c r="I64" s="535"/>
      <c r="J64" s="535">
        <v>130280.65</v>
      </c>
      <c r="K64" s="535">
        <v>36142.65</v>
      </c>
      <c r="L64" s="535">
        <v>412318.85</v>
      </c>
      <c r="M64" s="498">
        <f t="shared" si="0"/>
        <v>4992342.03</v>
      </c>
      <c r="N64" s="243">
        <v>71417.3</v>
      </c>
      <c r="O64" s="243"/>
      <c r="P64" s="243">
        <v>189677.9</v>
      </c>
      <c r="Q64" s="243">
        <v>19513.57</v>
      </c>
      <c r="R64" s="243">
        <v>61249.3</v>
      </c>
      <c r="S64" s="535">
        <v>11448.77</v>
      </c>
      <c r="T64" s="498">
        <f t="shared" si="1"/>
        <v>5345648.87</v>
      </c>
      <c r="U64" s="239">
        <v>-94105.54</v>
      </c>
      <c r="V64" s="243"/>
      <c r="W64" s="243">
        <v>-534.58000000000004</v>
      </c>
      <c r="X64" s="540">
        <v>66</v>
      </c>
      <c r="Y64" s="543">
        <v>1</v>
      </c>
      <c r="Z64" s="215">
        <v>2620</v>
      </c>
      <c r="AA64" s="268"/>
      <c r="AB64" s="237">
        <v>297722</v>
      </c>
      <c r="AC64" s="443">
        <f>AB64/VPI!R64</f>
        <v>3.9868108281062153</v>
      </c>
      <c r="AD64" s="445">
        <f t="shared" si="2"/>
        <v>462551</v>
      </c>
      <c r="AE64" s="443">
        <f>AD64/VPI!R64</f>
        <v>6.1940445628853693</v>
      </c>
      <c r="AF64" s="237">
        <v>760273</v>
      </c>
      <c r="AG64" s="237">
        <v>257558</v>
      </c>
      <c r="AH64" s="237">
        <v>290748</v>
      </c>
      <c r="AI64" s="271"/>
      <c r="AJ64" s="8">
        <v>0</v>
      </c>
      <c r="AK64" s="443">
        <f>AJ64/VPI!R64</f>
        <v>0</v>
      </c>
      <c r="AL64" s="445">
        <f t="shared" si="3"/>
        <v>32308</v>
      </c>
      <c r="AM64" s="443">
        <f>AL64/VPI!R64</f>
        <v>0.43263811285177317</v>
      </c>
      <c r="AN64" s="8">
        <v>32308</v>
      </c>
      <c r="AO64" s="271"/>
      <c r="AP64" s="529">
        <v>17.659382937375998</v>
      </c>
      <c r="AR64" s="546">
        <v>0</v>
      </c>
      <c r="AT64" s="239">
        <f t="shared" si="4"/>
        <v>4992342.03</v>
      </c>
      <c r="AU64" s="5">
        <f t="shared" si="5"/>
        <v>0</v>
      </c>
    </row>
    <row r="65" spans="1:47" s="239" customFormat="1" x14ac:dyDescent="0.25">
      <c r="A65" s="192">
        <v>5499</v>
      </c>
      <c r="B65" s="447" t="s">
        <v>154</v>
      </c>
      <c r="C65" s="535">
        <v>943191.74</v>
      </c>
      <c r="D65" s="535">
        <v>159897.18</v>
      </c>
      <c r="E65" s="535"/>
      <c r="F65" s="536"/>
      <c r="G65" s="535">
        <v>27081.75</v>
      </c>
      <c r="H65" s="535">
        <v>1052.95</v>
      </c>
      <c r="I65" s="535"/>
      <c r="J65" s="535">
        <v>18119.009999999998</v>
      </c>
      <c r="K65" s="535"/>
      <c r="L65" s="535">
        <v>98308.6</v>
      </c>
      <c r="M65" s="498">
        <f t="shared" si="0"/>
        <v>1247651.23</v>
      </c>
      <c r="N65" s="243">
        <v>17980.25</v>
      </c>
      <c r="O65" s="243">
        <v>162468</v>
      </c>
      <c r="P65" s="243">
        <v>153674.4</v>
      </c>
      <c r="Q65" s="243">
        <v>3622.18</v>
      </c>
      <c r="R65" s="243">
        <v>122420.65</v>
      </c>
      <c r="S65" s="535">
        <v>3090.08</v>
      </c>
      <c r="T65" s="498">
        <f t="shared" si="1"/>
        <v>1710906.7899999998</v>
      </c>
      <c r="U65" s="239">
        <v>-4300.05</v>
      </c>
      <c r="V65" s="243"/>
      <c r="W65" s="243">
        <v>-795.02</v>
      </c>
      <c r="X65" s="540">
        <v>68.5</v>
      </c>
      <c r="Y65" s="543">
        <v>1</v>
      </c>
      <c r="Z65" s="215">
        <v>491</v>
      </c>
      <c r="AA65" s="268"/>
      <c r="AB65" s="237">
        <v>0</v>
      </c>
      <c r="AC65" s="443">
        <f>AB65/VPI!R65</f>
        <v>0</v>
      </c>
      <c r="AD65" s="445">
        <f t="shared" si="2"/>
        <v>267219</v>
      </c>
      <c r="AE65" s="443">
        <f>AD65/VPI!R65</f>
        <v>14.652176591480638</v>
      </c>
      <c r="AF65" s="237">
        <v>267219</v>
      </c>
      <c r="AG65" s="237">
        <v>19669</v>
      </c>
      <c r="AH65" s="237">
        <v>84211</v>
      </c>
      <c r="AI65" s="271"/>
      <c r="AJ65" s="8">
        <v>0</v>
      </c>
      <c r="AK65" s="443">
        <f>AJ65/VPI!R65</f>
        <v>0</v>
      </c>
      <c r="AL65" s="445">
        <f t="shared" si="3"/>
        <v>8306</v>
      </c>
      <c r="AM65" s="443">
        <f>AL65/VPI!R65</f>
        <v>0.45543534991463247</v>
      </c>
      <c r="AN65" s="8">
        <v>8306</v>
      </c>
      <c r="AO65" s="271"/>
      <c r="AP65" s="529">
        <v>33.906082239748244</v>
      </c>
      <c r="AR65" s="546">
        <v>0</v>
      </c>
      <c r="AT65" s="239">
        <f t="shared" si="4"/>
        <v>1247651.23</v>
      </c>
      <c r="AU65" s="5">
        <f t="shared" si="5"/>
        <v>0</v>
      </c>
    </row>
    <row r="66" spans="1:47" x14ac:dyDescent="0.25">
      <c r="A66" s="192">
        <v>5501</v>
      </c>
      <c r="B66" s="447" t="s">
        <v>155</v>
      </c>
      <c r="C66" s="535">
        <v>2602889.13</v>
      </c>
      <c r="D66" s="535">
        <v>36100.81</v>
      </c>
      <c r="E66" s="535"/>
      <c r="F66" s="536"/>
      <c r="G66" s="535">
        <v>112626.8</v>
      </c>
      <c r="H66" s="535">
        <v>776.05</v>
      </c>
      <c r="I66" s="535"/>
      <c r="J66" s="535">
        <v>-15312.01</v>
      </c>
      <c r="K66" s="535"/>
      <c r="L66" s="535">
        <v>234399.4</v>
      </c>
      <c r="M66" s="498">
        <f t="shared" ref="M66:M128" si="6">SUM(C66:L66)</f>
        <v>2971480.1799999997</v>
      </c>
      <c r="N66" s="243">
        <v>11593.6</v>
      </c>
      <c r="O66" s="243">
        <f>-3286130+3290000</f>
        <v>3870</v>
      </c>
      <c r="P66" s="243">
        <v>348297.95</v>
      </c>
      <c r="Q66" s="243">
        <v>149.38999999999999</v>
      </c>
      <c r="R66" s="243">
        <v>258377.25</v>
      </c>
      <c r="S66" s="535">
        <v>12455.22</v>
      </c>
      <c r="T66" s="498">
        <f t="shared" ref="T66:T128" si="7">SUM(M66:S66)</f>
        <v>3606223.5900000003</v>
      </c>
      <c r="U66" s="239">
        <v>-18807.830000000002</v>
      </c>
      <c r="V66" s="243"/>
      <c r="W66" s="243">
        <v>-6767.46</v>
      </c>
      <c r="X66" s="540">
        <v>68.5</v>
      </c>
      <c r="Y66" s="543">
        <v>1</v>
      </c>
      <c r="Z66" s="215">
        <v>1143</v>
      </c>
      <c r="AA66" s="268"/>
      <c r="AB66" s="237">
        <v>107716</v>
      </c>
      <c r="AC66" s="443">
        <f>AB66/VPI!R66</f>
        <v>2.4940078779534085</v>
      </c>
      <c r="AD66" s="445">
        <f t="shared" si="2"/>
        <v>170228</v>
      </c>
      <c r="AE66" s="443">
        <f>AD66/VPI!R66</f>
        <v>3.9413826455517547</v>
      </c>
      <c r="AF66" s="237">
        <v>277944</v>
      </c>
      <c r="AG66" s="237">
        <v>50687</v>
      </c>
      <c r="AH66" s="237">
        <v>49971</v>
      </c>
      <c r="AI66" s="271"/>
      <c r="AJ66" s="8">
        <v>0</v>
      </c>
      <c r="AK66" s="443">
        <f>AJ66/VPI!R66</f>
        <v>0</v>
      </c>
      <c r="AL66" s="445">
        <f t="shared" si="3"/>
        <v>53251</v>
      </c>
      <c r="AM66" s="443">
        <f>AL66/VPI!R66</f>
        <v>1.2329497336412134</v>
      </c>
      <c r="AN66" s="8">
        <v>53251</v>
      </c>
      <c r="AO66" s="271"/>
      <c r="AP66" s="529">
        <v>33.980227758152438</v>
      </c>
      <c r="AR66" s="546">
        <v>0</v>
      </c>
      <c r="AT66" s="239">
        <f t="shared" si="4"/>
        <v>2971480.1799999997</v>
      </c>
      <c r="AU66" s="5">
        <f t="shared" si="5"/>
        <v>0</v>
      </c>
    </row>
    <row r="67" spans="1:47" x14ac:dyDescent="0.25">
      <c r="A67" s="192">
        <v>5503</v>
      </c>
      <c r="B67" s="447" t="s">
        <v>156</v>
      </c>
      <c r="C67" s="535">
        <v>3863752.34</v>
      </c>
      <c r="D67" s="535">
        <v>553028.49</v>
      </c>
      <c r="E67" s="535"/>
      <c r="F67" s="536"/>
      <c r="G67" s="535">
        <v>255214.2</v>
      </c>
      <c r="H67" s="535">
        <v>55373.3</v>
      </c>
      <c r="I67" s="535"/>
      <c r="J67" s="535">
        <v>104703.15</v>
      </c>
      <c r="K67" s="535">
        <v>79251.8</v>
      </c>
      <c r="L67" s="535">
        <v>503415.2</v>
      </c>
      <c r="M67" s="498">
        <f t="shared" si="6"/>
        <v>5414738.4800000004</v>
      </c>
      <c r="N67" s="243">
        <v>157043</v>
      </c>
      <c r="O67" s="243">
        <v>33790</v>
      </c>
      <c r="P67" s="243">
        <v>156817.79999999999</v>
      </c>
      <c r="Q67" s="243">
        <v>1765.97</v>
      </c>
      <c r="R67" s="243">
        <v>132941.5</v>
      </c>
      <c r="S67" s="535">
        <v>76382.990000000005</v>
      </c>
      <c r="T67" s="498">
        <f t="shared" si="7"/>
        <v>5973479.7400000002</v>
      </c>
      <c r="U67" s="239">
        <v>-47973.53</v>
      </c>
      <c r="V67" s="243"/>
      <c r="W67" s="243">
        <v>-24815.29</v>
      </c>
      <c r="X67" s="540">
        <v>67</v>
      </c>
      <c r="Y67" s="543">
        <v>1.2</v>
      </c>
      <c r="Z67" s="215">
        <v>1346</v>
      </c>
      <c r="AA67" s="268"/>
      <c r="AB67" s="237">
        <v>57511</v>
      </c>
      <c r="AC67" s="443">
        <f>AB67/VPI!R67</f>
        <v>0.72209434162809805</v>
      </c>
      <c r="AD67" s="445">
        <f t="shared" si="2"/>
        <v>76916</v>
      </c>
      <c r="AE67" s="443">
        <f>AD67/VPI!R67</f>
        <v>0.96573887396614189</v>
      </c>
      <c r="AF67" s="237">
        <v>134427</v>
      </c>
      <c r="AG67" s="237">
        <v>133736</v>
      </c>
      <c r="AH67" s="237">
        <v>136621</v>
      </c>
      <c r="AI67" s="271"/>
      <c r="AJ67" s="8">
        <v>0</v>
      </c>
      <c r="AK67" s="443">
        <f>AJ67/VPI!R67</f>
        <v>0</v>
      </c>
      <c r="AL67" s="445">
        <f t="shared" si="3"/>
        <v>47207</v>
      </c>
      <c r="AM67" s="443">
        <f>AL67/VPI!R67</f>
        <v>0.59271978552342375</v>
      </c>
      <c r="AN67" s="8">
        <v>47207</v>
      </c>
      <c r="AO67" s="271"/>
      <c r="AP67" s="529">
        <v>33.339049037357164</v>
      </c>
      <c r="AR67" s="546">
        <v>0</v>
      </c>
      <c r="AT67" s="239">
        <f t="shared" si="4"/>
        <v>5414738.4800000004</v>
      </c>
      <c r="AU67" s="5">
        <f t="shared" si="5"/>
        <v>0</v>
      </c>
    </row>
    <row r="68" spans="1:47" s="239" customFormat="1" x14ac:dyDescent="0.25">
      <c r="A68" s="192">
        <v>5511</v>
      </c>
      <c r="B68" s="447" t="s">
        <v>157</v>
      </c>
      <c r="C68" s="535">
        <v>3538874.19</v>
      </c>
      <c r="D68" s="535">
        <v>664019.76</v>
      </c>
      <c r="E68" s="535">
        <v>0</v>
      </c>
      <c r="F68" s="535">
        <v>0</v>
      </c>
      <c r="G68" s="535">
        <v>351788</v>
      </c>
      <c r="H68" s="535">
        <v>38656</v>
      </c>
      <c r="I68" s="535">
        <v>0</v>
      </c>
      <c r="J68" s="535">
        <v>76305.59</v>
      </c>
      <c r="K68" s="535">
        <v>20380.8</v>
      </c>
      <c r="L68" s="535">
        <v>326891.2</v>
      </c>
      <c r="M68" s="498">
        <f t="shared" si="6"/>
        <v>5016915.54</v>
      </c>
      <c r="N68" s="535">
        <v>337167.69999999995</v>
      </c>
      <c r="O68" s="535">
        <v>628936.6</v>
      </c>
      <c r="P68" s="535">
        <v>179090.35</v>
      </c>
      <c r="Q68" s="535">
        <v>8446.89</v>
      </c>
      <c r="R68" s="535">
        <v>172608.5</v>
      </c>
      <c r="S68" s="535">
        <v>42883.1</v>
      </c>
      <c r="T68" s="498">
        <f t="shared" si="7"/>
        <v>6386048.6799999988</v>
      </c>
      <c r="U68" s="535">
        <v>-37630.479999999996</v>
      </c>
      <c r="V68" s="535">
        <v>0</v>
      </c>
      <c r="W68" s="535">
        <v>-233304.37</v>
      </c>
      <c r="X68" s="535">
        <v>69.36</v>
      </c>
      <c r="Y68" s="535">
        <v>0.84</v>
      </c>
      <c r="Z68" s="215">
        <v>1669</v>
      </c>
      <c r="AA68" s="535"/>
      <c r="AB68" s="559">
        <v>81000</v>
      </c>
      <c r="AC68" s="443">
        <f>AB68/VPI!R68</f>
        <v>1.1561009398685786</v>
      </c>
      <c r="AD68" s="445">
        <f t="shared" si="2"/>
        <v>948468</v>
      </c>
      <c r="AE68" s="443">
        <f>AD68/VPI!R68</f>
        <v>13.537342546114457</v>
      </c>
      <c r="AF68" s="559">
        <v>1029468</v>
      </c>
      <c r="AG68" s="559">
        <v>109635</v>
      </c>
      <c r="AH68" s="559">
        <v>146509</v>
      </c>
      <c r="AI68" s="550"/>
      <c r="AJ68" s="535">
        <f>+AJ328</f>
        <v>0</v>
      </c>
      <c r="AK68" s="443">
        <f>AJ68/VPI!R68</f>
        <v>0</v>
      </c>
      <c r="AL68" s="445">
        <f t="shared" si="3"/>
        <v>44781</v>
      </c>
      <c r="AM68" s="443">
        <f>AL68/VPI!R68</f>
        <v>0.63915254553401013</v>
      </c>
      <c r="AN68" s="559">
        <v>44781</v>
      </c>
      <c r="AO68" s="550"/>
      <c r="AP68" s="529">
        <v>28.135259369858787</v>
      </c>
      <c r="AQ68" s="535"/>
      <c r="AR68" s="546">
        <f>+AR328</f>
        <v>0</v>
      </c>
      <c r="AT68" s="239">
        <f t="shared" si="4"/>
        <v>5016915.54</v>
      </c>
      <c r="AU68" s="5">
        <f t="shared" si="5"/>
        <v>0</v>
      </c>
    </row>
    <row r="69" spans="1:47" x14ac:dyDescent="0.25">
      <c r="A69" s="192">
        <v>5512</v>
      </c>
      <c r="B69" s="447" t="s">
        <v>158</v>
      </c>
      <c r="C69" s="535">
        <v>2424120.2999999998</v>
      </c>
      <c r="D69" s="535">
        <v>418038.22</v>
      </c>
      <c r="E69" s="535"/>
      <c r="F69" s="536"/>
      <c r="G69" s="535">
        <v>73052.05</v>
      </c>
      <c r="H69" s="535">
        <v>5275.1</v>
      </c>
      <c r="I69" s="535"/>
      <c r="J69" s="535">
        <v>56775.6</v>
      </c>
      <c r="K69" s="535">
        <v>10795.6</v>
      </c>
      <c r="L69" s="535">
        <v>267009</v>
      </c>
      <c r="M69" s="498">
        <f t="shared" si="6"/>
        <v>3255065.8699999996</v>
      </c>
      <c r="N69" s="243">
        <v>87440.85</v>
      </c>
      <c r="O69" s="243">
        <v>34040.199999999997</v>
      </c>
      <c r="P69" s="243">
        <v>222641.65</v>
      </c>
      <c r="Q69" s="243">
        <v>16132.58</v>
      </c>
      <c r="R69" s="243">
        <v>144724.5</v>
      </c>
      <c r="S69" s="535">
        <v>8602.7900000000009</v>
      </c>
      <c r="T69" s="498">
        <f t="shared" si="7"/>
        <v>3768648.44</v>
      </c>
      <c r="U69" s="239">
        <v>-59212.84</v>
      </c>
      <c r="V69" s="243"/>
      <c r="W69" s="243">
        <v>-491.2</v>
      </c>
      <c r="X69" s="540">
        <v>79</v>
      </c>
      <c r="Y69" s="543">
        <v>1</v>
      </c>
      <c r="Z69" s="215">
        <v>1320</v>
      </c>
      <c r="AA69" s="268"/>
      <c r="AB69" s="237">
        <v>237887</v>
      </c>
      <c r="AC69" s="443">
        <f>AB69/VPI!R69</f>
        <v>5.8361819015898027</v>
      </c>
      <c r="AD69" s="445">
        <f t="shared" si="2"/>
        <v>172236</v>
      </c>
      <c r="AE69" s="443">
        <f>AD69/VPI!R69</f>
        <v>4.2255382849933847</v>
      </c>
      <c r="AF69" s="237">
        <v>410123</v>
      </c>
      <c r="AG69" s="237">
        <v>107362</v>
      </c>
      <c r="AH69" s="237">
        <v>116345</v>
      </c>
      <c r="AI69" s="271"/>
      <c r="AJ69" s="8">
        <v>0</v>
      </c>
      <c r="AK69" s="443">
        <f>AJ69/VPI!R69</f>
        <v>0</v>
      </c>
      <c r="AL69" s="445">
        <f t="shared" si="3"/>
        <v>16074</v>
      </c>
      <c r="AM69" s="443">
        <f>AL69/VPI!R69</f>
        <v>0.39435020781360264</v>
      </c>
      <c r="AN69" s="8">
        <v>16074</v>
      </c>
      <c r="AO69" s="271"/>
      <c r="AP69" s="529">
        <v>17.127715043468946</v>
      </c>
      <c r="AR69" s="546">
        <v>0</v>
      </c>
      <c r="AT69" s="239">
        <f t="shared" si="4"/>
        <v>3255065.8699999996</v>
      </c>
      <c r="AU69" s="5">
        <f t="shared" si="5"/>
        <v>0</v>
      </c>
    </row>
    <row r="70" spans="1:47" x14ac:dyDescent="0.25">
      <c r="A70" s="192">
        <v>5514</v>
      </c>
      <c r="B70" s="447" t="s">
        <v>159</v>
      </c>
      <c r="C70" s="535">
        <v>2492198.1</v>
      </c>
      <c r="D70" s="535">
        <v>381296.87</v>
      </c>
      <c r="E70" s="535"/>
      <c r="F70" s="536"/>
      <c r="G70" s="535">
        <v>637.35</v>
      </c>
      <c r="H70" s="535">
        <v>9423.2000000000007</v>
      </c>
      <c r="I70" s="535">
        <v>41017.800000000003</v>
      </c>
      <c r="J70" s="535">
        <v>50858.18</v>
      </c>
      <c r="K70" s="535">
        <v>11340</v>
      </c>
      <c r="L70" s="535">
        <v>240325.6</v>
      </c>
      <c r="M70" s="498">
        <f t="shared" si="6"/>
        <v>3227097.1000000006</v>
      </c>
      <c r="N70" s="243">
        <v>499.65</v>
      </c>
      <c r="O70" s="243">
        <v>37827</v>
      </c>
      <c r="P70" s="243">
        <v>69041.7</v>
      </c>
      <c r="Q70" s="243">
        <v>1638.86</v>
      </c>
      <c r="R70" s="243">
        <v>53017.4</v>
      </c>
      <c r="S70" s="535">
        <v>1104.97</v>
      </c>
      <c r="T70" s="498">
        <f t="shared" si="7"/>
        <v>3390226.6800000006</v>
      </c>
      <c r="U70" s="239">
        <v>-23602.05</v>
      </c>
      <c r="V70" s="243"/>
      <c r="W70" s="243">
        <v>-75.77</v>
      </c>
      <c r="X70" s="540">
        <v>72.5</v>
      </c>
      <c r="Y70" s="543">
        <v>1</v>
      </c>
      <c r="Z70" s="215">
        <v>1357</v>
      </c>
      <c r="AA70" s="268"/>
      <c r="AB70" s="237">
        <v>123195</v>
      </c>
      <c r="AC70" s="443">
        <f>AB70/VPI!R70</f>
        <v>2.7857714013807611</v>
      </c>
      <c r="AD70" s="445">
        <f t="shared" si="2"/>
        <v>105307</v>
      </c>
      <c r="AE70" s="443">
        <f>AD70/VPI!R70</f>
        <v>2.3812754492081969</v>
      </c>
      <c r="AF70" s="237">
        <v>228502</v>
      </c>
      <c r="AG70" s="237">
        <v>64758</v>
      </c>
      <c r="AH70" s="237">
        <v>116960</v>
      </c>
      <c r="AI70" s="271"/>
      <c r="AJ70" s="8">
        <v>0</v>
      </c>
      <c r="AK70" s="443">
        <f>AJ70/VPI!R70</f>
        <v>0</v>
      </c>
      <c r="AL70" s="445">
        <f t="shared" si="3"/>
        <v>13006</v>
      </c>
      <c r="AM70" s="443">
        <f>AL70/VPI!R70</f>
        <v>0.29410075771223004</v>
      </c>
      <c r="AN70" s="8">
        <v>13006</v>
      </c>
      <c r="AO70" s="271"/>
      <c r="AP70" s="529">
        <v>22.283776684237893</v>
      </c>
      <c r="AR70" s="546">
        <v>0</v>
      </c>
      <c r="AT70" s="239">
        <f t="shared" si="4"/>
        <v>3227097.1000000006</v>
      </c>
      <c r="AU70" s="5">
        <f t="shared" si="5"/>
        <v>0</v>
      </c>
    </row>
    <row r="71" spans="1:47" x14ac:dyDescent="0.25">
      <c r="A71" s="192">
        <v>5515</v>
      </c>
      <c r="B71" s="447" t="s">
        <v>160</v>
      </c>
      <c r="C71" s="535">
        <v>2070477.48</v>
      </c>
      <c r="D71" s="535">
        <v>225852.1</v>
      </c>
      <c r="E71" s="535"/>
      <c r="F71" s="536"/>
      <c r="G71" s="535">
        <v>13185.75</v>
      </c>
      <c r="H71" s="535">
        <v>10187</v>
      </c>
      <c r="I71" s="535"/>
      <c r="J71" s="535">
        <v>32009.33</v>
      </c>
      <c r="K71" s="535">
        <v>12821.05</v>
      </c>
      <c r="L71" s="535">
        <v>178237.15</v>
      </c>
      <c r="M71" s="498">
        <f t="shared" si="6"/>
        <v>2542769.86</v>
      </c>
      <c r="N71" s="243">
        <v>9701.7999999999993</v>
      </c>
      <c r="O71" s="243"/>
      <c r="P71" s="243">
        <v>131282.75</v>
      </c>
      <c r="Q71" s="243">
        <v>509.96</v>
      </c>
      <c r="R71" s="243">
        <v>67945.399999999994</v>
      </c>
      <c r="S71" s="535">
        <v>2567.0700000000002</v>
      </c>
      <c r="T71" s="498">
        <f t="shared" si="7"/>
        <v>2754776.8399999994</v>
      </c>
      <c r="U71" s="239">
        <v>-22673.65</v>
      </c>
      <c r="V71" s="243"/>
      <c r="W71" s="243">
        <v>-48.95</v>
      </c>
      <c r="X71" s="540">
        <v>78</v>
      </c>
      <c r="Y71" s="543">
        <v>1</v>
      </c>
      <c r="Z71" s="215">
        <v>882</v>
      </c>
      <c r="AA71" s="268"/>
      <c r="AB71" s="237">
        <v>55010</v>
      </c>
      <c r="AC71" s="443">
        <f>AB71/VPI!R71</f>
        <v>1.7005820985536946</v>
      </c>
      <c r="AD71" s="445">
        <f t="shared" ref="AD71:AD134" si="8">AF71-AB71</f>
        <v>377227</v>
      </c>
      <c r="AE71" s="443">
        <f>AD71/VPI!R71</f>
        <v>11.661615766062798</v>
      </c>
      <c r="AF71" s="237">
        <v>432237</v>
      </c>
      <c r="AG71" s="237">
        <v>41825</v>
      </c>
      <c r="AH71" s="237">
        <v>62724</v>
      </c>
      <c r="AI71" s="271"/>
      <c r="AJ71" s="8">
        <v>0</v>
      </c>
      <c r="AK71" s="443">
        <f>AJ71/VPI!R71</f>
        <v>0</v>
      </c>
      <c r="AL71" s="445">
        <f t="shared" ref="AL71:AL134" si="9">AN71-AJ71</f>
        <v>128373</v>
      </c>
      <c r="AM71" s="443">
        <f>AL71/VPI!R71</f>
        <v>3.9685298261703954</v>
      </c>
      <c r="AN71" s="8">
        <v>128373</v>
      </c>
      <c r="AO71" s="271"/>
      <c r="AP71" s="529">
        <v>25.238457484257431</v>
      </c>
      <c r="AR71" s="546">
        <v>0</v>
      </c>
      <c r="AT71" s="239">
        <f t="shared" ref="AT71:AT134" si="10">SUM(C71:L71)</f>
        <v>2542769.86</v>
      </c>
      <c r="AU71" s="5">
        <f t="shared" ref="AU71:AU134" si="11">+AT71-M71</f>
        <v>0</v>
      </c>
    </row>
    <row r="72" spans="1:47" x14ac:dyDescent="0.25">
      <c r="A72" s="192">
        <v>5516</v>
      </c>
      <c r="B72" s="447" t="s">
        <v>161</v>
      </c>
      <c r="C72" s="535">
        <v>6695303.0999999996</v>
      </c>
      <c r="D72" s="535">
        <v>1054433.6200000001</v>
      </c>
      <c r="E72" s="535"/>
      <c r="F72" s="536"/>
      <c r="G72" s="535">
        <v>187669.85</v>
      </c>
      <c r="H72" s="535">
        <v>12745.95</v>
      </c>
      <c r="I72" s="535">
        <v>82048.100000000006</v>
      </c>
      <c r="J72" s="535">
        <v>103872.75</v>
      </c>
      <c r="K72" s="535">
        <v>26325.5</v>
      </c>
      <c r="L72" s="535">
        <v>716846.85</v>
      </c>
      <c r="M72" s="498">
        <f t="shared" si="6"/>
        <v>8879245.7199999988</v>
      </c>
      <c r="N72" s="243">
        <v>98315.199999999997</v>
      </c>
      <c r="O72" s="243">
        <v>11587.7</v>
      </c>
      <c r="P72" s="243">
        <v>295046.84999999998</v>
      </c>
      <c r="Q72" s="243">
        <v>9516.2199999999993</v>
      </c>
      <c r="R72" s="243">
        <v>269483</v>
      </c>
      <c r="S72" s="535">
        <v>22012</v>
      </c>
      <c r="T72" s="498">
        <f t="shared" si="7"/>
        <v>9585206.6899999976</v>
      </c>
      <c r="U72" s="239">
        <v>-83943.7</v>
      </c>
      <c r="V72" s="243"/>
      <c r="W72" s="243">
        <v>-2859.82</v>
      </c>
      <c r="X72" s="540">
        <v>78</v>
      </c>
      <c r="Y72" s="543">
        <v>1.2</v>
      </c>
      <c r="Z72" s="215">
        <v>2733</v>
      </c>
      <c r="AA72" s="268"/>
      <c r="AB72" s="237">
        <v>367108</v>
      </c>
      <c r="AC72" s="443">
        <f>AB72/VPI!R72</f>
        <v>3.289613112686677</v>
      </c>
      <c r="AD72" s="445">
        <f t="shared" si="8"/>
        <v>524933</v>
      </c>
      <c r="AE72" s="443">
        <f>AD72/VPI!R72</f>
        <v>4.7038650208711204</v>
      </c>
      <c r="AF72" s="237">
        <v>892041</v>
      </c>
      <c r="AG72" s="237">
        <v>134386</v>
      </c>
      <c r="AH72" s="237">
        <v>219816</v>
      </c>
      <c r="AI72" s="271"/>
      <c r="AJ72" s="8">
        <v>0</v>
      </c>
      <c r="AK72" s="443">
        <f>AJ72/VPI!R72</f>
        <v>0</v>
      </c>
      <c r="AL72" s="445">
        <f t="shared" si="9"/>
        <v>9396</v>
      </c>
      <c r="AM72" s="443">
        <f>AL72/VPI!R72</f>
        <v>8.4196489335029517E-2</v>
      </c>
      <c r="AN72" s="8">
        <v>9396</v>
      </c>
      <c r="AO72" s="271"/>
      <c r="AP72" s="529">
        <v>25.865767959332604</v>
      </c>
      <c r="AR72" s="546">
        <v>0</v>
      </c>
      <c r="AT72" s="239">
        <f t="shared" si="10"/>
        <v>8879245.7199999988</v>
      </c>
      <c r="AU72" s="5">
        <f t="shared" si="11"/>
        <v>0</v>
      </c>
    </row>
    <row r="73" spans="1:47" x14ac:dyDescent="0.25">
      <c r="A73" s="192">
        <v>5518</v>
      </c>
      <c r="B73" s="447" t="s">
        <v>162</v>
      </c>
      <c r="C73" s="535">
        <v>10175055.689999999</v>
      </c>
      <c r="D73" s="535">
        <v>1376857.71</v>
      </c>
      <c r="E73" s="535"/>
      <c r="F73" s="536"/>
      <c r="G73" s="535">
        <v>370505.45</v>
      </c>
      <c r="H73" s="535">
        <v>86409.45</v>
      </c>
      <c r="I73" s="535"/>
      <c r="J73" s="535">
        <v>149018.43</v>
      </c>
      <c r="K73" s="535">
        <v>70964.3</v>
      </c>
      <c r="L73" s="535">
        <v>1101927.8500000001</v>
      </c>
      <c r="M73" s="498">
        <f t="shared" si="6"/>
        <v>13330738.879999997</v>
      </c>
      <c r="N73" s="243">
        <v>227029.45</v>
      </c>
      <c r="O73" s="243">
        <v>49670.5</v>
      </c>
      <c r="P73" s="243">
        <v>467731</v>
      </c>
      <c r="Q73" s="243">
        <v>36285.79</v>
      </c>
      <c r="R73" s="243">
        <v>433182.65</v>
      </c>
      <c r="S73" s="535">
        <v>50183.71</v>
      </c>
      <c r="T73" s="498">
        <f t="shared" si="7"/>
        <v>14594821.979999997</v>
      </c>
      <c r="U73" s="239">
        <v>-144405.91</v>
      </c>
      <c r="V73" s="243"/>
      <c r="W73" s="243">
        <v>-4657.82</v>
      </c>
      <c r="X73" s="540">
        <v>72.5</v>
      </c>
      <c r="Y73" s="543">
        <v>1</v>
      </c>
      <c r="Z73" s="215">
        <v>5739</v>
      </c>
      <c r="AA73" s="268"/>
      <c r="AB73" s="237">
        <v>1001227</v>
      </c>
      <c r="AC73" s="443">
        <f>AB73/VPI!R73</f>
        <v>5.4709199676987259</v>
      </c>
      <c r="AD73" s="445">
        <f t="shared" si="8"/>
        <v>1362267</v>
      </c>
      <c r="AE73" s="443">
        <f>AD73/VPI!R73</f>
        <v>7.4437202868450809</v>
      </c>
      <c r="AF73" s="237">
        <v>2363494</v>
      </c>
      <c r="AG73" s="237">
        <v>465075</v>
      </c>
      <c r="AH73" s="237">
        <v>503984</v>
      </c>
      <c r="AI73" s="271"/>
      <c r="AJ73" s="8">
        <v>0</v>
      </c>
      <c r="AK73" s="443">
        <f>AJ73/VPI!R73</f>
        <v>0</v>
      </c>
      <c r="AL73" s="445">
        <f t="shared" si="9"/>
        <v>89832</v>
      </c>
      <c r="AM73" s="443">
        <f>AL73/VPI!R73</f>
        <v>0.49086139560590347</v>
      </c>
      <c r="AN73" s="8">
        <v>89832</v>
      </c>
      <c r="AO73" s="271"/>
      <c r="AP73" s="529">
        <v>14.486587253981448</v>
      </c>
      <c r="AR73" s="546">
        <v>0</v>
      </c>
      <c r="AT73" s="239">
        <f t="shared" si="10"/>
        <v>13330738.879999997</v>
      </c>
      <c r="AU73" s="5">
        <f t="shared" si="11"/>
        <v>0</v>
      </c>
    </row>
    <row r="74" spans="1:47" x14ac:dyDescent="0.25">
      <c r="A74" s="192">
        <v>5520</v>
      </c>
      <c r="B74" s="447" t="s">
        <v>163</v>
      </c>
      <c r="C74" s="535">
        <v>1806862.31</v>
      </c>
      <c r="D74" s="535">
        <v>274763.32</v>
      </c>
      <c r="E74" s="535"/>
      <c r="F74" s="536"/>
      <c r="G74" s="535">
        <v>24751.3</v>
      </c>
      <c r="H74" s="535">
        <v>2390.6</v>
      </c>
      <c r="I74" s="535"/>
      <c r="J74" s="535">
        <v>24016.799999999999</v>
      </c>
      <c r="K74" s="535">
        <v>5999.75</v>
      </c>
      <c r="L74" s="535">
        <v>195705.3</v>
      </c>
      <c r="M74" s="498">
        <f t="shared" si="6"/>
        <v>2334489.38</v>
      </c>
      <c r="N74" s="243">
        <v>11223.55</v>
      </c>
      <c r="O74" s="243"/>
      <c r="P74" s="243">
        <v>75823.5</v>
      </c>
      <c r="Q74" s="243">
        <v>26731.01</v>
      </c>
      <c r="R74" s="243">
        <v>33582.449999999997</v>
      </c>
      <c r="S74" s="535">
        <v>2981.04</v>
      </c>
      <c r="T74" s="498">
        <f t="shared" si="7"/>
        <v>2484830.9299999997</v>
      </c>
      <c r="U74" s="239">
        <v>-50287.94</v>
      </c>
      <c r="V74" s="243"/>
      <c r="W74" s="243">
        <v>-147.56</v>
      </c>
      <c r="X74" s="540">
        <v>73</v>
      </c>
      <c r="Y74" s="543">
        <v>1</v>
      </c>
      <c r="Z74" s="215">
        <v>1059</v>
      </c>
      <c r="AA74" s="268"/>
      <c r="AB74" s="237">
        <v>20535</v>
      </c>
      <c r="AC74" s="443">
        <f>AB74/VPI!R74</f>
        <v>0.64788532865984427</v>
      </c>
      <c r="AD74" s="445">
        <f t="shared" si="8"/>
        <v>329559</v>
      </c>
      <c r="AE74" s="443">
        <f>AD74/VPI!R74</f>
        <v>10.397684004276096</v>
      </c>
      <c r="AF74" s="237">
        <v>350094</v>
      </c>
      <c r="AG74" s="237">
        <v>68444</v>
      </c>
      <c r="AH74" s="237">
        <v>91106</v>
      </c>
      <c r="AI74" s="271"/>
      <c r="AJ74" s="8">
        <v>0</v>
      </c>
      <c r="AK74" s="443">
        <f>AJ74/VPI!R74</f>
        <v>0</v>
      </c>
      <c r="AL74" s="445">
        <f t="shared" si="9"/>
        <v>74299</v>
      </c>
      <c r="AM74" s="443">
        <f>AL74/VPI!R74</f>
        <v>2.3441554435888858</v>
      </c>
      <c r="AN74" s="8">
        <v>74299</v>
      </c>
      <c r="AO74" s="271"/>
      <c r="AP74" s="529">
        <v>20.627800915922762</v>
      </c>
      <c r="AR74" s="546">
        <v>0</v>
      </c>
      <c r="AT74" s="239">
        <f t="shared" si="10"/>
        <v>2334489.38</v>
      </c>
      <c r="AU74" s="5">
        <f t="shared" si="11"/>
        <v>0</v>
      </c>
    </row>
    <row r="75" spans="1:47" x14ac:dyDescent="0.25">
      <c r="A75" s="192">
        <v>5521</v>
      </c>
      <c r="B75" s="447" t="s">
        <v>164</v>
      </c>
      <c r="C75" s="535">
        <v>2329469.2799999998</v>
      </c>
      <c r="D75" s="535">
        <v>270709.42</v>
      </c>
      <c r="E75" s="535"/>
      <c r="F75" s="536"/>
      <c r="G75" s="535">
        <v>167771.1</v>
      </c>
      <c r="H75" s="535">
        <v>2580.9</v>
      </c>
      <c r="I75" s="535"/>
      <c r="J75" s="535">
        <v>64995.76</v>
      </c>
      <c r="K75" s="535">
        <v>17341.25</v>
      </c>
      <c r="L75" s="535">
        <v>265040.45</v>
      </c>
      <c r="M75" s="498">
        <f t="shared" si="6"/>
        <v>3117908.1599999997</v>
      </c>
      <c r="N75" s="243">
        <v>29998</v>
      </c>
      <c r="O75" s="243"/>
      <c r="P75" s="243">
        <v>55425.75</v>
      </c>
      <c r="Q75" s="243">
        <v>25334.83</v>
      </c>
      <c r="R75" s="243">
        <v>177250.5</v>
      </c>
      <c r="S75" s="535">
        <v>18710.04</v>
      </c>
      <c r="T75" s="498">
        <f t="shared" si="7"/>
        <v>3424627.28</v>
      </c>
      <c r="U75" s="239">
        <v>-48097.07</v>
      </c>
      <c r="V75" s="243"/>
      <c r="W75" s="243">
        <v>-1329.45</v>
      </c>
      <c r="X75" s="540">
        <v>73</v>
      </c>
      <c r="Y75" s="543">
        <v>1</v>
      </c>
      <c r="Z75" s="215">
        <v>1148</v>
      </c>
      <c r="AA75" s="268"/>
      <c r="AB75" s="237">
        <v>59395</v>
      </c>
      <c r="AC75" s="443">
        <f>AB75/VPI!R75</f>
        <v>1.3930274926397335</v>
      </c>
      <c r="AD75" s="445">
        <f t="shared" si="8"/>
        <v>217030</v>
      </c>
      <c r="AE75" s="443">
        <f>AD75/VPI!R75</f>
        <v>5.090138172027971</v>
      </c>
      <c r="AF75" s="237">
        <v>276425</v>
      </c>
      <c r="AG75" s="237">
        <v>93161</v>
      </c>
      <c r="AH75" s="237">
        <v>100955</v>
      </c>
      <c r="AI75" s="271"/>
      <c r="AJ75" s="8">
        <v>0</v>
      </c>
      <c r="AK75" s="443">
        <f>AJ75/VPI!R75</f>
        <v>0</v>
      </c>
      <c r="AL75" s="445">
        <f t="shared" si="9"/>
        <v>15286</v>
      </c>
      <c r="AM75" s="443">
        <f>AL75/VPI!R75</f>
        <v>0.35851196653743522</v>
      </c>
      <c r="AN75" s="8">
        <v>15286</v>
      </c>
      <c r="AO75" s="271"/>
      <c r="AP75" s="529">
        <v>29.17256375506761</v>
      </c>
      <c r="AR75" s="546">
        <v>0</v>
      </c>
      <c r="AT75" s="239">
        <f t="shared" si="10"/>
        <v>3117908.1599999997</v>
      </c>
      <c r="AU75" s="5">
        <f t="shared" si="11"/>
        <v>0</v>
      </c>
    </row>
    <row r="76" spans="1:47" x14ac:dyDescent="0.25">
      <c r="A76" s="192">
        <v>5522</v>
      </c>
      <c r="B76" s="447" t="s">
        <v>165</v>
      </c>
      <c r="C76" s="535">
        <v>1423009.48</v>
      </c>
      <c r="D76" s="535">
        <v>180797.2</v>
      </c>
      <c r="E76" s="535"/>
      <c r="F76" s="536"/>
      <c r="G76" s="535">
        <v>18654</v>
      </c>
      <c r="H76" s="535">
        <v>707.15</v>
      </c>
      <c r="I76" s="535"/>
      <c r="J76" s="535">
        <v>9160.84</v>
      </c>
      <c r="K76" s="535">
        <v>4017.55</v>
      </c>
      <c r="L76" s="535">
        <v>144022.39999999999</v>
      </c>
      <c r="M76" s="498">
        <f t="shared" si="6"/>
        <v>1780368.6199999999</v>
      </c>
      <c r="N76" s="243">
        <v>26174.95</v>
      </c>
      <c r="O76" s="243">
        <v>234.4</v>
      </c>
      <c r="P76" s="243">
        <v>31147.5</v>
      </c>
      <c r="Q76" s="243">
        <v>15815.26</v>
      </c>
      <c r="R76" s="243">
        <v>37571.1</v>
      </c>
      <c r="S76" s="535">
        <v>2126.4699999999998</v>
      </c>
      <c r="T76" s="498">
        <f t="shared" si="7"/>
        <v>1893438.2999999998</v>
      </c>
      <c r="U76" s="239">
        <v>-4006.55</v>
      </c>
      <c r="V76" s="243"/>
      <c r="W76" s="243">
        <v>-45.25</v>
      </c>
      <c r="X76" s="540">
        <v>75</v>
      </c>
      <c r="Y76" s="543">
        <v>1</v>
      </c>
      <c r="Z76" s="215">
        <v>754</v>
      </c>
      <c r="AA76" s="268"/>
      <c r="AB76" s="237">
        <v>1560</v>
      </c>
      <c r="AC76" s="443">
        <f>AB76/VPI!R76</f>
        <v>6.5207993574839029E-2</v>
      </c>
      <c r="AD76" s="445">
        <f t="shared" si="8"/>
        <v>109506</v>
      </c>
      <c r="AE76" s="443">
        <f>AD76/VPI!R76</f>
        <v>4.5773503489784124</v>
      </c>
      <c r="AF76" s="237">
        <v>111066</v>
      </c>
      <c r="AG76" s="237">
        <v>60782</v>
      </c>
      <c r="AH76" s="237">
        <v>65867</v>
      </c>
      <c r="AI76" s="271"/>
      <c r="AJ76" s="8">
        <v>0</v>
      </c>
      <c r="AK76" s="443">
        <f>AJ76/VPI!R76</f>
        <v>0</v>
      </c>
      <c r="AL76" s="445">
        <f t="shared" si="9"/>
        <v>20481</v>
      </c>
      <c r="AM76" s="443">
        <f>AL76/VPI!R76</f>
        <v>0.85610571564505011</v>
      </c>
      <c r="AN76" s="8">
        <v>20481</v>
      </c>
      <c r="AO76" s="271"/>
      <c r="AP76" s="529">
        <v>20.732713488342533</v>
      </c>
      <c r="AR76" s="546">
        <v>0</v>
      </c>
      <c r="AT76" s="239">
        <f t="shared" si="10"/>
        <v>1780368.6199999999</v>
      </c>
      <c r="AU76" s="5">
        <f t="shared" si="11"/>
        <v>0</v>
      </c>
    </row>
    <row r="77" spans="1:47" x14ac:dyDescent="0.25">
      <c r="A77" s="192">
        <v>5523</v>
      </c>
      <c r="B77" s="447" t="s">
        <v>166</v>
      </c>
      <c r="C77" s="535">
        <v>5279898.51</v>
      </c>
      <c r="D77" s="535">
        <v>744353.59</v>
      </c>
      <c r="E77" s="535"/>
      <c r="F77" s="536">
        <v>15640</v>
      </c>
      <c r="G77" s="535">
        <v>104955.85</v>
      </c>
      <c r="H77" s="535">
        <v>5789.2</v>
      </c>
      <c r="I77" s="535"/>
      <c r="J77" s="535">
        <v>78967.53</v>
      </c>
      <c r="K77" s="535">
        <v>29608.05</v>
      </c>
      <c r="L77" s="535">
        <v>664223.30000000005</v>
      </c>
      <c r="M77" s="498">
        <f t="shared" si="6"/>
        <v>6923436.0299999993</v>
      </c>
      <c r="N77" s="243">
        <v>6648.85</v>
      </c>
      <c r="O77" s="538"/>
      <c r="P77" s="538">
        <v>179861</v>
      </c>
      <c r="Q77" s="243">
        <v>11243</v>
      </c>
      <c r="R77" s="243">
        <v>826824.4</v>
      </c>
      <c r="S77" s="535">
        <v>12163.31</v>
      </c>
      <c r="T77" s="498">
        <f t="shared" si="7"/>
        <v>7960176.5899999989</v>
      </c>
      <c r="U77" s="239">
        <v>-63743.97</v>
      </c>
      <c r="V77" s="243"/>
      <c r="W77" s="243">
        <v>-1275.46</v>
      </c>
      <c r="X77" s="540">
        <v>72</v>
      </c>
      <c r="Y77" s="543">
        <v>1.25</v>
      </c>
      <c r="Z77" s="215">
        <v>2673</v>
      </c>
      <c r="AA77" s="268"/>
      <c r="AB77" s="237">
        <v>164593</v>
      </c>
      <c r="AC77" s="443">
        <f>AB77/VPI!R77</f>
        <v>1.7559244616027618</v>
      </c>
      <c r="AD77" s="445">
        <f t="shared" si="8"/>
        <v>479780</v>
      </c>
      <c r="AE77" s="443">
        <f>AD77/VPI!R77</f>
        <v>5.1184281116923138</v>
      </c>
      <c r="AF77" s="237">
        <v>644373</v>
      </c>
      <c r="AG77" s="237">
        <v>131172</v>
      </c>
      <c r="AH77" s="237">
        <v>201746</v>
      </c>
      <c r="AI77" s="271"/>
      <c r="AJ77" s="8">
        <v>0</v>
      </c>
      <c r="AK77" s="443">
        <f>AJ77/VPI!R77</f>
        <v>0</v>
      </c>
      <c r="AL77" s="445">
        <f t="shared" si="9"/>
        <v>25055</v>
      </c>
      <c r="AM77" s="443">
        <f>AL77/VPI!R77</f>
        <v>0.26729379369388245</v>
      </c>
      <c r="AN77" s="8">
        <v>25055</v>
      </c>
      <c r="AO77" s="271"/>
      <c r="AP77" s="529">
        <v>17.818174231360501</v>
      </c>
      <c r="AR77" s="546">
        <v>0</v>
      </c>
      <c r="AT77" s="239">
        <f t="shared" si="10"/>
        <v>6923436.0299999993</v>
      </c>
      <c r="AU77" s="5">
        <f t="shared" si="11"/>
        <v>0</v>
      </c>
    </row>
    <row r="78" spans="1:47" x14ac:dyDescent="0.25">
      <c r="A78" s="192">
        <v>5527</v>
      </c>
      <c r="B78" s="447" t="s">
        <v>167</v>
      </c>
      <c r="C78" s="535">
        <v>2283238.2799999998</v>
      </c>
      <c r="D78" s="535">
        <v>373457.94</v>
      </c>
      <c r="E78" s="535"/>
      <c r="F78" s="536"/>
      <c r="G78" s="535">
        <v>2924</v>
      </c>
      <c r="H78" s="535">
        <v>2854.45</v>
      </c>
      <c r="I78" s="535"/>
      <c r="J78" s="535">
        <v>33555.919999999998</v>
      </c>
      <c r="K78" s="535">
        <v>-2491.75</v>
      </c>
      <c r="L78" s="535">
        <v>243459.75</v>
      </c>
      <c r="M78" s="498">
        <f t="shared" si="6"/>
        <v>2936998.59</v>
      </c>
      <c r="N78" s="243">
        <v>10850.5</v>
      </c>
      <c r="O78" s="243"/>
      <c r="P78" s="243">
        <v>141512.70000000001</v>
      </c>
      <c r="Q78" s="243">
        <v>432.99</v>
      </c>
      <c r="R78" s="243">
        <v>117659.35</v>
      </c>
      <c r="S78" s="535">
        <v>634.66</v>
      </c>
      <c r="T78" s="498">
        <f t="shared" si="7"/>
        <v>3208088.7900000005</v>
      </c>
      <c r="U78" s="239">
        <v>-29012.71</v>
      </c>
      <c r="V78" s="243"/>
      <c r="W78" s="243">
        <v>-111</v>
      </c>
      <c r="X78" s="540">
        <v>74</v>
      </c>
      <c r="Y78" s="543">
        <v>1</v>
      </c>
      <c r="Z78" s="215">
        <v>1156</v>
      </c>
      <c r="AA78" s="268"/>
      <c r="AB78" s="237">
        <v>92570</v>
      </c>
      <c r="AC78" s="443">
        <f>AB78/VPI!R78</f>
        <v>2.3548694858540227</v>
      </c>
      <c r="AD78" s="445">
        <f t="shared" si="8"/>
        <v>133304</v>
      </c>
      <c r="AE78" s="443">
        <f>AD78/VPI!R78</f>
        <v>3.3910934637818371</v>
      </c>
      <c r="AF78" s="237">
        <v>225874</v>
      </c>
      <c r="AG78" s="237">
        <v>37427</v>
      </c>
      <c r="AH78" s="237">
        <v>83451</v>
      </c>
      <c r="AI78" s="271"/>
      <c r="AJ78" s="8">
        <v>0</v>
      </c>
      <c r="AK78" s="443">
        <f>AJ78/VPI!R78</f>
        <v>0</v>
      </c>
      <c r="AL78" s="445">
        <f t="shared" si="9"/>
        <v>37967</v>
      </c>
      <c r="AM78" s="443">
        <f>AL78/VPI!R78</f>
        <v>0.96583482520708308</v>
      </c>
      <c r="AN78" s="8">
        <v>37967</v>
      </c>
      <c r="AO78" s="271"/>
      <c r="AP78" s="529">
        <v>24.564199069083323</v>
      </c>
      <c r="AR78" s="546">
        <v>0</v>
      </c>
      <c r="AT78" s="239">
        <f t="shared" si="10"/>
        <v>2936998.59</v>
      </c>
      <c r="AU78" s="5">
        <f t="shared" si="11"/>
        <v>0</v>
      </c>
    </row>
    <row r="79" spans="1:47" x14ac:dyDescent="0.25">
      <c r="A79" s="192">
        <v>5529</v>
      </c>
      <c r="B79" s="447" t="s">
        <v>168</v>
      </c>
      <c r="C79" s="535">
        <v>1180124.1399999999</v>
      </c>
      <c r="D79" s="535">
        <v>163878.31</v>
      </c>
      <c r="E79" s="535"/>
      <c r="F79" s="536"/>
      <c r="G79" s="535">
        <v>1834.9</v>
      </c>
      <c r="H79" s="535">
        <v>1395.6</v>
      </c>
      <c r="I79" s="535"/>
      <c r="J79" s="535">
        <v>20148.03</v>
      </c>
      <c r="K79" s="535">
        <v>3248.55</v>
      </c>
      <c r="L79" s="535">
        <v>128212.6</v>
      </c>
      <c r="M79" s="498">
        <f t="shared" si="6"/>
        <v>1498842.1300000001</v>
      </c>
      <c r="N79" s="243"/>
      <c r="O79" s="243"/>
      <c r="P79" s="243">
        <v>95966.45</v>
      </c>
      <c r="Q79" s="243"/>
      <c r="R79" s="243">
        <v>189871.3</v>
      </c>
      <c r="S79" s="535">
        <v>354.81</v>
      </c>
      <c r="T79" s="498">
        <f t="shared" si="7"/>
        <v>1785034.6900000002</v>
      </c>
      <c r="U79" s="239">
        <v>-17823.47</v>
      </c>
      <c r="V79" s="243"/>
      <c r="W79" s="243">
        <v>-28.32</v>
      </c>
      <c r="X79" s="540">
        <v>70</v>
      </c>
      <c r="Y79" s="543">
        <v>1</v>
      </c>
      <c r="Z79" s="215">
        <v>619</v>
      </c>
      <c r="AA79" s="268"/>
      <c r="AB79" s="237">
        <v>25640</v>
      </c>
      <c r="AC79" s="443">
        <f>AB79/VPI!R79</f>
        <v>1.2116014961131778</v>
      </c>
      <c r="AD79" s="445">
        <f t="shared" si="8"/>
        <v>253186</v>
      </c>
      <c r="AE79" s="443">
        <f>AD79/VPI!R79</f>
        <v>11.964139484980929</v>
      </c>
      <c r="AF79" s="237">
        <v>278826</v>
      </c>
      <c r="AG79" s="237">
        <v>20060</v>
      </c>
      <c r="AH79" s="237">
        <v>54347</v>
      </c>
      <c r="AI79" s="271"/>
      <c r="AJ79" s="8">
        <v>0</v>
      </c>
      <c r="AK79" s="443">
        <f>AJ79/VPI!R79</f>
        <v>0</v>
      </c>
      <c r="AL79" s="445">
        <f t="shared" si="9"/>
        <v>-43936</v>
      </c>
      <c r="AM79" s="443">
        <f>AL79/VPI!R79</f>
        <v>-2.076167056678182</v>
      </c>
      <c r="AN79" s="8">
        <v>-43936</v>
      </c>
      <c r="AO79" s="271"/>
      <c r="AP79" s="529">
        <v>22.972570014702235</v>
      </c>
      <c r="AR79" s="546">
        <v>0</v>
      </c>
      <c r="AT79" s="239">
        <f t="shared" si="10"/>
        <v>1498842.1300000001</v>
      </c>
      <c r="AU79" s="5">
        <f t="shared" si="11"/>
        <v>0</v>
      </c>
    </row>
    <row r="80" spans="1:47" x14ac:dyDescent="0.25">
      <c r="A80" s="192">
        <v>5530</v>
      </c>
      <c r="B80" s="447" t="s">
        <v>169</v>
      </c>
      <c r="C80" s="535">
        <v>1193404.49</v>
      </c>
      <c r="D80" s="535">
        <v>167909.93</v>
      </c>
      <c r="E80" s="535"/>
      <c r="F80" s="536"/>
      <c r="G80" s="535">
        <v>-1628.15</v>
      </c>
      <c r="H80" s="535">
        <v>-53</v>
      </c>
      <c r="I80" s="535"/>
      <c r="J80" s="535">
        <v>12489.9</v>
      </c>
      <c r="K80" s="535">
        <v>847.5</v>
      </c>
      <c r="L80" s="535">
        <v>133029.65</v>
      </c>
      <c r="M80" s="498">
        <f t="shared" si="6"/>
        <v>1506000.3199999998</v>
      </c>
      <c r="N80" s="243">
        <v>19384.099999999999</v>
      </c>
      <c r="O80" s="243">
        <v>75442.5</v>
      </c>
      <c r="P80" s="243">
        <v>33943.35</v>
      </c>
      <c r="Q80" s="243"/>
      <c r="R80" s="243">
        <v>3231.1</v>
      </c>
      <c r="S80" s="535">
        <v>0</v>
      </c>
      <c r="T80" s="498">
        <f t="shared" si="7"/>
        <v>1638001.37</v>
      </c>
      <c r="U80" s="239">
        <v>-16302.61</v>
      </c>
      <c r="V80" s="243"/>
      <c r="W80" s="243">
        <v>-90.34</v>
      </c>
      <c r="X80" s="540">
        <v>76</v>
      </c>
      <c r="Y80" s="543">
        <v>1.2</v>
      </c>
      <c r="Z80" s="215">
        <v>575</v>
      </c>
      <c r="AA80" s="268"/>
      <c r="AB80" s="237">
        <v>85150</v>
      </c>
      <c r="AC80" s="443">
        <f>AB80/VPI!R80</f>
        <v>4.4100056500258598</v>
      </c>
      <c r="AD80" s="445">
        <f t="shared" si="8"/>
        <v>1025481</v>
      </c>
      <c r="AE80" s="443">
        <f>AD80/VPI!R80</f>
        <v>53.110710557770631</v>
      </c>
      <c r="AF80" s="237">
        <v>1110631</v>
      </c>
      <c r="AG80" s="237">
        <v>18405</v>
      </c>
      <c r="AH80" s="237">
        <v>49862</v>
      </c>
      <c r="AI80" s="271"/>
      <c r="AJ80" s="8">
        <v>0</v>
      </c>
      <c r="AK80" s="443">
        <f>AJ80/VPI!R80</f>
        <v>0</v>
      </c>
      <c r="AL80" s="445">
        <f t="shared" si="9"/>
        <v>50738</v>
      </c>
      <c r="AM80" s="443">
        <f>AL80/VPI!R80</f>
        <v>2.6277729497476465</v>
      </c>
      <c r="AN80" s="8">
        <v>50738</v>
      </c>
      <c r="AO80" s="271"/>
      <c r="AP80" s="529">
        <v>20.647972036508406</v>
      </c>
      <c r="AR80" s="546">
        <v>0</v>
      </c>
      <c r="AT80" s="239">
        <f t="shared" si="10"/>
        <v>1506000.3199999998</v>
      </c>
      <c r="AU80" s="5">
        <f t="shared" si="11"/>
        <v>0</v>
      </c>
    </row>
    <row r="81" spans="1:47" x14ac:dyDescent="0.25">
      <c r="A81" s="192">
        <v>5531</v>
      </c>
      <c r="B81" s="447" t="s">
        <v>170</v>
      </c>
      <c r="C81" s="535">
        <v>830500.1</v>
      </c>
      <c r="D81" s="535">
        <v>120779.49</v>
      </c>
      <c r="E81" s="535"/>
      <c r="F81" s="536"/>
      <c r="G81" s="535">
        <v>5750.15</v>
      </c>
      <c r="H81" s="535">
        <v>646.79999999999995</v>
      </c>
      <c r="I81" s="535"/>
      <c r="J81" s="535">
        <v>16344.72</v>
      </c>
      <c r="K81" s="535">
        <v>1130.3</v>
      </c>
      <c r="L81" s="535">
        <v>83018</v>
      </c>
      <c r="M81" s="498">
        <f t="shared" si="6"/>
        <v>1058169.56</v>
      </c>
      <c r="N81" s="243">
        <v>23410.5</v>
      </c>
      <c r="O81" s="243"/>
      <c r="P81" s="243">
        <v>74749.649999999994</v>
      </c>
      <c r="Q81" s="243">
        <v>469.37</v>
      </c>
      <c r="R81" s="243">
        <v>35131.75</v>
      </c>
      <c r="S81" s="535">
        <v>702.59</v>
      </c>
      <c r="T81" s="498">
        <f t="shared" si="7"/>
        <v>1192633.4200000002</v>
      </c>
      <c r="U81" s="239">
        <v>-984.26</v>
      </c>
      <c r="V81" s="243"/>
      <c r="W81" s="243">
        <v>-118.71</v>
      </c>
      <c r="X81" s="540">
        <v>74</v>
      </c>
      <c r="Y81" s="543">
        <v>1</v>
      </c>
      <c r="Z81" s="215">
        <v>417</v>
      </c>
      <c r="AA81" s="268"/>
      <c r="AB81" s="237">
        <v>113645</v>
      </c>
      <c r="AC81" s="443">
        <f>AB81/VPI!R81</f>
        <v>7.9469132928487616</v>
      </c>
      <c r="AD81" s="445">
        <f t="shared" si="8"/>
        <v>52411</v>
      </c>
      <c r="AE81" s="443">
        <f>AD81/VPI!R81</f>
        <v>3.6649713809802145</v>
      </c>
      <c r="AF81" s="237">
        <v>166056</v>
      </c>
      <c r="AG81" s="237">
        <v>13601</v>
      </c>
      <c r="AH81" s="237">
        <v>36847</v>
      </c>
      <c r="AI81" s="271"/>
      <c r="AJ81" s="8">
        <v>0</v>
      </c>
      <c r="AK81" s="443">
        <f>AJ81/VPI!R81</f>
        <v>0</v>
      </c>
      <c r="AL81" s="445">
        <f t="shared" si="9"/>
        <v>27285</v>
      </c>
      <c r="AM81" s="443">
        <f>AL81/VPI!R81</f>
        <v>1.9079724510130536</v>
      </c>
      <c r="AN81" s="8">
        <v>27285</v>
      </c>
      <c r="AO81" s="271"/>
      <c r="AP81" s="529">
        <v>23.321968254018032</v>
      </c>
      <c r="AR81" s="546">
        <v>0</v>
      </c>
      <c r="AT81" s="239">
        <f t="shared" si="10"/>
        <v>1058169.56</v>
      </c>
      <c r="AU81" s="5">
        <f t="shared" si="11"/>
        <v>0</v>
      </c>
    </row>
    <row r="82" spans="1:47" x14ac:dyDescent="0.25">
      <c r="A82" s="192">
        <v>5533</v>
      </c>
      <c r="B82" s="447" t="s">
        <v>171</v>
      </c>
      <c r="C82" s="535">
        <v>1533489.97</v>
      </c>
      <c r="D82" s="535">
        <v>195018.73</v>
      </c>
      <c r="E82" s="535"/>
      <c r="F82" s="536"/>
      <c r="G82" s="535">
        <v>133143.65</v>
      </c>
      <c r="H82" s="535">
        <v>802.55</v>
      </c>
      <c r="I82" s="535"/>
      <c r="J82" s="535">
        <v>2679.43</v>
      </c>
      <c r="K82" s="535">
        <v>10363.25</v>
      </c>
      <c r="L82" s="535">
        <v>146244.20000000001</v>
      </c>
      <c r="M82" s="498">
        <f t="shared" si="6"/>
        <v>2021741.7799999998</v>
      </c>
      <c r="N82" s="243">
        <v>4072.25</v>
      </c>
      <c r="O82" s="243">
        <v>12776.7</v>
      </c>
      <c r="P82" s="243">
        <v>11264</v>
      </c>
      <c r="Q82" s="243">
        <v>1153.5</v>
      </c>
      <c r="R82" s="243">
        <v>6227.8</v>
      </c>
      <c r="S82" s="535">
        <v>14711.53</v>
      </c>
      <c r="T82" s="498">
        <f t="shared" si="7"/>
        <v>2071947.5599999998</v>
      </c>
      <c r="U82" s="239">
        <v>-30247.360000000001</v>
      </c>
      <c r="V82" s="243"/>
      <c r="W82" s="243">
        <v>-170.62</v>
      </c>
      <c r="X82" s="540">
        <v>73</v>
      </c>
      <c r="Y82" s="543">
        <v>1</v>
      </c>
      <c r="Z82" s="215">
        <v>833</v>
      </c>
      <c r="AA82" s="268"/>
      <c r="AB82" s="237">
        <v>31645</v>
      </c>
      <c r="AC82" s="443">
        <f>AB82/VPI!R82</f>
        <v>1.1509056674054929</v>
      </c>
      <c r="AD82" s="445">
        <f t="shared" si="8"/>
        <v>133947</v>
      </c>
      <c r="AE82" s="443">
        <f>AD82/VPI!R82</f>
        <v>4.8715551092420144</v>
      </c>
      <c r="AF82" s="237">
        <v>165592</v>
      </c>
      <c r="AG82" s="237">
        <v>26910</v>
      </c>
      <c r="AH82" s="237">
        <v>72902</v>
      </c>
      <c r="AI82" s="271"/>
      <c r="AJ82" s="8">
        <v>0</v>
      </c>
      <c r="AK82" s="443">
        <f>AJ82/VPI!R82</f>
        <v>0</v>
      </c>
      <c r="AL82" s="445">
        <f t="shared" si="9"/>
        <v>79449</v>
      </c>
      <c r="AM82" s="443">
        <f>AL82/VPI!R82</f>
        <v>2.889502429126213</v>
      </c>
      <c r="AN82" s="8">
        <v>79449</v>
      </c>
      <c r="AO82" s="271"/>
      <c r="AP82" s="529">
        <v>27.545002361065212</v>
      </c>
      <c r="AR82" s="546">
        <v>0</v>
      </c>
      <c r="AT82" s="239">
        <f t="shared" si="10"/>
        <v>2021741.7799999998</v>
      </c>
      <c r="AU82" s="5">
        <f t="shared" si="11"/>
        <v>0</v>
      </c>
    </row>
    <row r="83" spans="1:47" x14ac:dyDescent="0.25">
      <c r="A83" s="192">
        <v>5534</v>
      </c>
      <c r="B83" s="447" t="s">
        <v>172</v>
      </c>
      <c r="C83" s="535">
        <v>544963.86</v>
      </c>
      <c r="D83" s="535">
        <v>131117.87</v>
      </c>
      <c r="E83" s="535"/>
      <c r="F83" s="536"/>
      <c r="G83" s="535">
        <v>170273.25</v>
      </c>
      <c r="H83" s="535">
        <v>38.950000000000003</v>
      </c>
      <c r="I83" s="535"/>
      <c r="J83" s="535">
        <v>16118.93</v>
      </c>
      <c r="K83" s="535">
        <v>907</v>
      </c>
      <c r="L83" s="535">
        <v>96466.7</v>
      </c>
      <c r="M83" s="498">
        <f t="shared" si="6"/>
        <v>959886.55999999994</v>
      </c>
      <c r="N83" s="243">
        <v>30156.05</v>
      </c>
      <c r="O83" s="243">
        <v>1502.5</v>
      </c>
      <c r="P83" s="243">
        <v>56309.15</v>
      </c>
      <c r="Q83" s="243">
        <v>3702.83</v>
      </c>
      <c r="R83" s="243">
        <v>46442</v>
      </c>
      <c r="S83" s="535">
        <v>18705.66</v>
      </c>
      <c r="T83" s="498">
        <f t="shared" si="7"/>
        <v>1116704.75</v>
      </c>
      <c r="U83" s="239">
        <v>-9983.39</v>
      </c>
      <c r="V83" s="243"/>
      <c r="W83" s="243">
        <v>-7.73</v>
      </c>
      <c r="X83" s="540">
        <v>73</v>
      </c>
      <c r="Y83" s="543">
        <v>1.2</v>
      </c>
      <c r="Z83" s="215">
        <v>304</v>
      </c>
      <c r="AA83" s="268"/>
      <c r="AB83" s="237">
        <v>7330</v>
      </c>
      <c r="AC83" s="443">
        <f>AB83/VPI!R83</f>
        <v>0.55958520049392502</v>
      </c>
      <c r="AD83" s="445">
        <f t="shared" si="8"/>
        <v>31105</v>
      </c>
      <c r="AE83" s="443">
        <f>AD83/VPI!R83</f>
        <v>2.3746108678531432</v>
      </c>
      <c r="AF83" s="237">
        <v>38435</v>
      </c>
      <c r="AG83" s="237">
        <v>17269</v>
      </c>
      <c r="AH83" s="237">
        <v>23392</v>
      </c>
      <c r="AI83" s="271"/>
      <c r="AJ83" s="8">
        <v>0</v>
      </c>
      <c r="AK83" s="443">
        <f>AJ83/VPI!R83</f>
        <v>0</v>
      </c>
      <c r="AL83" s="445">
        <f t="shared" si="9"/>
        <v>18081</v>
      </c>
      <c r="AM83" s="443">
        <f>AL83/VPI!R83</f>
        <v>1.3803356084762155</v>
      </c>
      <c r="AN83" s="8">
        <v>18081</v>
      </c>
      <c r="AO83" s="271"/>
      <c r="AP83" s="529">
        <v>27.410077426938241</v>
      </c>
      <c r="AR83" s="546">
        <v>0</v>
      </c>
      <c r="AT83" s="239">
        <f t="shared" si="10"/>
        <v>959886.55999999994</v>
      </c>
      <c r="AU83" s="5">
        <f t="shared" si="11"/>
        <v>0</v>
      </c>
    </row>
    <row r="84" spans="1:47" x14ac:dyDescent="0.25">
      <c r="A84" s="192">
        <v>5535</v>
      </c>
      <c r="B84" s="447" t="s">
        <v>29</v>
      </c>
      <c r="C84" s="535">
        <v>1516700.4</v>
      </c>
      <c r="D84" s="535">
        <v>191104.71</v>
      </c>
      <c r="E84" s="535"/>
      <c r="F84" s="536"/>
      <c r="G84" s="535">
        <v>2925.95</v>
      </c>
      <c r="H84" s="535">
        <v>3210.1</v>
      </c>
      <c r="I84" s="535"/>
      <c r="J84" s="535">
        <v>24603.42</v>
      </c>
      <c r="K84" s="535">
        <v>1575.8</v>
      </c>
      <c r="L84" s="535">
        <v>148098.4</v>
      </c>
      <c r="M84" s="498">
        <f t="shared" si="6"/>
        <v>1888218.7799999998</v>
      </c>
      <c r="N84" s="243">
        <v>43807.25</v>
      </c>
      <c r="O84" s="243">
        <v>502.9</v>
      </c>
      <c r="P84" s="243">
        <v>32904.15</v>
      </c>
      <c r="Q84" s="243">
        <v>8960.16</v>
      </c>
      <c r="R84" s="243">
        <v>62868.1</v>
      </c>
      <c r="S84" s="535">
        <v>673.93</v>
      </c>
      <c r="T84" s="498">
        <f t="shared" si="7"/>
        <v>2037935.2699999996</v>
      </c>
      <c r="U84" s="239">
        <v>-16801.96</v>
      </c>
      <c r="V84" s="243"/>
      <c r="W84" s="243">
        <v>-48.07</v>
      </c>
      <c r="X84" s="540">
        <v>75</v>
      </c>
      <c r="Y84" s="543">
        <v>1</v>
      </c>
      <c r="Z84" s="215">
        <v>809</v>
      </c>
      <c r="AA84" s="268"/>
      <c r="AB84" s="237">
        <v>0</v>
      </c>
      <c r="AC84" s="443">
        <f>AB84/VPI!R84</f>
        <v>0</v>
      </c>
      <c r="AD84" s="445">
        <f t="shared" si="8"/>
        <v>159251</v>
      </c>
      <c r="AE84" s="443">
        <f>AD84/VPI!R84</f>
        <v>6.3497113061243446</v>
      </c>
      <c r="AF84" s="237">
        <v>159251</v>
      </c>
      <c r="AG84" s="237">
        <v>25449</v>
      </c>
      <c r="AH84" s="237">
        <v>68945</v>
      </c>
      <c r="AI84" s="271"/>
      <c r="AJ84" s="8">
        <v>0</v>
      </c>
      <c r="AK84" s="443">
        <f>AJ84/VPI!R84</f>
        <v>0</v>
      </c>
      <c r="AL84" s="445">
        <f t="shared" si="9"/>
        <v>4553</v>
      </c>
      <c r="AM84" s="443">
        <f>AL84/VPI!R84</f>
        <v>0.18153880086645699</v>
      </c>
      <c r="AN84" s="8">
        <v>4553</v>
      </c>
      <c r="AO84" s="271"/>
      <c r="AP84" s="529">
        <v>17.14370831565985</v>
      </c>
      <c r="AR84" s="546">
        <v>0</v>
      </c>
      <c r="AT84" s="239">
        <f t="shared" si="10"/>
        <v>1888218.7799999998</v>
      </c>
      <c r="AU84" s="5">
        <f t="shared" si="11"/>
        <v>0</v>
      </c>
    </row>
    <row r="85" spans="1:47" x14ac:dyDescent="0.25">
      <c r="A85" s="192">
        <v>5537</v>
      </c>
      <c r="B85" s="447" t="s">
        <v>30</v>
      </c>
      <c r="C85" s="535">
        <v>2741925.42</v>
      </c>
      <c r="D85" s="535">
        <v>284404.31</v>
      </c>
      <c r="E85" s="535"/>
      <c r="F85" s="536">
        <v>7390</v>
      </c>
      <c r="G85" s="535">
        <v>14833.5</v>
      </c>
      <c r="H85" s="535">
        <v>781.1</v>
      </c>
      <c r="I85" s="535"/>
      <c r="J85" s="535">
        <v>20564.37</v>
      </c>
      <c r="K85" s="535">
        <v>3191.5</v>
      </c>
      <c r="L85" s="535">
        <v>241651.20000000001</v>
      </c>
      <c r="M85" s="498">
        <f t="shared" si="6"/>
        <v>3314741.4000000004</v>
      </c>
      <c r="N85" s="243">
        <v>2823.5</v>
      </c>
      <c r="O85" s="243">
        <v>9485.5</v>
      </c>
      <c r="P85" s="243">
        <v>72160</v>
      </c>
      <c r="Q85" s="243">
        <v>9549.9500000000007</v>
      </c>
      <c r="R85" s="243">
        <v>31601.7</v>
      </c>
      <c r="S85" s="535">
        <v>1714.97</v>
      </c>
      <c r="T85" s="498">
        <f t="shared" si="7"/>
        <v>3442077.0200000009</v>
      </c>
      <c r="U85" s="239">
        <v>-64205.39</v>
      </c>
      <c r="V85" s="243"/>
      <c r="W85" s="243">
        <v>-100.48</v>
      </c>
      <c r="X85" s="540">
        <v>76</v>
      </c>
      <c r="Y85" s="543">
        <v>1</v>
      </c>
      <c r="Z85" s="215">
        <v>1316</v>
      </c>
      <c r="AA85" s="268"/>
      <c r="AB85" s="237">
        <v>100492</v>
      </c>
      <c r="AC85" s="443">
        <f>AB85/VPI!R85</f>
        <v>2.3415369121342824</v>
      </c>
      <c r="AD85" s="445">
        <f t="shared" si="8"/>
        <v>117750</v>
      </c>
      <c r="AE85" s="443">
        <f>AD85/VPI!R85</f>
        <v>2.7436609023983176</v>
      </c>
      <c r="AF85" s="237">
        <v>218242</v>
      </c>
      <c r="AG85" s="237">
        <v>62372</v>
      </c>
      <c r="AH85" s="237">
        <v>115729</v>
      </c>
      <c r="AI85" s="271"/>
      <c r="AJ85" s="8">
        <v>0</v>
      </c>
      <c r="AK85" s="443">
        <f>AJ85/VPI!R85</f>
        <v>0</v>
      </c>
      <c r="AL85" s="445">
        <f t="shared" si="9"/>
        <v>4494</v>
      </c>
      <c r="AM85" s="443">
        <f>AL85/VPI!R85</f>
        <v>0.10471347851701096</v>
      </c>
      <c r="AN85" s="8">
        <v>4494</v>
      </c>
      <c r="AO85" s="271"/>
      <c r="AP85" s="529">
        <v>18.599999042678878</v>
      </c>
      <c r="AR85" s="546">
        <v>0</v>
      </c>
      <c r="AT85" s="239">
        <f t="shared" si="10"/>
        <v>3314741.4000000004</v>
      </c>
      <c r="AU85" s="5">
        <f t="shared" si="11"/>
        <v>0</v>
      </c>
    </row>
    <row r="86" spans="1:47" x14ac:dyDescent="0.25">
      <c r="A86" s="192">
        <v>5539</v>
      </c>
      <c r="B86" s="447" t="s">
        <v>31</v>
      </c>
      <c r="C86" s="535">
        <v>2034295.63</v>
      </c>
      <c r="D86" s="535">
        <v>219678.42</v>
      </c>
      <c r="E86" s="535"/>
      <c r="F86" s="536"/>
      <c r="G86" s="535">
        <v>25525.200000000001</v>
      </c>
      <c r="H86" s="535">
        <v>415.95</v>
      </c>
      <c r="I86" s="535"/>
      <c r="J86" s="535">
        <v>29378.59</v>
      </c>
      <c r="K86" s="535">
        <v>4278.3</v>
      </c>
      <c r="L86" s="535">
        <v>156374.6</v>
      </c>
      <c r="M86" s="498">
        <f t="shared" si="6"/>
        <v>2469946.69</v>
      </c>
      <c r="N86" s="243">
        <v>17971.5</v>
      </c>
      <c r="O86" s="243">
        <v>151480</v>
      </c>
      <c r="P86" s="243">
        <v>54638.65</v>
      </c>
      <c r="Q86" s="243">
        <v>58365.03</v>
      </c>
      <c r="R86" s="243">
        <v>33777.300000000003</v>
      </c>
      <c r="S86" s="535">
        <v>2849.16</v>
      </c>
      <c r="T86" s="498">
        <f t="shared" si="7"/>
        <v>2789028.3299999996</v>
      </c>
      <c r="U86" s="239">
        <v>-30262.43</v>
      </c>
      <c r="V86" s="243"/>
      <c r="W86" s="243">
        <v>-64.599999999999994</v>
      </c>
      <c r="X86" s="540">
        <v>73.5</v>
      </c>
      <c r="Y86" s="543">
        <v>0.8</v>
      </c>
      <c r="Z86" s="215">
        <v>1097</v>
      </c>
      <c r="AA86" s="268"/>
      <c r="AB86" s="237">
        <v>80783</v>
      </c>
      <c r="AC86" s="443">
        <f>AB86/VPI!R86</f>
        <v>2.3376850323483649</v>
      </c>
      <c r="AD86" s="445">
        <f t="shared" si="8"/>
        <v>64227</v>
      </c>
      <c r="AE86" s="443">
        <f>AD86/VPI!R86</f>
        <v>1.8585902550368076</v>
      </c>
      <c r="AF86" s="237">
        <v>145010</v>
      </c>
      <c r="AG86" s="237">
        <v>51685</v>
      </c>
      <c r="AH86" s="237">
        <v>93216</v>
      </c>
      <c r="AI86" s="271"/>
      <c r="AJ86" s="8">
        <v>0</v>
      </c>
      <c r="AK86" s="443">
        <f>AJ86/VPI!R86</f>
        <v>0</v>
      </c>
      <c r="AL86" s="445">
        <f t="shared" si="9"/>
        <v>67006</v>
      </c>
      <c r="AM86" s="443">
        <f>AL86/VPI!R86</f>
        <v>1.9390084953212252</v>
      </c>
      <c r="AN86" s="8">
        <v>67006</v>
      </c>
      <c r="AO86" s="271"/>
      <c r="AP86" s="529">
        <v>26.555387669084425</v>
      </c>
      <c r="AR86" s="546">
        <v>0</v>
      </c>
      <c r="AT86" s="239">
        <f t="shared" si="10"/>
        <v>2469946.69</v>
      </c>
      <c r="AU86" s="5">
        <f t="shared" si="11"/>
        <v>0</v>
      </c>
    </row>
    <row r="87" spans="1:47" x14ac:dyDescent="0.25">
      <c r="A87" s="192">
        <v>5540</v>
      </c>
      <c r="B87" s="447" t="s">
        <v>346</v>
      </c>
      <c r="C87" s="535">
        <v>3561275.12</v>
      </c>
      <c r="D87" s="535">
        <v>497002.04</v>
      </c>
      <c r="E87" s="535"/>
      <c r="F87" s="536"/>
      <c r="G87" s="535">
        <v>133308.65</v>
      </c>
      <c r="H87" s="535">
        <v>4853.05</v>
      </c>
      <c r="I87" s="535"/>
      <c r="J87" s="535">
        <v>46256.83</v>
      </c>
      <c r="K87" s="535">
        <v>12051.5</v>
      </c>
      <c r="L87" s="535">
        <v>282028.84999999998</v>
      </c>
      <c r="M87" s="498">
        <f t="shared" si="6"/>
        <v>4536776.04</v>
      </c>
      <c r="N87" s="243">
        <v>1152.4000000000001</v>
      </c>
      <c r="O87" s="243">
        <v>4751.8999999999996</v>
      </c>
      <c r="P87" s="243">
        <v>166342.45000000001</v>
      </c>
      <c r="Q87" s="243">
        <v>5243.6</v>
      </c>
      <c r="R87" s="243">
        <v>125721.55</v>
      </c>
      <c r="S87" s="535">
        <v>15174.52</v>
      </c>
      <c r="T87" s="498">
        <f t="shared" si="7"/>
        <v>4855162.46</v>
      </c>
      <c r="U87" s="239">
        <v>-37361.97</v>
      </c>
      <c r="V87" s="243"/>
      <c r="W87" s="243">
        <v>-404.05</v>
      </c>
      <c r="X87" s="540">
        <v>72.5</v>
      </c>
      <c r="Y87" s="543">
        <v>0.8</v>
      </c>
      <c r="Z87" s="215">
        <v>1883</v>
      </c>
      <c r="AA87" s="268"/>
      <c r="AB87" s="237">
        <v>129803</v>
      </c>
      <c r="AC87" s="443">
        <f>AB87/VPI!R87</f>
        <v>2.0502941277537308</v>
      </c>
      <c r="AD87" s="445">
        <f t="shared" si="8"/>
        <v>212496</v>
      </c>
      <c r="AE87" s="443">
        <f>AD87/VPI!R87</f>
        <v>3.3564655745333831</v>
      </c>
      <c r="AF87" s="237">
        <v>342299</v>
      </c>
      <c r="AG87" s="237">
        <v>150697</v>
      </c>
      <c r="AH87" s="237">
        <v>163305</v>
      </c>
      <c r="AI87" s="271"/>
      <c r="AJ87" s="8">
        <v>0</v>
      </c>
      <c r="AK87" s="443">
        <f>AJ87/VPI!R87</f>
        <v>0</v>
      </c>
      <c r="AL87" s="445">
        <f t="shared" si="9"/>
        <v>69447</v>
      </c>
      <c r="AM87" s="443">
        <f>AL87/VPI!R87</f>
        <v>1.0969451884017576</v>
      </c>
      <c r="AN87" s="8">
        <v>69447</v>
      </c>
      <c r="AO87" s="271"/>
      <c r="AP87" s="529">
        <v>22.686783777894032</v>
      </c>
      <c r="AR87" s="546">
        <v>0</v>
      </c>
      <c r="AT87" s="239">
        <f t="shared" si="10"/>
        <v>4536776.04</v>
      </c>
      <c r="AU87" s="5">
        <f t="shared" si="11"/>
        <v>0</v>
      </c>
    </row>
    <row r="88" spans="1:47" x14ac:dyDescent="0.25">
      <c r="A88" s="192">
        <v>5541</v>
      </c>
      <c r="B88" s="447" t="s">
        <v>345</v>
      </c>
      <c r="C88" s="535">
        <v>2499180.46</v>
      </c>
      <c r="D88" s="535">
        <v>312044.33</v>
      </c>
      <c r="E88" s="535"/>
      <c r="F88" s="536"/>
      <c r="G88" s="535">
        <v>56593.599999999999</v>
      </c>
      <c r="H88" s="535">
        <v>1141.3499999999999</v>
      </c>
      <c r="I88" s="535"/>
      <c r="J88" s="535">
        <v>33424.400000000001</v>
      </c>
      <c r="K88" s="535">
        <v>1552.15</v>
      </c>
      <c r="L88" s="535">
        <v>220312.85</v>
      </c>
      <c r="M88" s="498">
        <f t="shared" si="6"/>
        <v>3124249.14</v>
      </c>
      <c r="N88" s="243">
        <v>5116.2</v>
      </c>
      <c r="O88" s="243">
        <v>14546.4</v>
      </c>
      <c r="P88" s="243">
        <v>61273.55</v>
      </c>
      <c r="Q88" s="243">
        <v>1332.85</v>
      </c>
      <c r="R88" s="243">
        <v>79306.350000000006</v>
      </c>
      <c r="S88" s="535">
        <v>6341.13</v>
      </c>
      <c r="T88" s="498">
        <f t="shared" si="7"/>
        <v>3292165.62</v>
      </c>
      <c r="U88" s="239">
        <v>-15345.72</v>
      </c>
      <c r="V88" s="243"/>
      <c r="W88" s="243">
        <v>-208.48</v>
      </c>
      <c r="X88" s="540">
        <v>75.5</v>
      </c>
      <c r="Y88" s="543">
        <v>1</v>
      </c>
      <c r="Z88" s="215">
        <v>1166</v>
      </c>
      <c r="AA88" s="268"/>
      <c r="AB88" s="237">
        <v>37682</v>
      </c>
      <c r="AC88" s="443">
        <f>AB88/VPI!R88</f>
        <v>0.91291855137613176</v>
      </c>
      <c r="AD88" s="445">
        <f t="shared" si="8"/>
        <v>193108</v>
      </c>
      <c r="AE88" s="443">
        <f>AD88/VPI!R88</f>
        <v>4.6784107961133179</v>
      </c>
      <c r="AF88" s="237">
        <v>230790</v>
      </c>
      <c r="AG88" s="237">
        <v>37427</v>
      </c>
      <c r="AH88" s="237">
        <v>101394</v>
      </c>
      <c r="AI88" s="271"/>
      <c r="AJ88" s="8">
        <v>0</v>
      </c>
      <c r="AK88" s="443">
        <f>AJ88/VPI!R88</f>
        <v>0</v>
      </c>
      <c r="AL88" s="445">
        <f t="shared" si="9"/>
        <v>10563</v>
      </c>
      <c r="AM88" s="443">
        <f>AL88/VPI!R88</f>
        <v>0.25590888642285653</v>
      </c>
      <c r="AN88" s="8">
        <v>10563</v>
      </c>
      <c r="AO88" s="271"/>
      <c r="AP88" s="529">
        <v>22.4642209297688</v>
      </c>
      <c r="AR88" s="546">
        <v>0</v>
      </c>
      <c r="AT88" s="239">
        <f t="shared" si="10"/>
        <v>3124249.14</v>
      </c>
      <c r="AU88" s="5">
        <f t="shared" si="11"/>
        <v>0</v>
      </c>
    </row>
    <row r="89" spans="1:47" x14ac:dyDescent="0.25">
      <c r="A89" s="192">
        <v>5551</v>
      </c>
      <c r="B89" s="447" t="s">
        <v>32</v>
      </c>
      <c r="C89" s="535">
        <v>726466.25</v>
      </c>
      <c r="D89" s="535">
        <v>122220.84</v>
      </c>
      <c r="E89" s="535"/>
      <c r="F89" s="536"/>
      <c r="G89" s="535">
        <v>32422.9</v>
      </c>
      <c r="H89" s="535">
        <v>14465.6</v>
      </c>
      <c r="I89" s="535"/>
      <c r="J89" s="535">
        <v>2023.19</v>
      </c>
      <c r="K89" s="535">
        <v>12424.7</v>
      </c>
      <c r="L89" s="535">
        <v>114179.05</v>
      </c>
      <c r="M89" s="498">
        <f t="shared" si="6"/>
        <v>1024202.5299999999</v>
      </c>
      <c r="N89" s="243">
        <v>6473</v>
      </c>
      <c r="O89" s="243">
        <v>8831.7999999999993</v>
      </c>
      <c r="P89" s="243">
        <v>66776.45</v>
      </c>
      <c r="Q89" s="243"/>
      <c r="R89" s="243">
        <v>29720.799999999999</v>
      </c>
      <c r="S89" s="535">
        <v>5149.84</v>
      </c>
      <c r="T89" s="498">
        <f t="shared" si="7"/>
        <v>1141154.4200000002</v>
      </c>
      <c r="U89" s="239">
        <v>-96.02</v>
      </c>
      <c r="V89" s="243"/>
      <c r="W89" s="243">
        <v>-509.54</v>
      </c>
      <c r="X89" s="540">
        <v>55</v>
      </c>
      <c r="Y89" s="543">
        <v>1</v>
      </c>
      <c r="Z89" s="215">
        <v>481</v>
      </c>
      <c r="AA89" s="268"/>
      <c r="AB89" s="237">
        <v>58517</v>
      </c>
      <c r="AC89" s="443">
        <f>AB89/VPI!R89</f>
        <v>3.1285005880115446</v>
      </c>
      <c r="AD89" s="445">
        <f t="shared" si="8"/>
        <v>120934</v>
      </c>
      <c r="AE89" s="443">
        <f>AD89/VPI!R89</f>
        <v>6.465507290370117</v>
      </c>
      <c r="AF89" s="237">
        <v>179451</v>
      </c>
      <c r="AG89" s="237">
        <v>32306</v>
      </c>
      <c r="AH89" s="237">
        <v>68099</v>
      </c>
      <c r="AI89" s="271"/>
      <c r="AJ89" s="8">
        <v>0</v>
      </c>
      <c r="AK89" s="443">
        <f>AJ89/VPI!R89</f>
        <v>0</v>
      </c>
      <c r="AL89" s="445">
        <f t="shared" si="9"/>
        <v>55175</v>
      </c>
      <c r="AM89" s="443">
        <f>AL89/VPI!R89</f>
        <v>2.9498268869480144</v>
      </c>
      <c r="AN89" s="8">
        <v>55175</v>
      </c>
      <c r="AO89" s="271"/>
      <c r="AP89" s="529">
        <v>29.73474762496679</v>
      </c>
      <c r="AR89" s="546">
        <v>0</v>
      </c>
      <c r="AT89" s="239">
        <f t="shared" si="10"/>
        <v>1024202.5299999999</v>
      </c>
      <c r="AU89" s="5">
        <f t="shared" si="11"/>
        <v>0</v>
      </c>
    </row>
    <row r="90" spans="1:47" x14ac:dyDescent="0.25">
      <c r="A90" s="192">
        <v>5552</v>
      </c>
      <c r="B90" s="447" t="s">
        <v>33</v>
      </c>
      <c r="C90" s="535">
        <v>1019006.86</v>
      </c>
      <c r="D90" s="535">
        <v>211070.24</v>
      </c>
      <c r="E90" s="535"/>
      <c r="F90" s="536"/>
      <c r="G90" s="535">
        <v>20158.8</v>
      </c>
      <c r="H90" s="535">
        <v>1005.3</v>
      </c>
      <c r="I90" s="535"/>
      <c r="J90" s="535">
        <v>17186.439999999999</v>
      </c>
      <c r="K90" s="535">
        <v>3712.6</v>
      </c>
      <c r="L90" s="535">
        <v>131181.29999999999</v>
      </c>
      <c r="M90" s="498">
        <f t="shared" si="6"/>
        <v>1403321.5400000003</v>
      </c>
      <c r="N90" s="243">
        <v>78794.899999999994</v>
      </c>
      <c r="O90" s="243">
        <v>227946.4</v>
      </c>
      <c r="P90" s="243">
        <v>76656.100000000006</v>
      </c>
      <c r="Q90" s="243">
        <v>11328.51</v>
      </c>
      <c r="R90" s="243">
        <v>50034.55</v>
      </c>
      <c r="S90" s="535">
        <v>2324.4899999999998</v>
      </c>
      <c r="T90" s="498">
        <f t="shared" si="7"/>
        <v>1850406.4900000002</v>
      </c>
      <c r="U90" s="239">
        <v>-14953.53</v>
      </c>
      <c r="V90" s="243"/>
      <c r="W90" s="243">
        <v>-722.76</v>
      </c>
      <c r="X90" s="540">
        <v>71.5</v>
      </c>
      <c r="Y90" s="543">
        <v>1</v>
      </c>
      <c r="Z90" s="215">
        <v>657</v>
      </c>
      <c r="AA90" s="268"/>
      <c r="AB90" s="237">
        <v>11048</v>
      </c>
      <c r="AC90" s="443">
        <f>AB90/VPI!R90</f>
        <v>0.56371439841589743</v>
      </c>
      <c r="AD90" s="445">
        <f t="shared" si="8"/>
        <v>276794</v>
      </c>
      <c r="AE90" s="443">
        <f>AD90/VPI!R90</f>
        <v>14.12316828341147</v>
      </c>
      <c r="AF90" s="237">
        <v>287842</v>
      </c>
      <c r="AG90" s="237">
        <v>43405</v>
      </c>
      <c r="AH90" s="237">
        <v>58040</v>
      </c>
      <c r="AI90" s="271"/>
      <c r="AJ90" s="8">
        <v>0</v>
      </c>
      <c r="AK90" s="443">
        <f>AJ90/VPI!R90</f>
        <v>0</v>
      </c>
      <c r="AL90" s="445">
        <f t="shared" si="9"/>
        <v>63331</v>
      </c>
      <c r="AM90" s="443">
        <f>AL90/VPI!R90</f>
        <v>3.2314080888918539</v>
      </c>
      <c r="AN90" s="8">
        <v>63331</v>
      </c>
      <c r="AO90" s="271"/>
      <c r="AP90" s="529">
        <v>18.369582413466429</v>
      </c>
      <c r="AR90" s="546">
        <v>0</v>
      </c>
      <c r="AT90" s="239">
        <f t="shared" si="10"/>
        <v>1403321.5400000003</v>
      </c>
      <c r="AU90" s="5">
        <f t="shared" si="11"/>
        <v>0</v>
      </c>
    </row>
    <row r="91" spans="1:47" x14ac:dyDescent="0.25">
      <c r="A91" s="192">
        <v>5553</v>
      </c>
      <c r="B91" s="447" t="s">
        <v>34</v>
      </c>
      <c r="C91" s="535">
        <v>1813450.7</v>
      </c>
      <c r="D91" s="535">
        <v>300161.24</v>
      </c>
      <c r="E91" s="535"/>
      <c r="F91" s="536"/>
      <c r="G91" s="535">
        <v>151082.75</v>
      </c>
      <c r="H91" s="535">
        <v>42988.65</v>
      </c>
      <c r="I91" s="535"/>
      <c r="J91" s="535">
        <v>48540.18</v>
      </c>
      <c r="K91" s="535">
        <v>21370.05</v>
      </c>
      <c r="L91" s="535">
        <v>233568.45</v>
      </c>
      <c r="M91" s="498">
        <f t="shared" si="6"/>
        <v>2611162.02</v>
      </c>
      <c r="N91" s="243">
        <v>162665.4</v>
      </c>
      <c r="O91" s="243">
        <v>28932.5</v>
      </c>
      <c r="P91" s="243">
        <v>101171.15</v>
      </c>
      <c r="Q91" s="243"/>
      <c r="R91" s="243">
        <v>19499.150000000001</v>
      </c>
      <c r="S91" s="535">
        <v>21315.18</v>
      </c>
      <c r="T91" s="498">
        <f t="shared" si="7"/>
        <v>2944745.4</v>
      </c>
      <c r="U91" s="239">
        <v>-20140.669999999998</v>
      </c>
      <c r="V91" s="243"/>
      <c r="W91" s="243">
        <v>-7313.13</v>
      </c>
      <c r="X91" s="540">
        <v>65</v>
      </c>
      <c r="Y91" s="543">
        <v>1</v>
      </c>
      <c r="Z91" s="215">
        <v>1085</v>
      </c>
      <c r="AA91" s="268"/>
      <c r="AB91" s="237">
        <v>91943</v>
      </c>
      <c r="AC91" s="443">
        <f>AB91/VPI!R91</f>
        <v>2.294142540139946</v>
      </c>
      <c r="AD91" s="445">
        <f t="shared" si="8"/>
        <v>318256</v>
      </c>
      <c r="AE91" s="443">
        <f>AD91/VPI!R91</f>
        <v>7.9410572665105406</v>
      </c>
      <c r="AF91" s="237">
        <v>410199</v>
      </c>
      <c r="AG91" s="237">
        <v>70095</v>
      </c>
      <c r="AH91" s="237">
        <v>155541</v>
      </c>
      <c r="AI91" s="271"/>
      <c r="AJ91" s="8">
        <v>0</v>
      </c>
      <c r="AK91" s="443">
        <f>AJ91/VPI!R91</f>
        <v>0</v>
      </c>
      <c r="AL91" s="445">
        <f t="shared" si="9"/>
        <v>43049</v>
      </c>
      <c r="AM91" s="443">
        <f>AL91/VPI!R91</f>
        <v>1.0741496602295393</v>
      </c>
      <c r="AN91" s="8">
        <v>43049</v>
      </c>
      <c r="AO91" s="271"/>
      <c r="AP91" s="529">
        <v>29.531862001969571</v>
      </c>
      <c r="AR91" s="546">
        <v>0</v>
      </c>
      <c r="AT91" s="239">
        <f t="shared" si="10"/>
        <v>2611162.02</v>
      </c>
      <c r="AU91" s="5">
        <f t="shared" si="11"/>
        <v>0</v>
      </c>
    </row>
    <row r="92" spans="1:47" x14ac:dyDescent="0.25">
      <c r="A92" s="192">
        <v>5554</v>
      </c>
      <c r="B92" s="447" t="s">
        <v>35</v>
      </c>
      <c r="C92" s="535">
        <v>1752320.89</v>
      </c>
      <c r="D92" s="535">
        <v>363737.69</v>
      </c>
      <c r="E92" s="535"/>
      <c r="F92" s="536"/>
      <c r="G92" s="535">
        <v>54446.15</v>
      </c>
      <c r="H92" s="535">
        <v>925.15</v>
      </c>
      <c r="I92" s="535"/>
      <c r="J92" s="535">
        <v>31332.63</v>
      </c>
      <c r="K92" s="535">
        <v>2051.9</v>
      </c>
      <c r="L92" s="535">
        <v>185608.15</v>
      </c>
      <c r="M92" s="498">
        <f t="shared" si="6"/>
        <v>2390422.5599999996</v>
      </c>
      <c r="N92" s="243">
        <v>21995.5</v>
      </c>
      <c r="O92" s="243">
        <v>1202967</v>
      </c>
      <c r="P92" s="243">
        <v>86390.3</v>
      </c>
      <c r="Q92" s="243">
        <v>6877.31</v>
      </c>
      <c r="R92" s="243">
        <v>48182.400000000001</v>
      </c>
      <c r="S92" s="535">
        <v>6081.52</v>
      </c>
      <c r="T92" s="498">
        <f t="shared" si="7"/>
        <v>3762916.5899999994</v>
      </c>
      <c r="U92" s="239">
        <v>-39597.93</v>
      </c>
      <c r="V92" s="243"/>
      <c r="W92" s="243">
        <v>-1339.63</v>
      </c>
      <c r="X92" s="540">
        <v>75</v>
      </c>
      <c r="Y92" s="543">
        <v>1</v>
      </c>
      <c r="Z92" s="215">
        <v>1004</v>
      </c>
      <c r="AA92" s="268"/>
      <c r="AB92" s="237">
        <v>121213</v>
      </c>
      <c r="AC92" s="443">
        <f>AB92/VPI!R92</f>
        <v>3.8481232377067784</v>
      </c>
      <c r="AD92" s="445">
        <f t="shared" si="8"/>
        <v>226592</v>
      </c>
      <c r="AE92" s="443">
        <f>AD92/VPI!R92</f>
        <v>7.193567857230283</v>
      </c>
      <c r="AF92" s="237">
        <v>347805</v>
      </c>
      <c r="AG92" s="237">
        <v>88175</v>
      </c>
      <c r="AH92" s="237">
        <v>142319</v>
      </c>
      <c r="AI92" s="271"/>
      <c r="AJ92" s="8">
        <v>0</v>
      </c>
      <c r="AK92" s="443">
        <f>AJ92/VPI!R92</f>
        <v>0</v>
      </c>
      <c r="AL92" s="445">
        <f t="shared" si="9"/>
        <v>-26746</v>
      </c>
      <c r="AM92" s="443">
        <f>AL92/VPI!R92</f>
        <v>-0.84909955298281115</v>
      </c>
      <c r="AN92" s="8">
        <v>-26746</v>
      </c>
      <c r="AO92" s="271"/>
      <c r="AP92" s="529">
        <v>24.102310019410684</v>
      </c>
      <c r="AR92" s="546">
        <v>0</v>
      </c>
      <c r="AT92" s="239">
        <f t="shared" si="10"/>
        <v>2390422.5599999996</v>
      </c>
      <c r="AU92" s="5">
        <f t="shared" si="11"/>
        <v>0</v>
      </c>
    </row>
    <row r="93" spans="1:47" x14ac:dyDescent="0.25">
      <c r="A93" s="192">
        <v>5555</v>
      </c>
      <c r="B93" s="447" t="s">
        <v>36</v>
      </c>
      <c r="C93" s="535">
        <v>674651</v>
      </c>
      <c r="D93" s="535">
        <v>155527.76999999999</v>
      </c>
      <c r="E93" s="535"/>
      <c r="F93" s="536"/>
      <c r="G93" s="535">
        <v>9372.4</v>
      </c>
      <c r="H93" s="535">
        <v>2010.85</v>
      </c>
      <c r="I93" s="535"/>
      <c r="J93" s="535">
        <v>26612.47</v>
      </c>
      <c r="K93" s="535">
        <v>2228.6999999999998</v>
      </c>
      <c r="L93" s="535">
        <v>92373.15</v>
      </c>
      <c r="M93" s="498">
        <f t="shared" si="6"/>
        <v>962776.34</v>
      </c>
      <c r="N93" s="243">
        <v>10061.950000000001</v>
      </c>
      <c r="O93" s="243">
        <v>84602.9</v>
      </c>
      <c r="P93" s="243">
        <v>11110</v>
      </c>
      <c r="Q93" s="243">
        <v>877.19</v>
      </c>
      <c r="R93" s="243">
        <v>3845.4</v>
      </c>
      <c r="S93" s="535">
        <v>1250.25</v>
      </c>
      <c r="T93" s="498">
        <f t="shared" si="7"/>
        <v>1074524.0299999998</v>
      </c>
      <c r="U93" s="239">
        <v>-7241.25</v>
      </c>
      <c r="V93" s="243"/>
      <c r="W93" s="243">
        <v>-102.53</v>
      </c>
      <c r="X93" s="540">
        <v>69</v>
      </c>
      <c r="Y93" s="543">
        <v>1</v>
      </c>
      <c r="Z93" s="215">
        <v>417</v>
      </c>
      <c r="AA93" s="268"/>
      <c r="AB93" s="237">
        <v>125332</v>
      </c>
      <c r="AC93" s="443">
        <f>AB93/VPI!R93</f>
        <v>9.0311917791052263</v>
      </c>
      <c r="AD93" s="445">
        <f t="shared" si="8"/>
        <v>150696</v>
      </c>
      <c r="AE93" s="443">
        <f>AD93/VPI!R93</f>
        <v>10.858874639709262</v>
      </c>
      <c r="AF93" s="237">
        <v>276028</v>
      </c>
      <c r="AG93" s="237">
        <v>27681</v>
      </c>
      <c r="AH93" s="237">
        <v>60938</v>
      </c>
      <c r="AI93" s="271"/>
      <c r="AJ93" s="8">
        <v>0</v>
      </c>
      <c r="AK93" s="443">
        <f>AJ93/VPI!R93</f>
        <v>0</v>
      </c>
      <c r="AL93" s="445">
        <f t="shared" si="9"/>
        <v>38393</v>
      </c>
      <c r="AM93" s="443">
        <f>AL93/VPI!R93</f>
        <v>2.7665284681899833</v>
      </c>
      <c r="AN93" s="8">
        <v>38393</v>
      </c>
      <c r="AO93" s="271"/>
      <c r="AP93" s="529">
        <v>28.582787469873811</v>
      </c>
      <c r="AR93" s="546">
        <v>0</v>
      </c>
      <c r="AT93" s="239">
        <f t="shared" si="10"/>
        <v>962776.34</v>
      </c>
      <c r="AU93" s="5">
        <f t="shared" si="11"/>
        <v>0</v>
      </c>
    </row>
    <row r="94" spans="1:47" x14ac:dyDescent="0.25">
      <c r="A94" s="192">
        <v>5556</v>
      </c>
      <c r="B94" s="447" t="s">
        <v>37</v>
      </c>
      <c r="C94" s="535">
        <v>735107.24</v>
      </c>
      <c r="D94" s="535">
        <v>79278.27</v>
      </c>
      <c r="E94" s="535"/>
      <c r="F94" s="536">
        <v>2480</v>
      </c>
      <c r="G94" s="535">
        <v>61725.3</v>
      </c>
      <c r="H94" s="535">
        <v>161.30000000000001</v>
      </c>
      <c r="I94" s="535"/>
      <c r="J94" s="535">
        <v>16887.919999999998</v>
      </c>
      <c r="K94" s="535">
        <v>1271.6500000000001</v>
      </c>
      <c r="L94" s="535">
        <v>89665.45</v>
      </c>
      <c r="M94" s="498">
        <f t="shared" si="6"/>
        <v>986577.13000000012</v>
      </c>
      <c r="N94" s="243"/>
      <c r="O94" s="243">
        <v>163.5</v>
      </c>
      <c r="P94" s="243">
        <v>40028.6</v>
      </c>
      <c r="Q94" s="243"/>
      <c r="R94" s="243">
        <v>17644.650000000001</v>
      </c>
      <c r="S94" s="535">
        <v>6797.1</v>
      </c>
      <c r="T94" s="498">
        <f t="shared" si="7"/>
        <v>1051210.9800000002</v>
      </c>
      <c r="U94" s="239">
        <v>27216.78</v>
      </c>
      <c r="V94" s="243"/>
      <c r="W94" s="243">
        <v>0</v>
      </c>
      <c r="X94" s="540">
        <v>69</v>
      </c>
      <c r="Y94" s="543">
        <v>1.2</v>
      </c>
      <c r="Z94" s="215">
        <v>442</v>
      </c>
      <c r="AA94" s="268"/>
      <c r="AB94" s="237">
        <v>30061</v>
      </c>
      <c r="AC94" s="443">
        <f>AB94/VPI!R94</f>
        <v>2.0625621891448063</v>
      </c>
      <c r="AD94" s="445">
        <f t="shared" si="8"/>
        <v>93457</v>
      </c>
      <c r="AE94" s="443">
        <f>AD94/VPI!R94</f>
        <v>6.4123240913777364</v>
      </c>
      <c r="AF94" s="237">
        <v>123518</v>
      </c>
      <c r="AG94" s="237">
        <v>19864</v>
      </c>
      <c r="AH94" s="237">
        <v>71068</v>
      </c>
      <c r="AI94" s="271"/>
      <c r="AJ94" s="8">
        <v>0</v>
      </c>
      <c r="AK94" s="443">
        <f>AJ94/VPI!R94</f>
        <v>0</v>
      </c>
      <c r="AL94" s="445">
        <f t="shared" si="9"/>
        <v>-9768</v>
      </c>
      <c r="AM94" s="443">
        <f>AL94/VPI!R94</f>
        <v>-0.6702074935486666</v>
      </c>
      <c r="AN94" s="8">
        <v>-9768</v>
      </c>
      <c r="AO94" s="271"/>
      <c r="AP94" s="529">
        <v>23.333598865450533</v>
      </c>
      <c r="AR94" s="546">
        <v>0</v>
      </c>
      <c r="AT94" s="239">
        <f t="shared" si="10"/>
        <v>986577.13000000012</v>
      </c>
      <c r="AU94" s="5">
        <f t="shared" si="11"/>
        <v>0</v>
      </c>
    </row>
    <row r="95" spans="1:47" x14ac:dyDescent="0.25">
      <c r="A95" s="192">
        <v>5557</v>
      </c>
      <c r="B95" s="447" t="s">
        <v>38</v>
      </c>
      <c r="C95" s="535">
        <v>257919.69</v>
      </c>
      <c r="D95" s="535">
        <v>23068.28</v>
      </c>
      <c r="E95" s="535"/>
      <c r="F95" s="536">
        <v>899.15</v>
      </c>
      <c r="G95" s="535">
        <v>49</v>
      </c>
      <c r="H95" s="535">
        <v>702</v>
      </c>
      <c r="I95" s="535"/>
      <c r="J95" s="535">
        <v>436.59</v>
      </c>
      <c r="K95" s="535">
        <v>-284.55</v>
      </c>
      <c r="L95" s="535">
        <v>35749.800000000003</v>
      </c>
      <c r="M95" s="498">
        <f t="shared" si="6"/>
        <v>318539.96000000002</v>
      </c>
      <c r="N95" s="243"/>
      <c r="O95" s="243"/>
      <c r="P95" s="243">
        <v>10651.8</v>
      </c>
      <c r="Q95" s="243"/>
      <c r="R95" s="243">
        <v>2611</v>
      </c>
      <c r="S95" s="535">
        <v>82.49</v>
      </c>
      <c r="T95" s="498">
        <f t="shared" si="7"/>
        <v>331885.25</v>
      </c>
      <c r="U95" s="239">
        <v>-26565.58</v>
      </c>
      <c r="V95" s="243"/>
      <c r="W95" s="243">
        <v>-0.03</v>
      </c>
      <c r="X95" s="540">
        <v>69</v>
      </c>
      <c r="Y95" s="543">
        <v>1</v>
      </c>
      <c r="Z95" s="215">
        <v>220</v>
      </c>
      <c r="AA95" s="268"/>
      <c r="AB95" s="237">
        <v>933</v>
      </c>
      <c r="AC95" s="443">
        <f>AB95/VPI!R95</f>
        <v>0.22042627044790328</v>
      </c>
      <c r="AD95" s="445">
        <f t="shared" si="8"/>
        <v>31865</v>
      </c>
      <c r="AE95" s="443">
        <f>AD95/VPI!R95</f>
        <v>7.5282777147078646</v>
      </c>
      <c r="AF95" s="237">
        <v>32798</v>
      </c>
      <c r="AG95" s="237">
        <v>9646</v>
      </c>
      <c r="AH95" s="237">
        <v>36205</v>
      </c>
      <c r="AI95" s="271"/>
      <c r="AJ95" s="8">
        <v>0</v>
      </c>
      <c r="AK95" s="443">
        <f>AJ95/VPI!R95</f>
        <v>0</v>
      </c>
      <c r="AL95" s="445">
        <f t="shared" si="9"/>
        <v>1843</v>
      </c>
      <c r="AM95" s="443">
        <f>AL95/VPI!R95</f>
        <v>0.4354186671334252</v>
      </c>
      <c r="AN95" s="8">
        <v>1843</v>
      </c>
      <c r="AO95" s="271"/>
      <c r="AP95" s="529">
        <v>21.066321044073071</v>
      </c>
      <c r="AR95" s="546">
        <v>0</v>
      </c>
      <c r="AT95" s="239">
        <f t="shared" si="10"/>
        <v>318539.96000000002</v>
      </c>
      <c r="AU95" s="5">
        <f t="shared" si="11"/>
        <v>0</v>
      </c>
    </row>
    <row r="96" spans="1:47" x14ac:dyDescent="0.25">
      <c r="A96" s="192">
        <v>5559</v>
      </c>
      <c r="B96" s="447" t="s">
        <v>39</v>
      </c>
      <c r="C96" s="535">
        <v>971520.97</v>
      </c>
      <c r="D96" s="535">
        <v>274888.28000000003</v>
      </c>
      <c r="E96" s="535"/>
      <c r="F96" s="536"/>
      <c r="G96" s="535">
        <v>179369.55</v>
      </c>
      <c r="H96" s="535">
        <v>2827.05</v>
      </c>
      <c r="I96" s="535"/>
      <c r="J96" s="535">
        <v>18587.939999999999</v>
      </c>
      <c r="K96" s="535">
        <v>4011.5</v>
      </c>
      <c r="L96" s="535">
        <v>91808.1</v>
      </c>
      <c r="M96" s="498">
        <f t="shared" si="6"/>
        <v>1543013.3900000001</v>
      </c>
      <c r="N96" s="243">
        <v>10451.549999999999</v>
      </c>
      <c r="O96" s="243">
        <v>132502.20000000001</v>
      </c>
      <c r="P96" s="243">
        <v>13186.25</v>
      </c>
      <c r="Q96" s="243">
        <v>20.75</v>
      </c>
      <c r="R96" s="243">
        <v>36853.5</v>
      </c>
      <c r="S96" s="535">
        <v>20010.95</v>
      </c>
      <c r="T96" s="498">
        <f t="shared" si="7"/>
        <v>1756038.59</v>
      </c>
      <c r="U96" s="239">
        <v>-15550.54</v>
      </c>
      <c r="V96" s="243"/>
      <c r="W96" s="243">
        <v>-1278.21</v>
      </c>
      <c r="X96" s="540">
        <v>66</v>
      </c>
      <c r="Y96" s="543">
        <v>1</v>
      </c>
      <c r="Z96" s="215">
        <v>443</v>
      </c>
      <c r="AA96" s="268"/>
      <c r="AB96" s="237">
        <v>32577</v>
      </c>
      <c r="AC96" s="443">
        <f>AB96/VPI!R96</f>
        <v>1.3905440942371621</v>
      </c>
      <c r="AD96" s="445">
        <f t="shared" si="8"/>
        <v>61409</v>
      </c>
      <c r="AE96" s="443">
        <f>AD96/VPI!R96</f>
        <v>2.6212334555978107</v>
      </c>
      <c r="AF96" s="237">
        <v>93986</v>
      </c>
      <c r="AG96" s="237">
        <v>18234</v>
      </c>
      <c r="AH96" s="237">
        <v>52706</v>
      </c>
      <c r="AI96" s="271"/>
      <c r="AJ96" s="8">
        <v>0</v>
      </c>
      <c r="AK96" s="443">
        <f>AJ96/VPI!R96</f>
        <v>0</v>
      </c>
      <c r="AL96" s="445">
        <f t="shared" si="9"/>
        <v>-1713</v>
      </c>
      <c r="AM96" s="443">
        <f>AL96/VPI!R96</f>
        <v>-7.3119134156867077E-2</v>
      </c>
      <c r="AN96" s="8">
        <v>-1713</v>
      </c>
      <c r="AO96" s="271"/>
      <c r="AP96" s="529">
        <v>32.222604424084587</v>
      </c>
      <c r="AR96" s="546">
        <v>0</v>
      </c>
      <c r="AT96" s="239">
        <f t="shared" si="10"/>
        <v>1543013.3900000001</v>
      </c>
      <c r="AU96" s="5">
        <f t="shared" si="11"/>
        <v>0</v>
      </c>
    </row>
    <row r="97" spans="1:47" x14ac:dyDescent="0.25">
      <c r="A97" s="192">
        <v>5560</v>
      </c>
      <c r="B97" s="447" t="s">
        <v>40</v>
      </c>
      <c r="C97" s="535">
        <v>378155.11</v>
      </c>
      <c r="D97" s="535">
        <v>34007.440000000002</v>
      </c>
      <c r="E97" s="535"/>
      <c r="F97" s="536"/>
      <c r="G97" s="535">
        <v>8401.15</v>
      </c>
      <c r="H97" s="535">
        <v>408.85</v>
      </c>
      <c r="I97" s="535"/>
      <c r="J97" s="535">
        <v>11463.26</v>
      </c>
      <c r="K97" s="535">
        <v>624.20000000000005</v>
      </c>
      <c r="L97" s="535">
        <v>42727.75</v>
      </c>
      <c r="M97" s="498">
        <f t="shared" si="6"/>
        <v>475787.76</v>
      </c>
      <c r="N97" s="243"/>
      <c r="O97" s="243"/>
      <c r="P97" s="243">
        <v>51709.9</v>
      </c>
      <c r="Q97" s="243"/>
      <c r="R97" s="243">
        <v>36002.300000000003</v>
      </c>
      <c r="S97" s="535">
        <v>967.61</v>
      </c>
      <c r="T97" s="498">
        <f t="shared" si="7"/>
        <v>564467.57000000007</v>
      </c>
      <c r="U97" s="239">
        <v>-530.83000000000004</v>
      </c>
      <c r="V97" s="243"/>
      <c r="W97" s="243">
        <v>0</v>
      </c>
      <c r="X97" s="540">
        <v>68</v>
      </c>
      <c r="Y97" s="543">
        <v>1</v>
      </c>
      <c r="Z97" s="215">
        <v>238</v>
      </c>
      <c r="AA97" s="268"/>
      <c r="AB97" s="237">
        <v>0</v>
      </c>
      <c r="AC97" s="443">
        <f>AB97/VPI!R97</f>
        <v>0</v>
      </c>
      <c r="AD97" s="445">
        <f t="shared" si="8"/>
        <v>20082</v>
      </c>
      <c r="AE97" s="443">
        <f>AD97/VPI!R97</f>
        <v>2.8675044759348185</v>
      </c>
      <c r="AF97" s="237">
        <v>20082</v>
      </c>
      <c r="AG97" s="237">
        <v>9954</v>
      </c>
      <c r="AH97" s="237">
        <v>32189</v>
      </c>
      <c r="AI97" s="271"/>
      <c r="AJ97" s="8">
        <v>0</v>
      </c>
      <c r="AK97" s="443">
        <f>AJ97/VPI!R97</f>
        <v>0</v>
      </c>
      <c r="AL97" s="445">
        <f t="shared" si="9"/>
        <v>21084</v>
      </c>
      <c r="AM97" s="443">
        <f>AL97/VPI!R97</f>
        <v>3.0105798411816407</v>
      </c>
      <c r="AN97" s="8">
        <v>21084</v>
      </c>
      <c r="AO97" s="271"/>
      <c r="AP97" s="529">
        <v>18.709024337552925</v>
      </c>
      <c r="AR97" s="546">
        <v>0</v>
      </c>
      <c r="AT97" s="239">
        <f t="shared" si="10"/>
        <v>475787.76</v>
      </c>
      <c r="AU97" s="5">
        <f t="shared" si="11"/>
        <v>0</v>
      </c>
    </row>
    <row r="98" spans="1:47" x14ac:dyDescent="0.25">
      <c r="A98" s="192">
        <v>5561</v>
      </c>
      <c r="B98" s="447" t="s">
        <v>41</v>
      </c>
      <c r="C98" s="535">
        <v>5845978.5800000001</v>
      </c>
      <c r="D98" s="535">
        <v>1141160.31</v>
      </c>
      <c r="E98" s="535"/>
      <c r="F98" s="536"/>
      <c r="G98" s="535">
        <v>180458.35</v>
      </c>
      <c r="H98" s="535">
        <v>9682</v>
      </c>
      <c r="I98" s="535"/>
      <c r="J98" s="535">
        <v>111885.77</v>
      </c>
      <c r="K98" s="535">
        <v>41708.949999999997</v>
      </c>
      <c r="L98" s="535">
        <v>638346.1</v>
      </c>
      <c r="M98" s="498">
        <f t="shared" si="6"/>
        <v>7969220.0599999996</v>
      </c>
      <c r="N98" s="243">
        <v>378118.75</v>
      </c>
      <c r="O98" s="243">
        <v>540216</v>
      </c>
      <c r="P98" s="243">
        <v>312776.40000000002</v>
      </c>
      <c r="Q98" s="243">
        <v>30628.639999999999</v>
      </c>
      <c r="R98" s="243">
        <v>196038.35</v>
      </c>
      <c r="S98" s="535">
        <v>20883.43</v>
      </c>
      <c r="T98" s="498">
        <f t="shared" si="7"/>
        <v>9447881.629999999</v>
      </c>
      <c r="U98" s="239">
        <v>-118347.03</v>
      </c>
      <c r="V98" s="243"/>
      <c r="W98" s="243">
        <v>-2119.89</v>
      </c>
      <c r="X98" s="540">
        <v>69</v>
      </c>
      <c r="Y98" s="543">
        <v>1</v>
      </c>
      <c r="Z98" s="215">
        <v>3366</v>
      </c>
      <c r="AA98" s="268"/>
      <c r="AB98" s="237">
        <v>486052</v>
      </c>
      <c r="AC98" s="443">
        <f>AB98/VPI!R98</f>
        <v>4.2451217912974339</v>
      </c>
      <c r="AD98" s="445">
        <f t="shared" si="8"/>
        <v>963088</v>
      </c>
      <c r="AE98" s="443">
        <f>AD98/VPI!R98</f>
        <v>8.4114988843520102</v>
      </c>
      <c r="AF98" s="237">
        <v>1449140</v>
      </c>
      <c r="AG98" s="237">
        <v>369525</v>
      </c>
      <c r="AH98" s="237">
        <v>448335</v>
      </c>
      <c r="AI98" s="271"/>
      <c r="AJ98" s="8">
        <v>0</v>
      </c>
      <c r="AK98" s="443">
        <f>AJ98/VPI!R98</f>
        <v>0</v>
      </c>
      <c r="AL98" s="445">
        <f t="shared" si="9"/>
        <v>60763</v>
      </c>
      <c r="AM98" s="443">
        <f>AL98/VPI!R98</f>
        <v>0.53069699415825056</v>
      </c>
      <c r="AN98" s="8">
        <v>60763</v>
      </c>
      <c r="AO98" s="271"/>
      <c r="AP98" s="529">
        <v>22.373112792150248</v>
      </c>
      <c r="AR98" s="546">
        <v>0</v>
      </c>
      <c r="AT98" s="239">
        <f t="shared" si="10"/>
        <v>7969220.0599999996</v>
      </c>
      <c r="AU98" s="5">
        <f t="shared" si="11"/>
        <v>0</v>
      </c>
    </row>
    <row r="99" spans="1:47" x14ac:dyDescent="0.25">
      <c r="A99" s="192">
        <v>5562</v>
      </c>
      <c r="B99" s="447" t="s">
        <v>42</v>
      </c>
      <c r="C99" s="535">
        <v>259117.72</v>
      </c>
      <c r="D99" s="535">
        <v>127565.54</v>
      </c>
      <c r="E99" s="535"/>
      <c r="F99" s="536">
        <v>920</v>
      </c>
      <c r="G99" s="535">
        <v>909.6</v>
      </c>
      <c r="H99" s="535">
        <v>416.4</v>
      </c>
      <c r="I99" s="535"/>
      <c r="J99" s="535">
        <v>5376.73</v>
      </c>
      <c r="K99" s="535">
        <v>1974.5</v>
      </c>
      <c r="L99" s="535">
        <v>36489.25</v>
      </c>
      <c r="M99" s="498">
        <f t="shared" si="6"/>
        <v>432769.74</v>
      </c>
      <c r="N99" s="243">
        <v>278.8</v>
      </c>
      <c r="O99" s="243">
        <v>-5394.6</v>
      </c>
      <c r="P99" s="243">
        <v>24640</v>
      </c>
      <c r="Q99" s="243">
        <v>3932.26</v>
      </c>
      <c r="R99" s="243">
        <v>24614.75</v>
      </c>
      <c r="S99" s="535">
        <v>145.63999999999999</v>
      </c>
      <c r="T99" s="498">
        <f t="shared" si="7"/>
        <v>480986.59</v>
      </c>
      <c r="U99" s="239">
        <v>-3768.08</v>
      </c>
      <c r="V99" s="243"/>
      <c r="W99" s="243">
        <v>-38.15</v>
      </c>
      <c r="X99" s="540">
        <v>70</v>
      </c>
      <c r="Y99" s="543">
        <v>1.2</v>
      </c>
      <c r="Z99" s="215">
        <v>137</v>
      </c>
      <c r="AA99" s="268"/>
      <c r="AB99" s="237">
        <v>0</v>
      </c>
      <c r="AC99" s="443">
        <f>AB99/VPI!R99</f>
        <v>0</v>
      </c>
      <c r="AD99" s="445">
        <f t="shared" si="8"/>
        <v>39008</v>
      </c>
      <c r="AE99" s="443">
        <f>AD99/VPI!R99</f>
        <v>6.3953551668893978</v>
      </c>
      <c r="AF99" s="237">
        <v>39008</v>
      </c>
      <c r="AG99" s="237">
        <v>5638</v>
      </c>
      <c r="AH99" s="237">
        <v>11997</v>
      </c>
      <c r="AI99" s="271"/>
      <c r="AJ99" s="8">
        <v>0</v>
      </c>
      <c r="AK99" s="443">
        <f>AJ99/VPI!R99</f>
        <v>0</v>
      </c>
      <c r="AL99" s="445">
        <f t="shared" si="9"/>
        <v>8034</v>
      </c>
      <c r="AM99" s="443">
        <f>AL99/VPI!R99</f>
        <v>1.3171729750510004</v>
      </c>
      <c r="AN99" s="8">
        <v>8034</v>
      </c>
      <c r="AO99" s="271"/>
      <c r="AP99" s="529">
        <v>33.52335444572573</v>
      </c>
      <c r="AR99" s="546">
        <v>0</v>
      </c>
      <c r="AT99" s="239">
        <f t="shared" si="10"/>
        <v>432769.74</v>
      </c>
      <c r="AU99" s="5">
        <f t="shared" si="11"/>
        <v>0</v>
      </c>
    </row>
    <row r="100" spans="1:47" x14ac:dyDescent="0.25">
      <c r="A100" s="192">
        <v>5563</v>
      </c>
      <c r="B100" s="447" t="s">
        <v>244</v>
      </c>
      <c r="C100" s="535">
        <v>277323.3</v>
      </c>
      <c r="D100" s="535">
        <v>44558.400000000001</v>
      </c>
      <c r="E100" s="535"/>
      <c r="F100" s="536">
        <v>540</v>
      </c>
      <c r="G100" s="535">
        <v>461</v>
      </c>
      <c r="H100" s="535">
        <v>25</v>
      </c>
      <c r="I100" s="535"/>
      <c r="J100" s="535">
        <v>728.75</v>
      </c>
      <c r="K100" s="535"/>
      <c r="L100" s="535">
        <v>21873.75</v>
      </c>
      <c r="M100" s="498">
        <f t="shared" si="6"/>
        <v>345510.2</v>
      </c>
      <c r="N100" s="243"/>
      <c r="O100" s="243">
        <v>45.6</v>
      </c>
      <c r="P100" s="243">
        <v>36561.25</v>
      </c>
      <c r="Q100" s="243"/>
      <c r="R100" s="243">
        <v>42313</v>
      </c>
      <c r="S100" s="535">
        <v>53.38</v>
      </c>
      <c r="T100" s="498">
        <f t="shared" si="7"/>
        <v>424483.43</v>
      </c>
      <c r="U100" s="239">
        <v>-2986.73</v>
      </c>
      <c r="V100" s="243"/>
      <c r="W100" s="243">
        <v>0</v>
      </c>
      <c r="X100" s="540">
        <v>80</v>
      </c>
      <c r="Y100" s="543">
        <v>1</v>
      </c>
      <c r="Z100" s="215">
        <v>151</v>
      </c>
      <c r="AA100" s="268"/>
      <c r="AB100" s="237">
        <v>11353</v>
      </c>
      <c r="AC100" s="443">
        <f>AB100/VPI!R100</f>
        <v>2.651200745175863</v>
      </c>
      <c r="AD100" s="445">
        <f t="shared" si="8"/>
        <v>23423</v>
      </c>
      <c r="AE100" s="443">
        <f>AD100/VPI!R100</f>
        <v>5.469838373491962</v>
      </c>
      <c r="AF100" s="237">
        <v>34776</v>
      </c>
      <c r="AG100" s="237">
        <v>6563</v>
      </c>
      <c r="AH100" s="237">
        <v>21155</v>
      </c>
      <c r="AI100" s="271"/>
      <c r="AJ100" s="8">
        <v>0</v>
      </c>
      <c r="AK100" s="443">
        <f>AJ100/VPI!R100</f>
        <v>0</v>
      </c>
      <c r="AL100" s="445">
        <f t="shared" si="9"/>
        <v>-21130</v>
      </c>
      <c r="AM100" s="443">
        <f>AL100/VPI!R100</f>
        <v>-4.9343672813851835</v>
      </c>
      <c r="AN100" s="8">
        <v>-21130</v>
      </c>
      <c r="AO100" s="271"/>
      <c r="AP100" s="529">
        <v>14.504097857020703</v>
      </c>
      <c r="AR100" s="546">
        <v>0</v>
      </c>
      <c r="AT100" s="239">
        <f t="shared" si="10"/>
        <v>345510.2</v>
      </c>
      <c r="AU100" s="5">
        <f t="shared" si="11"/>
        <v>0</v>
      </c>
    </row>
    <row r="101" spans="1:47" x14ac:dyDescent="0.25">
      <c r="A101" s="192">
        <v>5564</v>
      </c>
      <c r="B101" s="447" t="s">
        <v>245</v>
      </c>
      <c r="C101" s="535">
        <v>125537.51</v>
      </c>
      <c r="D101" s="535">
        <v>20585.2</v>
      </c>
      <c r="E101" s="535"/>
      <c r="F101" s="536"/>
      <c r="G101" s="535">
        <v>58.05</v>
      </c>
      <c r="H101" s="535">
        <v>23.75</v>
      </c>
      <c r="I101" s="535"/>
      <c r="J101" s="535"/>
      <c r="K101" s="535"/>
      <c r="L101" s="535">
        <v>11414.45</v>
      </c>
      <c r="M101" s="498">
        <f t="shared" si="6"/>
        <v>157618.96</v>
      </c>
      <c r="N101" s="243"/>
      <c r="O101" s="243">
        <v>736.4</v>
      </c>
      <c r="P101" s="243">
        <v>1127.6500000000001</v>
      </c>
      <c r="Q101" s="243"/>
      <c r="R101" s="243">
        <v>1787.5</v>
      </c>
      <c r="S101" s="535">
        <v>8.98</v>
      </c>
      <c r="T101" s="498">
        <f t="shared" si="7"/>
        <v>161279.49</v>
      </c>
      <c r="U101" s="239">
        <v>-916.18</v>
      </c>
      <c r="V101" s="243"/>
      <c r="W101" s="243">
        <v>0</v>
      </c>
      <c r="X101" s="540">
        <v>76</v>
      </c>
      <c r="Y101" s="543">
        <v>0.8</v>
      </c>
      <c r="Z101" s="215">
        <v>103</v>
      </c>
      <c r="AA101" s="268"/>
      <c r="AB101" s="237">
        <v>0</v>
      </c>
      <c r="AC101" s="443">
        <f>AB101/VPI!R101</f>
        <v>0</v>
      </c>
      <c r="AD101" s="445">
        <f t="shared" si="8"/>
        <v>31361</v>
      </c>
      <c r="AE101" s="443">
        <f>AD101/VPI!R101</f>
        <v>14.937050330265109</v>
      </c>
      <c r="AF101" s="237">
        <v>31361</v>
      </c>
      <c r="AG101" s="237">
        <v>4360</v>
      </c>
      <c r="AH101" s="237">
        <v>18211</v>
      </c>
      <c r="AI101" s="271"/>
      <c r="AJ101" s="8">
        <v>0</v>
      </c>
      <c r="AK101" s="443">
        <f>AJ101/VPI!R101</f>
        <v>0</v>
      </c>
      <c r="AL101" s="445">
        <f t="shared" si="9"/>
        <v>6520</v>
      </c>
      <c r="AM101" s="443">
        <f>AL101/VPI!R101</f>
        <v>3.1054356733946147</v>
      </c>
      <c r="AN101" s="8">
        <v>6520</v>
      </c>
      <c r="AO101" s="271"/>
      <c r="AP101" s="529">
        <v>6.9433424665333554</v>
      </c>
      <c r="AR101" s="546">
        <v>0</v>
      </c>
      <c r="AT101" s="239">
        <f t="shared" si="10"/>
        <v>157618.96</v>
      </c>
      <c r="AU101" s="5">
        <f t="shared" si="11"/>
        <v>0</v>
      </c>
    </row>
    <row r="102" spans="1:47" x14ac:dyDescent="0.25">
      <c r="A102" s="192">
        <v>5565</v>
      </c>
      <c r="B102" s="447" t="s">
        <v>246</v>
      </c>
      <c r="C102" s="535">
        <v>777961.32</v>
      </c>
      <c r="D102" s="535">
        <v>109871.74</v>
      </c>
      <c r="E102" s="535"/>
      <c r="F102" s="536"/>
      <c r="G102" s="535">
        <v>137313</v>
      </c>
      <c r="H102" s="535">
        <v>219301.6</v>
      </c>
      <c r="I102" s="535"/>
      <c r="J102" s="535">
        <v>6667.67</v>
      </c>
      <c r="K102" s="535">
        <v>24118.65</v>
      </c>
      <c r="L102" s="535">
        <v>130218.95</v>
      </c>
      <c r="M102" s="498">
        <f t="shared" si="6"/>
        <v>1405452.9299999997</v>
      </c>
      <c r="N102" s="243">
        <v>63286.3</v>
      </c>
      <c r="O102" s="243"/>
      <c r="P102" s="243">
        <v>45942.6</v>
      </c>
      <c r="Q102" s="243">
        <v>3.4</v>
      </c>
      <c r="R102" s="243">
        <v>29182.05</v>
      </c>
      <c r="S102" s="535">
        <v>39167.56</v>
      </c>
      <c r="T102" s="498">
        <f t="shared" si="7"/>
        <v>1583034.8399999999</v>
      </c>
      <c r="U102" s="239">
        <v>-4179</v>
      </c>
      <c r="V102" s="243"/>
      <c r="W102" s="243">
        <v>-0.6</v>
      </c>
      <c r="X102" s="540">
        <v>63.5</v>
      </c>
      <c r="Y102" s="543">
        <v>1</v>
      </c>
      <c r="Z102" s="215">
        <v>495</v>
      </c>
      <c r="AA102" s="268"/>
      <c r="AB102" s="237">
        <v>66301</v>
      </c>
      <c r="AC102" s="443">
        <f>AB102/VPI!R102</f>
        <v>2.9227881489259131</v>
      </c>
      <c r="AD102" s="445">
        <f t="shared" si="8"/>
        <v>66919</v>
      </c>
      <c r="AE102" s="443">
        <f>AD102/VPI!R102</f>
        <v>2.9500318266387109</v>
      </c>
      <c r="AF102" s="237">
        <v>133220</v>
      </c>
      <c r="AG102" s="237">
        <v>33363</v>
      </c>
      <c r="AH102" s="237">
        <v>68103</v>
      </c>
      <c r="AI102" s="271"/>
      <c r="AJ102" s="8">
        <v>1367</v>
      </c>
      <c r="AK102" s="443">
        <f>AJ102/VPI!R102</f>
        <v>6.026230976277467E-2</v>
      </c>
      <c r="AL102" s="445">
        <f t="shared" si="9"/>
        <v>58867</v>
      </c>
      <c r="AM102" s="443">
        <f>AL102/VPI!R102</f>
        <v>2.5950705111962371</v>
      </c>
      <c r="AN102" s="8">
        <v>60234</v>
      </c>
      <c r="AO102" s="271"/>
      <c r="AP102" s="529">
        <v>29.194510897922715</v>
      </c>
      <c r="AR102" s="546">
        <v>0</v>
      </c>
      <c r="AT102" s="239">
        <f t="shared" si="10"/>
        <v>1405452.9299999997</v>
      </c>
      <c r="AU102" s="5">
        <f t="shared" si="11"/>
        <v>0</v>
      </c>
    </row>
    <row r="103" spans="1:47" x14ac:dyDescent="0.25">
      <c r="A103" s="192">
        <v>5566</v>
      </c>
      <c r="B103" s="447" t="s">
        <v>247</v>
      </c>
      <c r="C103" s="535">
        <v>612319.43999999994</v>
      </c>
      <c r="D103" s="535">
        <v>69394.75</v>
      </c>
      <c r="E103" s="535"/>
      <c r="F103" s="536">
        <v>2630</v>
      </c>
      <c r="G103" s="535">
        <v>11569.95</v>
      </c>
      <c r="H103" s="535">
        <v>3363.7</v>
      </c>
      <c r="I103" s="535"/>
      <c r="J103" s="535">
        <v>8166.81</v>
      </c>
      <c r="K103" s="535">
        <v>371.05</v>
      </c>
      <c r="L103" s="535">
        <v>80744.100000000006</v>
      </c>
      <c r="M103" s="498">
        <f t="shared" si="6"/>
        <v>788559.79999999993</v>
      </c>
      <c r="N103" s="243">
        <v>7185.35</v>
      </c>
      <c r="O103" s="243">
        <v>630</v>
      </c>
      <c r="P103" s="243">
        <v>10185.700000000001</v>
      </c>
      <c r="Q103" s="243">
        <v>12552.74</v>
      </c>
      <c r="R103" s="243">
        <v>39935</v>
      </c>
      <c r="S103" s="535">
        <v>1640.19</v>
      </c>
      <c r="T103" s="498">
        <f t="shared" si="7"/>
        <v>860688.7799999998</v>
      </c>
      <c r="U103" s="239">
        <v>-16284.01</v>
      </c>
      <c r="V103" s="243"/>
      <c r="W103" s="243">
        <v>-0.1</v>
      </c>
      <c r="X103" s="540">
        <v>81</v>
      </c>
      <c r="Y103" s="543">
        <v>1.5</v>
      </c>
      <c r="Z103" s="215">
        <v>403</v>
      </c>
      <c r="AA103" s="268"/>
      <c r="AB103" s="237">
        <v>40655</v>
      </c>
      <c r="AC103" s="443">
        <f>AB103/VPI!R103</f>
        <v>4.3355118225181428</v>
      </c>
      <c r="AD103" s="445">
        <f t="shared" si="8"/>
        <v>498403</v>
      </c>
      <c r="AE103" s="443">
        <f>AD103/VPI!R103</f>
        <v>53.15046363002115</v>
      </c>
      <c r="AF103" s="237">
        <v>539058</v>
      </c>
      <c r="AG103" s="237">
        <v>17265</v>
      </c>
      <c r="AH103" s="237">
        <v>45522</v>
      </c>
      <c r="AI103" s="271"/>
      <c r="AJ103" s="8">
        <v>0</v>
      </c>
      <c r="AK103" s="443">
        <f>AJ103/VPI!R103</f>
        <v>0</v>
      </c>
      <c r="AL103" s="445">
        <f t="shared" si="9"/>
        <v>-7155</v>
      </c>
      <c r="AM103" s="443">
        <f>AL103/VPI!R103</f>
        <v>-0.76302022113189794</v>
      </c>
      <c r="AN103" s="8">
        <v>-7155</v>
      </c>
      <c r="AO103" s="271"/>
      <c r="AP103" s="529">
        <v>1.2860821466149972</v>
      </c>
      <c r="AR103" s="546">
        <v>0</v>
      </c>
      <c r="AT103" s="239">
        <f t="shared" si="10"/>
        <v>788559.79999999993</v>
      </c>
      <c r="AU103" s="5">
        <f t="shared" si="11"/>
        <v>0</v>
      </c>
    </row>
    <row r="104" spans="1:47" x14ac:dyDescent="0.25">
      <c r="A104" s="192">
        <v>5568</v>
      </c>
      <c r="B104" s="447" t="s">
        <v>107</v>
      </c>
      <c r="C104" s="535">
        <v>5629067.1500000004</v>
      </c>
      <c r="D104" s="535">
        <v>848233.91</v>
      </c>
      <c r="E104" s="535"/>
      <c r="F104" s="536"/>
      <c r="G104" s="535">
        <v>291803.3</v>
      </c>
      <c r="H104" s="535">
        <v>111729.3</v>
      </c>
      <c r="I104" s="535">
        <v>45476.55</v>
      </c>
      <c r="J104" s="535">
        <v>118781.81</v>
      </c>
      <c r="K104" s="535">
        <v>58362.9</v>
      </c>
      <c r="L104" s="535">
        <v>641637.55000000005</v>
      </c>
      <c r="M104" s="498">
        <f t="shared" si="6"/>
        <v>7745092.4699999997</v>
      </c>
      <c r="N104" s="243">
        <v>2053229.95</v>
      </c>
      <c r="O104" s="243">
        <v>599088.19999999995</v>
      </c>
      <c r="P104" s="243">
        <v>382005</v>
      </c>
      <c r="Q104" s="243">
        <v>43024.68</v>
      </c>
      <c r="R104" s="243">
        <v>289286.59999999998</v>
      </c>
      <c r="S104" s="535">
        <v>44320.639999999999</v>
      </c>
      <c r="T104" s="498">
        <f t="shared" si="7"/>
        <v>11156047.539999999</v>
      </c>
      <c r="U104" s="239">
        <v>-188721.09</v>
      </c>
      <c r="V104" s="243"/>
      <c r="W104" s="243">
        <v>-3069.98</v>
      </c>
      <c r="X104" s="540">
        <v>70</v>
      </c>
      <c r="Y104" s="543">
        <v>1</v>
      </c>
      <c r="Z104" s="215">
        <v>4948</v>
      </c>
      <c r="AA104" s="268"/>
      <c r="AB104" s="237">
        <v>256129</v>
      </c>
      <c r="AC104" s="443">
        <f>AB104/VPI!R104</f>
        <v>2.3465330432133893</v>
      </c>
      <c r="AD104" s="445">
        <f t="shared" si="8"/>
        <v>2050608</v>
      </c>
      <c r="AE104" s="443">
        <f>AD104/VPI!R104</f>
        <v>18.786702914069558</v>
      </c>
      <c r="AF104" s="237">
        <v>2306737</v>
      </c>
      <c r="AG104" s="237">
        <v>541405</v>
      </c>
      <c r="AH104" s="237">
        <v>155513</v>
      </c>
      <c r="AI104" s="271"/>
      <c r="AJ104" s="8">
        <v>29662</v>
      </c>
      <c r="AK104" s="443">
        <f>AJ104/VPI!R104</f>
        <v>0.27174924794847732</v>
      </c>
      <c r="AL104" s="445">
        <f t="shared" si="9"/>
        <v>36339</v>
      </c>
      <c r="AM104" s="443">
        <f>AL104/VPI!R104</f>
        <v>0.33292077139773846</v>
      </c>
      <c r="AN104" s="8">
        <v>66001</v>
      </c>
      <c r="AO104" s="271"/>
      <c r="AP104" s="529">
        <v>4.8548440747218482</v>
      </c>
      <c r="AR104" s="546">
        <v>0</v>
      </c>
      <c r="AT104" s="239">
        <f t="shared" si="10"/>
        <v>7745092.4699999997</v>
      </c>
      <c r="AU104" s="5">
        <f t="shared" si="11"/>
        <v>0</v>
      </c>
    </row>
    <row r="105" spans="1:47" x14ac:dyDescent="0.25">
      <c r="A105" s="192">
        <v>5571</v>
      </c>
      <c r="B105" s="447" t="s">
        <v>343</v>
      </c>
      <c r="C105" s="535">
        <v>1445285.24</v>
      </c>
      <c r="D105" s="535">
        <v>166831.78</v>
      </c>
      <c r="E105" s="535"/>
      <c r="F105" s="536"/>
      <c r="G105" s="535">
        <v>8509.15</v>
      </c>
      <c r="H105" s="535">
        <v>332.4</v>
      </c>
      <c r="I105" s="535"/>
      <c r="J105" s="535">
        <v>21713.79</v>
      </c>
      <c r="K105" s="535">
        <v>7355.2</v>
      </c>
      <c r="L105" s="535">
        <v>201479.55</v>
      </c>
      <c r="M105" s="498">
        <f t="shared" si="6"/>
        <v>1851507.1099999999</v>
      </c>
      <c r="N105" s="243">
        <v>51246.7</v>
      </c>
      <c r="O105" s="243">
        <v>26526.2</v>
      </c>
      <c r="P105" s="243">
        <v>73000.05</v>
      </c>
      <c r="Q105" s="243"/>
      <c r="R105" s="243">
        <v>112137.25</v>
      </c>
      <c r="S105" s="535">
        <v>971.08</v>
      </c>
      <c r="T105" s="498">
        <f t="shared" si="7"/>
        <v>2115388.3899999997</v>
      </c>
      <c r="U105" s="239">
        <v>-8173.95</v>
      </c>
      <c r="V105" s="243"/>
      <c r="W105" s="243">
        <v>0</v>
      </c>
      <c r="X105" s="540">
        <v>71.5</v>
      </c>
      <c r="Y105" s="543">
        <v>1.2</v>
      </c>
      <c r="Z105" s="215">
        <v>883</v>
      </c>
      <c r="AA105" s="268"/>
      <c r="AB105" s="237">
        <v>59186</v>
      </c>
      <c r="AC105" s="443">
        <f>AB105/VPI!R105</f>
        <v>2.3370752604048399</v>
      </c>
      <c r="AD105" s="445">
        <f t="shared" si="8"/>
        <v>222957</v>
      </c>
      <c r="AE105" s="443">
        <f>AD105/VPI!R105</f>
        <v>8.8038943134200967</v>
      </c>
      <c r="AF105" s="237">
        <v>282143</v>
      </c>
      <c r="AG105" s="237">
        <v>39375</v>
      </c>
      <c r="AH105" s="237">
        <v>130307</v>
      </c>
      <c r="AI105" s="271"/>
      <c r="AJ105" s="8">
        <v>0</v>
      </c>
      <c r="AK105" s="443">
        <f>AJ105/VPI!R105</f>
        <v>0</v>
      </c>
      <c r="AL105" s="445">
        <f t="shared" si="9"/>
        <v>71738</v>
      </c>
      <c r="AM105" s="443">
        <f>AL105/VPI!R105</f>
        <v>2.8327155920474842</v>
      </c>
      <c r="AN105" s="8">
        <v>71738</v>
      </c>
      <c r="AO105" s="271"/>
      <c r="AP105" s="529">
        <v>13.073164350260065</v>
      </c>
      <c r="AR105" s="546">
        <v>0</v>
      </c>
      <c r="AT105" s="239">
        <f t="shared" si="10"/>
        <v>1851507.1099999999</v>
      </c>
      <c r="AU105" s="5">
        <f t="shared" si="11"/>
        <v>0</v>
      </c>
    </row>
    <row r="106" spans="1:47" x14ac:dyDescent="0.25">
      <c r="A106" s="192">
        <v>5581</v>
      </c>
      <c r="B106" s="447" t="s">
        <v>317</v>
      </c>
      <c r="C106" s="535">
        <v>12160319.640000001</v>
      </c>
      <c r="D106" s="535">
        <v>2132088.16</v>
      </c>
      <c r="E106" s="535"/>
      <c r="F106" s="536"/>
      <c r="G106" s="535">
        <v>132702.45000000001</v>
      </c>
      <c r="H106" s="535">
        <v>19948.5</v>
      </c>
      <c r="I106" s="535">
        <v>59666.6</v>
      </c>
      <c r="J106" s="535">
        <v>50492.89</v>
      </c>
      <c r="K106" s="535">
        <v>35196.15</v>
      </c>
      <c r="L106" s="535">
        <v>1455972.05</v>
      </c>
      <c r="M106" s="498">
        <f t="shared" si="6"/>
        <v>16046386.440000001</v>
      </c>
      <c r="N106" s="243">
        <v>9474.2999999999993</v>
      </c>
      <c r="O106" s="243">
        <v>72349.5</v>
      </c>
      <c r="P106" s="243">
        <v>820976.65</v>
      </c>
      <c r="Q106" s="243">
        <v>13964.06</v>
      </c>
      <c r="R106" s="243">
        <v>713701.5</v>
      </c>
      <c r="S106" s="535">
        <v>16765.900000000001</v>
      </c>
      <c r="T106" s="498">
        <f t="shared" si="7"/>
        <v>17693618.349999998</v>
      </c>
      <c r="U106" s="239">
        <v>-65096.46</v>
      </c>
      <c r="V106" s="243"/>
      <c r="W106" s="243">
        <v>-15831.7</v>
      </c>
      <c r="X106" s="540">
        <v>72</v>
      </c>
      <c r="Y106" s="543">
        <v>1.5</v>
      </c>
      <c r="Z106" s="215">
        <v>3871</v>
      </c>
      <c r="AA106" s="268"/>
      <c r="AB106" s="237">
        <v>668002</v>
      </c>
      <c r="AC106" s="443">
        <f>AB106/VPI!R106</f>
        <v>3.1008036243169426</v>
      </c>
      <c r="AD106" s="445">
        <f t="shared" si="8"/>
        <v>490156</v>
      </c>
      <c r="AE106" s="443">
        <f>AD106/VPI!R106</f>
        <v>2.2752589083276624</v>
      </c>
      <c r="AF106" s="237">
        <v>1158158</v>
      </c>
      <c r="AG106" s="237">
        <v>1429696</v>
      </c>
      <c r="AH106" s="237">
        <v>223738</v>
      </c>
      <c r="AI106" s="271"/>
      <c r="AJ106" s="8">
        <v>0</v>
      </c>
      <c r="AK106" s="443">
        <f>AJ106/VPI!R106</f>
        <v>0</v>
      </c>
      <c r="AL106" s="445">
        <f t="shared" si="9"/>
        <v>-242</v>
      </c>
      <c r="AM106" s="443">
        <f>AL106/VPI!R106</f>
        <v>-1.1233416622775081E-3</v>
      </c>
      <c r="AN106" s="8">
        <v>-242</v>
      </c>
      <c r="AO106" s="271"/>
      <c r="AP106" s="529">
        <v>34.764256664546977</v>
      </c>
      <c r="AR106" s="546">
        <v>1</v>
      </c>
      <c r="AT106" s="239">
        <f t="shared" si="10"/>
        <v>16046386.440000001</v>
      </c>
      <c r="AU106" s="5">
        <f t="shared" si="11"/>
        <v>0</v>
      </c>
    </row>
    <row r="107" spans="1:47" x14ac:dyDescent="0.25">
      <c r="A107" s="192">
        <v>5582</v>
      </c>
      <c r="B107" s="447" t="s">
        <v>318</v>
      </c>
      <c r="C107" s="535">
        <v>9357357.2799999993</v>
      </c>
      <c r="D107" s="535">
        <v>1191584.55</v>
      </c>
      <c r="E107" s="535"/>
      <c r="F107" s="536"/>
      <c r="G107" s="535">
        <v>217448.3</v>
      </c>
      <c r="H107" s="535">
        <v>218382.85</v>
      </c>
      <c r="I107" s="535">
        <v>-27176.23</v>
      </c>
      <c r="J107" s="535">
        <v>312399.43</v>
      </c>
      <c r="K107" s="535">
        <v>83192.45</v>
      </c>
      <c r="L107" s="535">
        <v>951358.4</v>
      </c>
      <c r="M107" s="498">
        <f t="shared" si="6"/>
        <v>12304547.029999999</v>
      </c>
      <c r="N107" s="243">
        <v>449844.65</v>
      </c>
      <c r="O107" s="243">
        <v>461920.2</v>
      </c>
      <c r="P107" s="243">
        <v>546244.75</v>
      </c>
      <c r="Q107" s="243">
        <v>32911</v>
      </c>
      <c r="R107" s="243">
        <v>773876.4</v>
      </c>
      <c r="S107" s="535">
        <v>47868.05</v>
      </c>
      <c r="T107" s="498">
        <f t="shared" si="7"/>
        <v>14617212.08</v>
      </c>
      <c r="U107" s="239">
        <v>-145996.04999999999</v>
      </c>
      <c r="V107" s="243"/>
      <c r="W107" s="243">
        <v>-12825.31</v>
      </c>
      <c r="X107" s="540">
        <v>73</v>
      </c>
      <c r="Y107" s="543">
        <v>1</v>
      </c>
      <c r="Z107" s="215">
        <v>4449</v>
      </c>
      <c r="AA107" s="268"/>
      <c r="AB107" s="237">
        <v>245868</v>
      </c>
      <c r="AC107" s="443">
        <f>AB107/VPI!R107</f>
        <v>1.4679881463293627</v>
      </c>
      <c r="AD107" s="445">
        <f t="shared" si="8"/>
        <v>1104870</v>
      </c>
      <c r="AE107" s="443">
        <f>AD107/VPI!R107</f>
        <v>6.5967757627463639</v>
      </c>
      <c r="AF107" s="237">
        <v>1350738</v>
      </c>
      <c r="AG107" s="237">
        <v>431893</v>
      </c>
      <c r="AH107" s="237">
        <v>199438</v>
      </c>
      <c r="AI107" s="271"/>
      <c r="AJ107" s="8">
        <v>0</v>
      </c>
      <c r="AK107" s="443">
        <f>AJ107/VPI!R107</f>
        <v>0</v>
      </c>
      <c r="AL107" s="445">
        <f t="shared" si="9"/>
        <v>69870</v>
      </c>
      <c r="AM107" s="443">
        <f>AL107/VPI!R107</f>
        <v>0.41716828454305799</v>
      </c>
      <c r="AN107" s="8">
        <v>69870</v>
      </c>
      <c r="AO107" s="271"/>
      <c r="AP107" s="529">
        <v>22.365781763842051</v>
      </c>
      <c r="AR107" s="546">
        <v>0</v>
      </c>
      <c r="AT107" s="239">
        <f t="shared" si="10"/>
        <v>12304547.029999999</v>
      </c>
      <c r="AU107" s="5">
        <f t="shared" si="11"/>
        <v>0</v>
      </c>
    </row>
    <row r="108" spans="1:47" x14ac:dyDescent="0.25">
      <c r="A108" s="192">
        <v>5583</v>
      </c>
      <c r="B108" s="447" t="s">
        <v>319</v>
      </c>
      <c r="C108" s="535">
        <v>11721344.43</v>
      </c>
      <c r="D108" s="535">
        <v>1690992.38</v>
      </c>
      <c r="E108" s="535"/>
      <c r="F108" s="536"/>
      <c r="G108" s="535">
        <v>3561542.95</v>
      </c>
      <c r="H108" s="535">
        <v>337572.3</v>
      </c>
      <c r="I108" s="535"/>
      <c r="J108" s="535">
        <v>969801.07</v>
      </c>
      <c r="K108" s="535">
        <v>388664.15</v>
      </c>
      <c r="L108" s="535">
        <v>2503743.2999999998</v>
      </c>
      <c r="M108" s="498">
        <f t="shared" si="6"/>
        <v>21173660.579999998</v>
      </c>
      <c r="N108" s="243">
        <v>2173154.15</v>
      </c>
      <c r="O108" s="243">
        <v>245089.6</v>
      </c>
      <c r="P108" s="243">
        <v>1501884.75</v>
      </c>
      <c r="Q108" s="243">
        <v>43662.31</v>
      </c>
      <c r="R108" s="243">
        <v>1165005.55</v>
      </c>
      <c r="S108" s="535">
        <v>428246.18</v>
      </c>
      <c r="T108" s="498">
        <f t="shared" si="7"/>
        <v>26730703.119999997</v>
      </c>
      <c r="U108" s="239">
        <v>-222182.55</v>
      </c>
      <c r="V108" s="243"/>
      <c r="W108" s="243">
        <v>-2314.4499999999998</v>
      </c>
      <c r="X108" s="540">
        <v>63.5</v>
      </c>
      <c r="Y108" s="543">
        <v>1</v>
      </c>
      <c r="Z108" s="215">
        <v>8974</v>
      </c>
      <c r="AA108" s="268"/>
      <c r="AB108" s="237">
        <v>484427</v>
      </c>
      <c r="AC108" s="443">
        <f>AB108/VPI!R108</f>
        <v>1.4360212411161553</v>
      </c>
      <c r="AD108" s="445">
        <f t="shared" si="8"/>
        <v>1732646</v>
      </c>
      <c r="AE108" s="443">
        <f>AD108/VPI!R108</f>
        <v>5.1362051647305824</v>
      </c>
      <c r="AF108" s="237">
        <v>2217073</v>
      </c>
      <c r="AG108" s="237">
        <v>4059532</v>
      </c>
      <c r="AH108" s="237">
        <v>311073</v>
      </c>
      <c r="AI108" s="271"/>
      <c r="AJ108" s="8">
        <v>0</v>
      </c>
      <c r="AK108" s="443">
        <f>AJ108/VPI!R108</f>
        <v>0</v>
      </c>
      <c r="AL108" s="445">
        <f t="shared" si="9"/>
        <v>60241</v>
      </c>
      <c r="AM108" s="443">
        <f>AL108/VPI!R108</f>
        <v>0.1785766598188753</v>
      </c>
      <c r="AN108" s="8">
        <v>60241</v>
      </c>
      <c r="AO108" s="271"/>
      <c r="AP108" s="529">
        <v>25.197197531648829</v>
      </c>
      <c r="AR108" s="546">
        <v>1</v>
      </c>
      <c r="AT108" s="239">
        <f t="shared" si="10"/>
        <v>21173660.579999998</v>
      </c>
      <c r="AU108" s="5">
        <f t="shared" si="11"/>
        <v>0</v>
      </c>
    </row>
    <row r="109" spans="1:47" x14ac:dyDescent="0.25">
      <c r="A109" s="192">
        <v>5584</v>
      </c>
      <c r="B109" s="447" t="s">
        <v>320</v>
      </c>
      <c r="C109" s="535">
        <v>24374238.77</v>
      </c>
      <c r="D109" s="535">
        <v>4440234.49</v>
      </c>
      <c r="E109" s="535"/>
      <c r="F109" s="536"/>
      <c r="G109" s="535">
        <v>1138215.45</v>
      </c>
      <c r="H109" s="535">
        <v>450645.5</v>
      </c>
      <c r="I109" s="535">
        <v>318905.75</v>
      </c>
      <c r="J109" s="535">
        <v>249842.53</v>
      </c>
      <c r="K109" s="535">
        <v>165858.70000000001</v>
      </c>
      <c r="L109" s="535">
        <v>2348850.7999999998</v>
      </c>
      <c r="M109" s="498">
        <f t="shared" si="6"/>
        <v>33486791.989999998</v>
      </c>
      <c r="N109" s="243">
        <v>293562.8</v>
      </c>
      <c r="O109" s="243">
        <v>585788.80000000005</v>
      </c>
      <c r="P109" s="243">
        <v>1803696.3</v>
      </c>
      <c r="Q109" s="243">
        <v>60504.7</v>
      </c>
      <c r="R109" s="243">
        <v>1193095.95</v>
      </c>
      <c r="S109" s="535">
        <v>174507.19</v>
      </c>
      <c r="T109" s="498">
        <f t="shared" si="7"/>
        <v>37597947.729999997</v>
      </c>
      <c r="U109" s="239">
        <v>-363450.84</v>
      </c>
      <c r="V109" s="243"/>
      <c r="W109" s="243">
        <v>-32342.31</v>
      </c>
      <c r="X109" s="540">
        <v>64.5</v>
      </c>
      <c r="Y109" s="543">
        <v>1</v>
      </c>
      <c r="Z109" s="215">
        <v>9813</v>
      </c>
      <c r="AA109" s="268"/>
      <c r="AB109" s="237">
        <v>1200517</v>
      </c>
      <c r="AC109" s="443">
        <f>AB109/VPI!R109</f>
        <v>2.3235108194421445</v>
      </c>
      <c r="AD109" s="445">
        <f t="shared" si="8"/>
        <v>3304841</v>
      </c>
      <c r="AE109" s="443">
        <f>AD109/VPI!R109</f>
        <v>6.3962724559802124</v>
      </c>
      <c r="AF109" s="237">
        <v>4505358</v>
      </c>
      <c r="AG109" s="237">
        <v>4193360</v>
      </c>
      <c r="AH109" s="237">
        <v>773413</v>
      </c>
      <c r="AI109" s="271"/>
      <c r="AJ109" s="8">
        <v>4515</v>
      </c>
      <c r="AK109" s="443">
        <f>AJ109/VPI!R109</f>
        <v>8.7384446449165504E-3</v>
      </c>
      <c r="AL109" s="445">
        <f t="shared" si="9"/>
        <v>286788</v>
      </c>
      <c r="AM109" s="443">
        <f>AL109/VPI!R109</f>
        <v>0.55505671380428079</v>
      </c>
      <c r="AN109" s="8">
        <v>291303</v>
      </c>
      <c r="AO109" s="271"/>
      <c r="AP109" s="529">
        <v>28.444513171195194</v>
      </c>
      <c r="AR109" s="546">
        <v>0</v>
      </c>
      <c r="AT109" s="239">
        <f t="shared" si="10"/>
        <v>33486791.989999998</v>
      </c>
      <c r="AU109" s="5">
        <f t="shared" si="11"/>
        <v>0</v>
      </c>
    </row>
    <row r="110" spans="1:47" x14ac:dyDescent="0.25">
      <c r="A110" s="192">
        <v>5585</v>
      </c>
      <c r="B110" s="447" t="s">
        <v>321</v>
      </c>
      <c r="C110" s="535">
        <v>6865138.5499999998</v>
      </c>
      <c r="D110" s="535">
        <v>3644259.47</v>
      </c>
      <c r="E110" s="535"/>
      <c r="F110" s="536"/>
      <c r="G110" s="535">
        <v>36060.300000000003</v>
      </c>
      <c r="H110" s="535">
        <v>6605.25</v>
      </c>
      <c r="I110" s="535">
        <v>144304.92000000001</v>
      </c>
      <c r="J110" s="535">
        <v>46659.46</v>
      </c>
      <c r="K110" s="535">
        <v>7803.5</v>
      </c>
      <c r="L110" s="535">
        <v>575774.35</v>
      </c>
      <c r="M110" s="498">
        <f t="shared" si="6"/>
        <v>11326605.800000001</v>
      </c>
      <c r="N110" s="243">
        <v>1366.85</v>
      </c>
      <c r="O110" s="243">
        <v>34254.1</v>
      </c>
      <c r="P110" s="243">
        <v>400119.55</v>
      </c>
      <c r="Q110" s="243"/>
      <c r="R110" s="243">
        <v>450464.3</v>
      </c>
      <c r="S110" s="535">
        <v>4686.03</v>
      </c>
      <c r="T110" s="498">
        <f t="shared" si="7"/>
        <v>12217496.630000001</v>
      </c>
      <c r="U110" s="239">
        <v>-15901.99</v>
      </c>
      <c r="V110" s="243"/>
      <c r="W110" s="243">
        <v>-2588.84</v>
      </c>
      <c r="X110" s="540">
        <v>59</v>
      </c>
      <c r="Y110" s="543">
        <v>1</v>
      </c>
      <c r="Z110" s="215">
        <v>1460</v>
      </c>
      <c r="AA110" s="268"/>
      <c r="AB110" s="237">
        <v>61550</v>
      </c>
      <c r="AC110" s="443">
        <f>AB110/VPI!R110</f>
        <v>0.32100361351711215</v>
      </c>
      <c r="AD110" s="445">
        <f t="shared" si="8"/>
        <v>387555</v>
      </c>
      <c r="AE110" s="443">
        <f>AD110/VPI!R110</f>
        <v>2.0212275456803317</v>
      </c>
      <c r="AF110" s="237">
        <v>449105</v>
      </c>
      <c r="AG110" s="237">
        <v>114504</v>
      </c>
      <c r="AH110" s="237">
        <v>42961</v>
      </c>
      <c r="AI110" s="271"/>
      <c r="AJ110" s="8">
        <v>0</v>
      </c>
      <c r="AK110" s="443">
        <f>AJ110/VPI!R110</f>
        <v>0</v>
      </c>
      <c r="AL110" s="445">
        <f t="shared" si="9"/>
        <v>19792</v>
      </c>
      <c r="AM110" s="443">
        <f>AL110/VPI!R110</f>
        <v>0.10322182808660738</v>
      </c>
      <c r="AN110" s="8">
        <v>19792</v>
      </c>
      <c r="AO110" s="271"/>
      <c r="AP110" s="529">
        <v>50.710019657892396</v>
      </c>
      <c r="AR110" s="546">
        <v>0</v>
      </c>
      <c r="AT110" s="239">
        <f t="shared" si="10"/>
        <v>11326605.800000001</v>
      </c>
      <c r="AU110" s="5">
        <f t="shared" si="11"/>
        <v>0</v>
      </c>
    </row>
    <row r="111" spans="1:47" x14ac:dyDescent="0.25">
      <c r="A111" s="192">
        <v>5586</v>
      </c>
      <c r="B111" s="447" t="s">
        <v>108</v>
      </c>
      <c r="C111" s="535">
        <v>308573433.68000001</v>
      </c>
      <c r="D111" s="535">
        <v>49706320.859999999</v>
      </c>
      <c r="E111" s="535"/>
      <c r="F111" s="536"/>
      <c r="G111" s="535">
        <v>74430166.900000006</v>
      </c>
      <c r="H111" s="535">
        <v>7754175.8499999996</v>
      </c>
      <c r="I111" s="535">
        <v>6608887.4400000004</v>
      </c>
      <c r="J111" s="535">
        <v>20383530.43</v>
      </c>
      <c r="K111" s="535">
        <v>6198102.4000000004</v>
      </c>
      <c r="L111" s="535">
        <v>45109690.149999999</v>
      </c>
      <c r="M111" s="498">
        <f t="shared" si="6"/>
        <v>518764307.71000004</v>
      </c>
      <c r="N111" s="243">
        <v>13203708.65</v>
      </c>
      <c r="O111" s="243">
        <f>22230070.3-7000000</f>
        <v>15230070.300000001</v>
      </c>
      <c r="P111" s="243">
        <v>13693939.9</v>
      </c>
      <c r="Q111" s="243">
        <v>2236041.6</v>
      </c>
      <c r="R111" s="243">
        <v>12379655.1</v>
      </c>
      <c r="S111" s="535">
        <v>9026440.4000000004</v>
      </c>
      <c r="T111" s="498">
        <f t="shared" si="7"/>
        <v>584534163.65999997</v>
      </c>
      <c r="U111" s="239">
        <v>-7446520.7599999998</v>
      </c>
      <c r="V111" s="243"/>
      <c r="W111" s="243">
        <v>-598538.9</v>
      </c>
      <c r="X111" s="540">
        <v>78.5</v>
      </c>
      <c r="Y111" s="543">
        <v>1.5</v>
      </c>
      <c r="Z111" s="215">
        <v>140824</v>
      </c>
      <c r="AA111" s="268"/>
      <c r="AB111" s="237">
        <v>2662652</v>
      </c>
      <c r="AC111" s="443">
        <f>AB111/VPI!R111</f>
        <v>0.41230925106627242</v>
      </c>
      <c r="AD111" s="445">
        <f t="shared" si="8"/>
        <v>48819313</v>
      </c>
      <c r="AE111" s="443">
        <f>AD111/VPI!R111</f>
        <v>7.5596264102856612</v>
      </c>
      <c r="AF111" s="237">
        <v>51481965</v>
      </c>
      <c r="AG111" s="237">
        <v>63875282</v>
      </c>
      <c r="AH111" s="237">
        <v>2401604</v>
      </c>
      <c r="AI111" s="271"/>
      <c r="AJ111" s="8">
        <v>0</v>
      </c>
      <c r="AK111" s="443">
        <f>AJ111/VPI!R111</f>
        <v>0</v>
      </c>
      <c r="AL111" s="445">
        <f t="shared" si="9"/>
        <v>2343614</v>
      </c>
      <c r="AM111" s="443">
        <f>AL111/VPI!R111</f>
        <v>0.36290650566744392</v>
      </c>
      <c r="AN111" s="8">
        <v>2343614</v>
      </c>
      <c r="AO111" s="271"/>
      <c r="AP111" s="529">
        <v>13.263325779319869</v>
      </c>
      <c r="AR111" s="546">
        <v>1</v>
      </c>
      <c r="AT111" s="239">
        <f t="shared" si="10"/>
        <v>518764307.71000004</v>
      </c>
      <c r="AU111" s="5">
        <f t="shared" si="11"/>
        <v>0</v>
      </c>
    </row>
    <row r="112" spans="1:47" x14ac:dyDescent="0.25">
      <c r="A112" s="192">
        <v>5587</v>
      </c>
      <c r="B112" s="447" t="s">
        <v>109</v>
      </c>
      <c r="C112" s="535">
        <v>25502659.009999998</v>
      </c>
      <c r="D112" s="535">
        <v>3787801.95</v>
      </c>
      <c r="E112" s="535"/>
      <c r="F112" s="536"/>
      <c r="G112" s="535">
        <v>2477591</v>
      </c>
      <c r="H112" s="535">
        <v>644504.75</v>
      </c>
      <c r="I112" s="535">
        <v>278338.5</v>
      </c>
      <c r="J112" s="535">
        <v>552894.36</v>
      </c>
      <c r="K112" s="535">
        <v>369721.85</v>
      </c>
      <c r="L112" s="535">
        <v>3239027.8</v>
      </c>
      <c r="M112" s="498">
        <f t="shared" si="6"/>
        <v>36852539.219999991</v>
      </c>
      <c r="N112" s="243">
        <v>766350.2</v>
      </c>
      <c r="O112" s="243">
        <v>495075.8</v>
      </c>
      <c r="P112" s="243">
        <v>2138196.2999999998</v>
      </c>
      <c r="Q112" s="243">
        <v>49691.75</v>
      </c>
      <c r="R112" s="243">
        <v>2298626.15</v>
      </c>
      <c r="S112" s="535">
        <v>342904.87</v>
      </c>
      <c r="T112" s="498">
        <f t="shared" si="7"/>
        <v>42943384.289999984</v>
      </c>
      <c r="U112" s="239">
        <v>-292181.78000000003</v>
      </c>
      <c r="V112" s="243"/>
      <c r="W112" s="243">
        <v>-37059.47</v>
      </c>
      <c r="X112" s="540">
        <v>73.5</v>
      </c>
      <c r="Y112" s="543">
        <v>1.2</v>
      </c>
      <c r="Z112" s="215">
        <v>9217</v>
      </c>
      <c r="AA112" s="268"/>
      <c r="AB112" s="237">
        <v>577507</v>
      </c>
      <c r="AC112" s="443">
        <f>AB112/VPI!R112</f>
        <v>1.1668874650028069</v>
      </c>
      <c r="AD112" s="445">
        <f t="shared" si="8"/>
        <v>2982040</v>
      </c>
      <c r="AE112" s="443">
        <f>AD112/VPI!R112</f>
        <v>6.0253903348997859</v>
      </c>
      <c r="AF112" s="237">
        <v>3559547</v>
      </c>
      <c r="AG112" s="237">
        <v>2773903</v>
      </c>
      <c r="AH112" s="237">
        <v>760719</v>
      </c>
      <c r="AI112" s="271"/>
      <c r="AJ112" s="8">
        <v>0</v>
      </c>
      <c r="AK112" s="443">
        <f>AJ112/VPI!R112</f>
        <v>0</v>
      </c>
      <c r="AL112" s="445">
        <f t="shared" si="9"/>
        <v>75176</v>
      </c>
      <c r="AM112" s="443">
        <f>AL112/VPI!R112</f>
        <v>0.15189760828708745</v>
      </c>
      <c r="AN112" s="8">
        <v>75176</v>
      </c>
      <c r="AO112" s="271"/>
      <c r="AP112" s="529">
        <v>28.641076089242805</v>
      </c>
      <c r="AR112" s="546">
        <v>0</v>
      </c>
      <c r="AT112" s="239">
        <f t="shared" si="10"/>
        <v>36852539.219999991</v>
      </c>
      <c r="AU112" s="5">
        <f t="shared" si="11"/>
        <v>0</v>
      </c>
    </row>
    <row r="113" spans="1:47" x14ac:dyDescent="0.25">
      <c r="A113" s="192">
        <v>5588</v>
      </c>
      <c r="B113" s="447" t="s">
        <v>110</v>
      </c>
      <c r="C113" s="535">
        <f>9986602.81-5000000</f>
        <v>4986602.8100000005</v>
      </c>
      <c r="D113" s="535">
        <v>1872069.07</v>
      </c>
      <c r="E113" s="535"/>
      <c r="F113" s="536"/>
      <c r="G113" s="535">
        <v>466921.9</v>
      </c>
      <c r="H113" s="535">
        <v>357800.35</v>
      </c>
      <c r="I113" s="535">
        <v>649215.15</v>
      </c>
      <c r="J113" s="535">
        <v>391193.39</v>
      </c>
      <c r="K113" s="535">
        <v>39501.050000000003</v>
      </c>
      <c r="L113" s="535">
        <v>395319.65</v>
      </c>
      <c r="M113" s="498">
        <f t="shared" si="6"/>
        <v>9158623.3700000029</v>
      </c>
      <c r="N113" s="243">
        <v>24260.799999999999</v>
      </c>
      <c r="O113" s="243">
        <v>15108.4</v>
      </c>
      <c r="P113" s="243">
        <v>205920</v>
      </c>
      <c r="Q113" s="243">
        <v>2535</v>
      </c>
      <c r="R113" s="243">
        <v>153893.79999999999</v>
      </c>
      <c r="S113" s="535">
        <v>90580.59</v>
      </c>
      <c r="T113" s="498">
        <f t="shared" si="7"/>
        <v>9650921.9600000046</v>
      </c>
      <c r="U113" s="239">
        <v>-30681.040000000001</v>
      </c>
      <c r="V113" s="243"/>
      <c r="W113" s="243">
        <v>-45516.02</v>
      </c>
      <c r="X113" s="540">
        <v>66.5</v>
      </c>
      <c r="Y113" s="543">
        <v>0.7</v>
      </c>
      <c r="Z113" s="215">
        <v>1545</v>
      </c>
      <c r="AA113" s="268"/>
      <c r="AB113" s="237">
        <v>113071</v>
      </c>
      <c r="AC113" s="443">
        <f>AB113/VPI!R113</f>
        <v>0.80462814104749558</v>
      </c>
      <c r="AD113" s="445">
        <f t="shared" si="8"/>
        <v>157059</v>
      </c>
      <c r="AE113" s="443">
        <f>AD113/VPI!R113</f>
        <v>1.1176525475566557</v>
      </c>
      <c r="AF113" s="237">
        <v>270130</v>
      </c>
      <c r="AG113" s="237">
        <v>574665</v>
      </c>
      <c r="AH113" s="237">
        <v>29469</v>
      </c>
      <c r="AI113" s="271"/>
      <c r="AJ113" s="8">
        <v>0</v>
      </c>
      <c r="AK113" s="443">
        <f>AJ113/VPI!R113</f>
        <v>0</v>
      </c>
      <c r="AL113" s="445">
        <f t="shared" si="9"/>
        <v>0</v>
      </c>
      <c r="AM113" s="443">
        <f>AL113/VPI!R113</f>
        <v>0</v>
      </c>
      <c r="AN113" s="8">
        <v>0</v>
      </c>
      <c r="AO113" s="271"/>
      <c r="AP113" s="529">
        <v>43.67601796550651</v>
      </c>
      <c r="AR113" s="546">
        <v>1</v>
      </c>
      <c r="AT113" s="239">
        <f t="shared" si="10"/>
        <v>9158623.3700000029</v>
      </c>
      <c r="AU113" s="5">
        <f t="shared" si="11"/>
        <v>0</v>
      </c>
    </row>
    <row r="114" spans="1:47" x14ac:dyDescent="0.25">
      <c r="A114" s="192">
        <v>5589</v>
      </c>
      <c r="B114" s="447" t="s">
        <v>111</v>
      </c>
      <c r="C114" s="535">
        <v>19348751.989999998</v>
      </c>
      <c r="D114" s="535">
        <v>2404167.6800000002</v>
      </c>
      <c r="E114" s="535"/>
      <c r="F114" s="536"/>
      <c r="G114" s="535">
        <v>4175156.85</v>
      </c>
      <c r="H114" s="535">
        <v>309626.65000000002</v>
      </c>
      <c r="I114" s="535">
        <v>58264.7</v>
      </c>
      <c r="J114" s="535">
        <v>1230431.6399999999</v>
      </c>
      <c r="K114" s="535">
        <v>520616.25</v>
      </c>
      <c r="L114" s="535">
        <v>2946460.05</v>
      </c>
      <c r="M114" s="498">
        <f t="shared" si="6"/>
        <v>30993475.809999999</v>
      </c>
      <c r="N114" s="243">
        <v>1267619.8999999999</v>
      </c>
      <c r="O114" s="243">
        <v>204544.1</v>
      </c>
      <c r="P114" s="243">
        <v>1178246.7</v>
      </c>
      <c r="Q114" s="243">
        <v>118142.6</v>
      </c>
      <c r="R114" s="243">
        <v>1156634.1000000001</v>
      </c>
      <c r="S114" s="535">
        <v>492571.08</v>
      </c>
      <c r="T114" s="498">
        <f t="shared" si="7"/>
        <v>35411234.289999999</v>
      </c>
      <c r="U114" s="239">
        <v>-426252.15</v>
      </c>
      <c r="V114" s="243"/>
      <c r="W114" s="243">
        <v>-96008.36</v>
      </c>
      <c r="X114" s="540">
        <v>72.5</v>
      </c>
      <c r="Y114" s="543">
        <v>1.3</v>
      </c>
      <c r="Z114" s="215">
        <v>12341</v>
      </c>
      <c r="AA114" s="268"/>
      <c r="AB114" s="237">
        <v>1062103</v>
      </c>
      <c r="AC114" s="443">
        <f>AB114/VPI!R114</f>
        <v>2.5328112168234154</v>
      </c>
      <c r="AD114" s="445">
        <f t="shared" si="8"/>
        <v>2322916</v>
      </c>
      <c r="AE114" s="443">
        <f>AD114/VPI!R114</f>
        <v>5.5394888259788182</v>
      </c>
      <c r="AF114" s="237">
        <v>3385019</v>
      </c>
      <c r="AG114" s="237">
        <v>4223301</v>
      </c>
      <c r="AH114" s="237">
        <v>166192</v>
      </c>
      <c r="AI114" s="271"/>
      <c r="AJ114" s="8">
        <v>0</v>
      </c>
      <c r="AK114" s="443">
        <f>AJ114/VPI!R114</f>
        <v>0</v>
      </c>
      <c r="AL114" s="445">
        <f t="shared" si="9"/>
        <v>27347</v>
      </c>
      <c r="AM114" s="443">
        <f>AL114/VPI!R114</f>
        <v>6.5214756333867752E-2</v>
      </c>
      <c r="AN114" s="8">
        <v>27347</v>
      </c>
      <c r="AO114" s="271"/>
      <c r="AP114" s="529">
        <v>15.508276687923184</v>
      </c>
      <c r="AR114" s="546">
        <v>1</v>
      </c>
      <c r="AT114" s="239">
        <f t="shared" si="10"/>
        <v>30993475.809999999</v>
      </c>
      <c r="AU114" s="5">
        <f t="shared" si="11"/>
        <v>0</v>
      </c>
    </row>
    <row r="115" spans="1:47" x14ac:dyDescent="0.25">
      <c r="A115" s="192">
        <v>5590</v>
      </c>
      <c r="B115" s="447" t="s">
        <v>112</v>
      </c>
      <c r="C115" s="535">
        <v>56722211.979999997</v>
      </c>
      <c r="D115" s="535">
        <v>17928881.050000001</v>
      </c>
      <c r="E115" s="535"/>
      <c r="F115" s="536"/>
      <c r="G115" s="535">
        <v>12595848.35</v>
      </c>
      <c r="H115" s="535">
        <v>1793413.8</v>
      </c>
      <c r="I115" s="535">
        <v>2088944.34</v>
      </c>
      <c r="J115" s="535">
        <v>899998.49</v>
      </c>
      <c r="K115" s="535">
        <v>443570.25</v>
      </c>
      <c r="L115" s="535">
        <v>3727357.05</v>
      </c>
      <c r="M115" s="498">
        <f t="shared" si="6"/>
        <v>96200225.309999987</v>
      </c>
      <c r="N115" s="243">
        <v>176020.55</v>
      </c>
      <c r="O115" s="243">
        <v>2095407.6</v>
      </c>
      <c r="P115" s="243">
        <v>4347950.2</v>
      </c>
      <c r="Q115" s="243">
        <v>154132.1</v>
      </c>
      <c r="R115" s="243">
        <v>3076179.35</v>
      </c>
      <c r="S115" s="535">
        <v>1580396.12</v>
      </c>
      <c r="T115" s="498">
        <f t="shared" si="7"/>
        <v>107630311.22999997</v>
      </c>
      <c r="U115" s="239">
        <v>-686682.37</v>
      </c>
      <c r="V115" s="243"/>
      <c r="W115" s="243">
        <v>-1109983.06</v>
      </c>
      <c r="X115" s="540">
        <v>61</v>
      </c>
      <c r="Y115" s="543">
        <v>0.7</v>
      </c>
      <c r="Z115" s="215">
        <v>18946</v>
      </c>
      <c r="AA115" s="268"/>
      <c r="AB115" s="237">
        <v>2034753</v>
      </c>
      <c r="AC115" s="443">
        <f>AB115/VPI!R115</f>
        <v>1.2699571692966454</v>
      </c>
      <c r="AD115" s="445">
        <f t="shared" si="8"/>
        <v>4142102</v>
      </c>
      <c r="AE115" s="443">
        <f>AD115/VPI!R115</f>
        <v>2.5852239219492357</v>
      </c>
      <c r="AF115" s="237">
        <v>6176855</v>
      </c>
      <c r="AG115" s="237">
        <v>9602645</v>
      </c>
      <c r="AH115" s="237">
        <v>360352</v>
      </c>
      <c r="AI115" s="271"/>
      <c r="AJ115" s="8">
        <v>25680</v>
      </c>
      <c r="AK115" s="443">
        <f>AJ115/VPI!R115</f>
        <v>1.6027743960833504E-2</v>
      </c>
      <c r="AL115" s="445">
        <f t="shared" si="9"/>
        <v>499713</v>
      </c>
      <c r="AM115" s="443">
        <f>AL115/VPI!R115</f>
        <v>0.31188753963785015</v>
      </c>
      <c r="AN115" s="8">
        <v>525393</v>
      </c>
      <c r="AO115" s="271"/>
      <c r="AP115" s="529">
        <v>35.294446812893206</v>
      </c>
      <c r="AR115" s="546">
        <v>1</v>
      </c>
      <c r="AT115" s="239">
        <f t="shared" si="10"/>
        <v>96200225.309999987</v>
      </c>
      <c r="AU115" s="5">
        <f t="shared" si="11"/>
        <v>0</v>
      </c>
    </row>
    <row r="116" spans="1:47" x14ac:dyDescent="0.25">
      <c r="A116" s="192">
        <v>5591</v>
      </c>
      <c r="B116" s="447" t="s">
        <v>324</v>
      </c>
      <c r="C116" s="535">
        <v>29125693.670000002</v>
      </c>
      <c r="D116" s="535">
        <v>3146691.6</v>
      </c>
      <c r="E116" s="535"/>
      <c r="F116" s="536"/>
      <c r="G116" s="535">
        <v>4821403.3499999996</v>
      </c>
      <c r="H116" s="535">
        <v>442964.95</v>
      </c>
      <c r="I116" s="535"/>
      <c r="J116" s="535">
        <v>2166767.0299999998</v>
      </c>
      <c r="K116" s="535">
        <v>808812.05</v>
      </c>
      <c r="L116" s="535">
        <v>5163146.3499999996</v>
      </c>
      <c r="M116" s="498">
        <f t="shared" si="6"/>
        <v>45675479.000000007</v>
      </c>
      <c r="N116" s="243">
        <v>2185480.2999999998</v>
      </c>
      <c r="O116" s="243">
        <v>1122802</v>
      </c>
      <c r="P116" s="243">
        <v>1814775.2</v>
      </c>
      <c r="Q116" s="243">
        <v>342466.65</v>
      </c>
      <c r="R116" s="243">
        <v>1995224.9</v>
      </c>
      <c r="S116" s="535">
        <v>578194.15</v>
      </c>
      <c r="T116" s="498">
        <f t="shared" si="7"/>
        <v>53714422.200000003</v>
      </c>
      <c r="U116" s="239">
        <v>-1255483.56</v>
      </c>
      <c r="V116" s="243"/>
      <c r="W116" s="243">
        <v>-10126.68</v>
      </c>
      <c r="X116" s="540">
        <v>77</v>
      </c>
      <c r="Y116" s="543">
        <v>1.4</v>
      </c>
      <c r="Z116" s="215">
        <v>20917</v>
      </c>
      <c r="AA116" s="268"/>
      <c r="AB116" s="237">
        <v>833079</v>
      </c>
      <c r="AC116" s="443">
        <f>AB116/VPI!R116</f>
        <v>1.4626970364270591</v>
      </c>
      <c r="AD116" s="445">
        <f t="shared" si="8"/>
        <v>3347979</v>
      </c>
      <c r="AE116" s="443">
        <f>AD116/VPI!R116</f>
        <v>5.8782888073280315</v>
      </c>
      <c r="AF116" s="237">
        <v>4181058</v>
      </c>
      <c r="AG116" s="237">
        <v>9571098</v>
      </c>
      <c r="AH116" s="237">
        <v>179484</v>
      </c>
      <c r="AI116" s="271"/>
      <c r="AJ116" s="8">
        <v>0</v>
      </c>
      <c r="AK116" s="443">
        <f>AJ116/VPI!R116</f>
        <v>0</v>
      </c>
      <c r="AL116" s="445">
        <f t="shared" si="9"/>
        <v>8366</v>
      </c>
      <c r="AM116" s="443">
        <f>AL116/VPI!R116</f>
        <v>1.4688791107144432E-2</v>
      </c>
      <c r="AN116" s="8">
        <v>8366</v>
      </c>
      <c r="AO116" s="271"/>
      <c r="AP116" s="529">
        <v>-2.5991715403116742</v>
      </c>
      <c r="AR116" s="546">
        <v>1</v>
      </c>
      <c r="AT116" s="239">
        <f t="shared" si="10"/>
        <v>45675479.000000007</v>
      </c>
      <c r="AU116" s="5">
        <f t="shared" si="11"/>
        <v>0</v>
      </c>
    </row>
    <row r="117" spans="1:47" x14ac:dyDescent="0.25">
      <c r="A117" s="192">
        <v>5592</v>
      </c>
      <c r="B117" s="447" t="s">
        <v>191</v>
      </c>
      <c r="C117" s="535">
        <v>6080173.3099999996</v>
      </c>
      <c r="D117" s="535">
        <v>832193.86</v>
      </c>
      <c r="E117" s="535"/>
      <c r="F117" s="536"/>
      <c r="G117" s="535">
        <v>520391.15</v>
      </c>
      <c r="H117" s="535">
        <v>53086.9</v>
      </c>
      <c r="I117" s="535">
        <v>49520.55</v>
      </c>
      <c r="J117" s="535">
        <v>193586.8</v>
      </c>
      <c r="K117" s="535">
        <v>68343.199999999997</v>
      </c>
      <c r="L117" s="535">
        <v>903646.15</v>
      </c>
      <c r="M117" s="498">
        <f t="shared" si="6"/>
        <v>8700941.9199999999</v>
      </c>
      <c r="N117" s="243">
        <v>243903.85</v>
      </c>
      <c r="O117" s="243">
        <v>608500</v>
      </c>
      <c r="P117" s="243">
        <v>657763.5</v>
      </c>
      <c r="Q117" s="243">
        <v>51183.95</v>
      </c>
      <c r="R117" s="243">
        <v>322052.90000000002</v>
      </c>
      <c r="S117" s="535">
        <v>62986.03</v>
      </c>
      <c r="T117" s="498">
        <f t="shared" si="7"/>
        <v>10647332.149999999</v>
      </c>
      <c r="U117" s="239">
        <v>-98222.399999999994</v>
      </c>
      <c r="V117" s="243"/>
      <c r="W117" s="243">
        <v>-1524.84</v>
      </c>
      <c r="X117" s="540">
        <v>70.5</v>
      </c>
      <c r="Y117" s="543">
        <v>1.25</v>
      </c>
      <c r="Z117" s="215">
        <v>3482</v>
      </c>
      <c r="AA117" s="268"/>
      <c r="AB117" s="237">
        <v>147468</v>
      </c>
      <c r="AC117" s="443">
        <f>AB117/VPI!R117</f>
        <v>1.2181532632847329</v>
      </c>
      <c r="AD117" s="445">
        <f t="shared" si="8"/>
        <v>864865</v>
      </c>
      <c r="AE117" s="443">
        <f>AD117/VPI!R117</f>
        <v>7.1441812600072598</v>
      </c>
      <c r="AF117" s="237">
        <v>1012333</v>
      </c>
      <c r="AG117" s="237">
        <v>263496</v>
      </c>
      <c r="AH117" s="237">
        <v>25338</v>
      </c>
      <c r="AI117" s="271"/>
      <c r="AJ117" s="8">
        <v>0</v>
      </c>
      <c r="AK117" s="443">
        <f>AJ117/VPI!R117</f>
        <v>0</v>
      </c>
      <c r="AL117" s="445">
        <f t="shared" si="9"/>
        <v>9298</v>
      </c>
      <c r="AM117" s="443">
        <f>AL117/VPI!R117</f>
        <v>7.6805741191454738E-2</v>
      </c>
      <c r="AN117" s="8">
        <v>9298</v>
      </c>
      <c r="AO117" s="271"/>
      <c r="AP117" s="529">
        <v>23.517364319481594</v>
      </c>
      <c r="AR117" s="546">
        <v>0</v>
      </c>
      <c r="AT117" s="239">
        <f t="shared" si="10"/>
        <v>8700941.9199999999</v>
      </c>
      <c r="AU117" s="5">
        <f t="shared" si="11"/>
        <v>0</v>
      </c>
    </row>
    <row r="118" spans="1:47" x14ac:dyDescent="0.25">
      <c r="A118" s="192">
        <v>5601</v>
      </c>
      <c r="B118" s="447" t="s">
        <v>253</v>
      </c>
      <c r="C118" s="535">
        <v>5352657.8</v>
      </c>
      <c r="D118" s="535">
        <v>1008491.7</v>
      </c>
      <c r="E118" s="535"/>
      <c r="F118" s="536"/>
      <c r="G118" s="535">
        <v>159632.85</v>
      </c>
      <c r="H118" s="535">
        <v>10912.6</v>
      </c>
      <c r="I118" s="535">
        <v>30402.67</v>
      </c>
      <c r="J118" s="535">
        <v>76507.83</v>
      </c>
      <c r="K118" s="535">
        <v>25888.799999999999</v>
      </c>
      <c r="L118" s="535">
        <v>490995.9</v>
      </c>
      <c r="M118" s="498">
        <f t="shared" si="6"/>
        <v>7155490.1499999994</v>
      </c>
      <c r="N118" s="243">
        <v>52235.25</v>
      </c>
      <c r="O118" s="243">
        <v>73217</v>
      </c>
      <c r="P118" s="243">
        <v>219762.2</v>
      </c>
      <c r="Q118" s="243">
        <v>20962.3</v>
      </c>
      <c r="R118" s="243">
        <v>241082.4</v>
      </c>
      <c r="S118" s="535">
        <v>18731.28</v>
      </c>
      <c r="T118" s="498">
        <f t="shared" si="7"/>
        <v>7781480.5800000001</v>
      </c>
      <c r="U118" s="239">
        <v>-37059.879999999997</v>
      </c>
      <c r="V118" s="243"/>
      <c r="W118" s="243">
        <v>-5527.33</v>
      </c>
      <c r="X118" s="540">
        <v>67.5</v>
      </c>
      <c r="Y118" s="543">
        <v>1</v>
      </c>
      <c r="Z118" s="215">
        <v>2229</v>
      </c>
      <c r="AA118" s="268"/>
      <c r="AB118" s="237">
        <v>222990</v>
      </c>
      <c r="AC118" s="443">
        <f>AB118/VPI!R118</f>
        <v>2.1043861425584787</v>
      </c>
      <c r="AD118" s="445">
        <f t="shared" si="8"/>
        <v>506436</v>
      </c>
      <c r="AE118" s="443">
        <f>AD118/VPI!R118</f>
        <v>4.7793035584230044</v>
      </c>
      <c r="AF118" s="237">
        <v>729426</v>
      </c>
      <c r="AG118" s="237">
        <v>196304</v>
      </c>
      <c r="AH118" s="237">
        <v>305042</v>
      </c>
      <c r="AI118" s="271"/>
      <c r="AJ118" s="8">
        <v>0</v>
      </c>
      <c r="AK118" s="443">
        <f>AJ118/VPI!R118</f>
        <v>0</v>
      </c>
      <c r="AL118" s="445">
        <f t="shared" si="9"/>
        <v>40241</v>
      </c>
      <c r="AM118" s="443">
        <f>AL118/VPI!R118</f>
        <v>0.37975964286602876</v>
      </c>
      <c r="AN118" s="8">
        <v>40241</v>
      </c>
      <c r="AO118" s="271"/>
      <c r="AP118" s="529">
        <v>35.606356765719347</v>
      </c>
      <c r="AR118" s="546">
        <v>1</v>
      </c>
      <c r="AT118" s="239">
        <f t="shared" si="10"/>
        <v>7155490.1499999994</v>
      </c>
      <c r="AU118" s="5">
        <f t="shared" si="11"/>
        <v>0</v>
      </c>
    </row>
    <row r="119" spans="1:47" x14ac:dyDescent="0.25">
      <c r="A119" s="192">
        <v>5604</v>
      </c>
      <c r="B119" s="447" t="s">
        <v>128</v>
      </c>
      <c r="C119" s="535">
        <v>3868871.2</v>
      </c>
      <c r="D119" s="535">
        <v>574385.05000000005</v>
      </c>
      <c r="E119" s="535"/>
      <c r="F119" s="536"/>
      <c r="G119" s="535">
        <v>219731.75</v>
      </c>
      <c r="H119" s="535">
        <v>27190.55</v>
      </c>
      <c r="I119" s="535"/>
      <c r="J119" s="535">
        <v>82763.87</v>
      </c>
      <c r="K119" s="535">
        <v>29910.35</v>
      </c>
      <c r="L119" s="535">
        <v>414729.65</v>
      </c>
      <c r="M119" s="498">
        <f t="shared" si="6"/>
        <v>5217582.42</v>
      </c>
      <c r="N119" s="243">
        <v>112458.65</v>
      </c>
      <c r="O119" s="243">
        <v>1253.8</v>
      </c>
      <c r="P119" s="243">
        <v>241497.8</v>
      </c>
      <c r="Q119" s="243">
        <v>30434.84</v>
      </c>
      <c r="R119" s="243">
        <v>140152.4</v>
      </c>
      <c r="S119" s="535">
        <v>27119.88</v>
      </c>
      <c r="T119" s="498">
        <f t="shared" si="7"/>
        <v>5770499.79</v>
      </c>
      <c r="U119" s="239">
        <v>-40994.79</v>
      </c>
      <c r="V119" s="243"/>
      <c r="W119" s="243">
        <v>-3483.99</v>
      </c>
      <c r="X119" s="540">
        <v>69</v>
      </c>
      <c r="Y119" s="543">
        <v>1</v>
      </c>
      <c r="Z119" s="215">
        <v>2110</v>
      </c>
      <c r="AA119" s="268"/>
      <c r="AB119" s="237">
        <v>103833</v>
      </c>
      <c r="AC119" s="443">
        <f>AB119/VPI!R119</f>
        <v>1.3697084586499357</v>
      </c>
      <c r="AD119" s="445">
        <f t="shared" si="8"/>
        <v>542353</v>
      </c>
      <c r="AE119" s="443">
        <f>AD119/VPI!R119</f>
        <v>7.1544257767200072</v>
      </c>
      <c r="AF119" s="237">
        <v>646186</v>
      </c>
      <c r="AG119" s="237">
        <v>102493</v>
      </c>
      <c r="AH119" s="237">
        <v>308631</v>
      </c>
      <c r="AI119" s="271"/>
      <c r="AJ119" s="8">
        <v>0</v>
      </c>
      <c r="AK119" s="443">
        <f>AJ119/VPI!R119</f>
        <v>0</v>
      </c>
      <c r="AL119" s="445">
        <f t="shared" si="9"/>
        <v>36654</v>
      </c>
      <c r="AM119" s="443">
        <f>AL119/VPI!R119</f>
        <v>0.48351963097815476</v>
      </c>
      <c r="AN119" s="8">
        <v>36654</v>
      </c>
      <c r="AO119" s="271"/>
      <c r="AP119" s="529">
        <v>22.365358385863257</v>
      </c>
      <c r="AR119" s="546">
        <v>0</v>
      </c>
      <c r="AT119" s="239">
        <f t="shared" si="10"/>
        <v>5217582.42</v>
      </c>
      <c r="AU119" s="5">
        <f t="shared" si="11"/>
        <v>0</v>
      </c>
    </row>
    <row r="120" spans="1:47" x14ac:dyDescent="0.25">
      <c r="A120" s="192">
        <v>5606</v>
      </c>
      <c r="B120" s="447" t="s">
        <v>129</v>
      </c>
      <c r="C120" s="535">
        <v>32849394.789999999</v>
      </c>
      <c r="D120" s="535">
        <v>8495704.0800000001</v>
      </c>
      <c r="E120" s="535"/>
      <c r="F120" s="536"/>
      <c r="G120" s="535">
        <f>4087785.05+1000000</f>
        <v>5087785.05</v>
      </c>
      <c r="H120" s="535">
        <v>149369.60000000001</v>
      </c>
      <c r="I120" s="535">
        <v>1236629.21</v>
      </c>
      <c r="J120" s="535">
        <v>547446.17000000004</v>
      </c>
      <c r="K120" s="535">
        <v>35287.949999999997</v>
      </c>
      <c r="L120" s="535">
        <v>2337138.85</v>
      </c>
      <c r="M120" s="498">
        <f t="shared" si="6"/>
        <v>50738755.700000003</v>
      </c>
      <c r="N120" s="243">
        <v>86204.6</v>
      </c>
      <c r="O120" s="243">
        <f>7043997.3-4500000</f>
        <v>2543997.2999999998</v>
      </c>
      <c r="P120" s="243">
        <v>3582499.15</v>
      </c>
      <c r="Q120" s="243">
        <v>103618.92</v>
      </c>
      <c r="R120" s="243">
        <v>1350568.4</v>
      </c>
      <c r="S120" s="535">
        <v>465373.6</v>
      </c>
      <c r="T120" s="498">
        <f t="shared" si="7"/>
        <v>58871017.670000002</v>
      </c>
      <c r="U120" s="239">
        <v>-370372.63</v>
      </c>
      <c r="V120" s="243"/>
      <c r="W120" s="243">
        <v>-132133.51999999999</v>
      </c>
      <c r="X120" s="540">
        <v>54</v>
      </c>
      <c r="Y120" s="543">
        <v>0.7</v>
      </c>
      <c r="Z120" s="215">
        <v>10704</v>
      </c>
      <c r="AA120" s="268"/>
      <c r="AB120" s="237">
        <v>949581</v>
      </c>
      <c r="AC120" s="443">
        <f>AB120/VPI!R120</f>
        <v>0.98977936758206042</v>
      </c>
      <c r="AD120" s="445">
        <f t="shared" si="8"/>
        <v>3669255</v>
      </c>
      <c r="AE120" s="443">
        <f>AD120/VPI!R120</f>
        <v>3.8245846256373213</v>
      </c>
      <c r="AF120" s="237">
        <v>4618836</v>
      </c>
      <c r="AG120" s="237">
        <v>4111628</v>
      </c>
      <c r="AH120" s="237">
        <v>1683882</v>
      </c>
      <c r="AI120" s="271"/>
      <c r="AJ120" s="8">
        <v>0</v>
      </c>
      <c r="AK120" s="443">
        <f>AJ120/VPI!R120</f>
        <v>0</v>
      </c>
      <c r="AL120" s="445">
        <f t="shared" si="9"/>
        <v>349787</v>
      </c>
      <c r="AM120" s="443">
        <f>AL120/VPI!R120</f>
        <v>0.36459444286314296</v>
      </c>
      <c r="AN120" s="8">
        <v>349787</v>
      </c>
      <c r="AO120" s="271"/>
      <c r="AP120" s="529">
        <v>38.359394109181387</v>
      </c>
      <c r="AR120" s="546">
        <v>1</v>
      </c>
      <c r="AT120" s="239">
        <f t="shared" si="10"/>
        <v>50738755.700000003</v>
      </c>
      <c r="AU120" s="5">
        <f t="shared" si="11"/>
        <v>0</v>
      </c>
    </row>
    <row r="121" spans="1:47" x14ac:dyDescent="0.25">
      <c r="A121" s="192">
        <v>5607</v>
      </c>
      <c r="B121" s="447" t="s">
        <v>255</v>
      </c>
      <c r="C121" s="535">
        <v>4892135.21</v>
      </c>
      <c r="D121" s="535">
        <v>878066.7</v>
      </c>
      <c r="E121" s="535"/>
      <c r="F121" s="536"/>
      <c r="G121" s="535">
        <v>648297.6</v>
      </c>
      <c r="H121" s="535">
        <v>189965.85</v>
      </c>
      <c r="I121" s="535">
        <v>398.5</v>
      </c>
      <c r="J121" s="535">
        <v>170524.94</v>
      </c>
      <c r="K121" s="535">
        <v>113211.4</v>
      </c>
      <c r="L121" s="535">
        <v>809816.25</v>
      </c>
      <c r="M121" s="498">
        <f t="shared" si="6"/>
        <v>7702416.4500000002</v>
      </c>
      <c r="N121" s="243">
        <v>335399.25</v>
      </c>
      <c r="O121" s="243">
        <v>72171.3</v>
      </c>
      <c r="P121" s="243">
        <v>605599.94999999995</v>
      </c>
      <c r="Q121" s="243">
        <v>19247.150000000001</v>
      </c>
      <c r="R121" s="243">
        <v>237600.65</v>
      </c>
      <c r="S121" s="535">
        <v>92067.839999999997</v>
      </c>
      <c r="T121" s="498">
        <f t="shared" si="7"/>
        <v>9064502.5899999999</v>
      </c>
      <c r="U121" s="239">
        <v>-59486.57</v>
      </c>
      <c r="V121" s="243"/>
      <c r="W121" s="243">
        <v>-8236.2000000000007</v>
      </c>
      <c r="X121" s="540">
        <v>68.5</v>
      </c>
      <c r="Y121" s="543">
        <v>1.1499999999999999</v>
      </c>
      <c r="Z121" s="215">
        <v>2924</v>
      </c>
      <c r="AA121" s="268"/>
      <c r="AB121" s="237">
        <v>359261</v>
      </c>
      <c r="AC121" s="443">
        <f>AB121/VPI!R121</f>
        <v>3.2209624399773213</v>
      </c>
      <c r="AD121" s="445">
        <f t="shared" si="8"/>
        <v>1085075</v>
      </c>
      <c r="AE121" s="443">
        <f>AD121/VPI!R121</f>
        <v>9.7282639071827788</v>
      </c>
      <c r="AF121" s="237">
        <v>1444336</v>
      </c>
      <c r="AG121" s="237">
        <v>315473</v>
      </c>
      <c r="AH121" s="237">
        <v>425444</v>
      </c>
      <c r="AI121" s="271"/>
      <c r="AJ121" s="8">
        <v>0</v>
      </c>
      <c r="AK121" s="443">
        <f>AJ121/VPI!R121</f>
        <v>0</v>
      </c>
      <c r="AL121" s="445">
        <f t="shared" si="9"/>
        <v>14323</v>
      </c>
      <c r="AM121" s="443">
        <f>AL121/VPI!R121</f>
        <v>0.12841317323003382</v>
      </c>
      <c r="AN121" s="8">
        <v>14323</v>
      </c>
      <c r="AO121" s="271"/>
      <c r="AP121" s="529">
        <v>26.799429544103596</v>
      </c>
      <c r="AR121" s="546">
        <v>1</v>
      </c>
      <c r="AT121" s="239">
        <f t="shared" si="10"/>
        <v>7702416.4500000002</v>
      </c>
      <c r="AU121" s="5">
        <f t="shared" si="11"/>
        <v>0</v>
      </c>
    </row>
    <row r="122" spans="1:47" x14ac:dyDescent="0.25">
      <c r="A122" s="192">
        <v>5609</v>
      </c>
      <c r="B122" s="447" t="s">
        <v>114</v>
      </c>
      <c r="C122" s="535">
        <v>746766.54</v>
      </c>
      <c r="D122" s="535">
        <v>147199.85</v>
      </c>
      <c r="E122" s="535"/>
      <c r="F122" s="536"/>
      <c r="G122" s="535">
        <v>10495.4</v>
      </c>
      <c r="H122" s="535">
        <v>728.25</v>
      </c>
      <c r="I122" s="535"/>
      <c r="J122" s="535">
        <v>-48435.360000000001</v>
      </c>
      <c r="K122" s="535">
        <v>1050.4000000000001</v>
      </c>
      <c r="L122" s="535">
        <v>61893.65</v>
      </c>
      <c r="M122" s="498">
        <f t="shared" si="6"/>
        <v>919698.7300000001</v>
      </c>
      <c r="N122" s="243"/>
      <c r="O122" s="243"/>
      <c r="P122" s="243">
        <v>20130</v>
      </c>
      <c r="Q122" s="243">
        <v>2806.56</v>
      </c>
      <c r="R122" s="243">
        <v>17919.900000000001</v>
      </c>
      <c r="S122" s="535">
        <v>1232.72</v>
      </c>
      <c r="T122" s="498">
        <f t="shared" si="7"/>
        <v>961787.91000000015</v>
      </c>
      <c r="U122" s="239">
        <v>-101.79</v>
      </c>
      <c r="V122" s="243"/>
      <c r="W122" s="243">
        <v>-91.08</v>
      </c>
      <c r="X122" s="540">
        <v>62</v>
      </c>
      <c r="Y122" s="543">
        <v>1</v>
      </c>
      <c r="Z122" s="215">
        <v>331</v>
      </c>
      <c r="AA122" s="268"/>
      <c r="AB122" s="237">
        <v>0</v>
      </c>
      <c r="AC122" s="443">
        <f>AB122/VPI!R122</f>
        <v>0</v>
      </c>
      <c r="AD122" s="445">
        <f t="shared" si="8"/>
        <v>114082</v>
      </c>
      <c r="AE122" s="443">
        <f>AD122/VPI!R122</f>
        <v>7.6586229450571297</v>
      </c>
      <c r="AF122" s="237">
        <v>114082</v>
      </c>
      <c r="AG122" s="237">
        <v>36736</v>
      </c>
      <c r="AH122" s="237">
        <v>35575</v>
      </c>
      <c r="AI122" s="271"/>
      <c r="AJ122" s="8">
        <v>0</v>
      </c>
      <c r="AK122" s="443">
        <f>AJ122/VPI!R122</f>
        <v>0</v>
      </c>
      <c r="AL122" s="445">
        <f t="shared" si="9"/>
        <v>11729</v>
      </c>
      <c r="AM122" s="443">
        <f>AL122/VPI!R122</f>
        <v>0.78739843728699599</v>
      </c>
      <c r="AN122" s="8">
        <v>11729</v>
      </c>
      <c r="AO122" s="271"/>
      <c r="AP122" s="529">
        <v>33.567121309268174</v>
      </c>
      <c r="AR122" s="546">
        <v>1</v>
      </c>
      <c r="AT122" s="239">
        <f t="shared" si="10"/>
        <v>919698.7300000001</v>
      </c>
      <c r="AU122" s="5">
        <f t="shared" si="11"/>
        <v>0</v>
      </c>
    </row>
    <row r="123" spans="1:47" x14ac:dyDescent="0.25">
      <c r="A123" s="192">
        <v>5610</v>
      </c>
      <c r="B123" s="447" t="s">
        <v>115</v>
      </c>
      <c r="C123" s="535">
        <v>985564.92</v>
      </c>
      <c r="D123" s="535">
        <v>498504.82</v>
      </c>
      <c r="E123" s="535"/>
      <c r="F123" s="536"/>
      <c r="G123" s="535">
        <v>14611</v>
      </c>
      <c r="H123" s="535">
        <v>-823.35</v>
      </c>
      <c r="I123" s="535">
        <v>50486.1</v>
      </c>
      <c r="J123" s="535">
        <v>24275.42</v>
      </c>
      <c r="K123" s="535">
        <v>7110.45</v>
      </c>
      <c r="L123" s="535">
        <v>127993.65</v>
      </c>
      <c r="M123" s="498">
        <f t="shared" si="6"/>
        <v>1707723.0099999998</v>
      </c>
      <c r="N123" s="243"/>
      <c r="O123" s="243">
        <f>538286.75-530000</f>
        <v>8286.75</v>
      </c>
      <c r="P123" s="243">
        <f>31076.15+24000</f>
        <v>55076.15</v>
      </c>
      <c r="Q123" s="243">
        <v>2963.4</v>
      </c>
      <c r="R123" s="243">
        <f>10281.9+55000</f>
        <v>65281.9</v>
      </c>
      <c r="S123" s="535">
        <v>1514.32</v>
      </c>
      <c r="T123" s="498">
        <f t="shared" si="7"/>
        <v>1840845.5299999996</v>
      </c>
      <c r="U123" s="239">
        <v>-6313.85</v>
      </c>
      <c r="V123" s="243"/>
      <c r="W123" s="243">
        <v>3687.37</v>
      </c>
      <c r="X123" s="540">
        <v>72</v>
      </c>
      <c r="Y123" s="543">
        <v>1.2</v>
      </c>
      <c r="Z123" s="215">
        <v>396</v>
      </c>
      <c r="AA123" s="268"/>
      <c r="AB123" s="237">
        <v>29638</v>
      </c>
      <c r="AC123" s="443">
        <f>AB123/VPI!R123</f>
        <v>1.2639989003945955</v>
      </c>
      <c r="AD123" s="445">
        <f t="shared" si="8"/>
        <v>69354</v>
      </c>
      <c r="AE123" s="443">
        <f>AD123/VPI!R123</f>
        <v>2.957803486671394</v>
      </c>
      <c r="AF123" s="237">
        <v>98992</v>
      </c>
      <c r="AG123" s="237">
        <v>42296</v>
      </c>
      <c r="AH123" s="237">
        <v>51695</v>
      </c>
      <c r="AI123" s="271"/>
      <c r="AJ123" s="8">
        <v>0</v>
      </c>
      <c r="AK123" s="443">
        <f>AJ123/VPI!R123</f>
        <v>0</v>
      </c>
      <c r="AL123" s="445">
        <f t="shared" si="9"/>
        <v>6805</v>
      </c>
      <c r="AM123" s="443">
        <f>AL123/VPI!R123</f>
        <v>0.2902190605703901</v>
      </c>
      <c r="AN123" s="8">
        <v>6805</v>
      </c>
      <c r="AO123" s="271"/>
      <c r="AP123" s="529">
        <v>35.55217940079126</v>
      </c>
      <c r="AR123" s="546">
        <v>1</v>
      </c>
      <c r="AT123" s="239">
        <f t="shared" si="10"/>
        <v>1707723.0099999998</v>
      </c>
      <c r="AU123" s="5">
        <f t="shared" si="11"/>
        <v>0</v>
      </c>
    </row>
    <row r="124" spans="1:47" x14ac:dyDescent="0.25">
      <c r="A124" s="192">
        <v>5611</v>
      </c>
      <c r="B124" s="447" t="s">
        <v>252</v>
      </c>
      <c r="C124" s="535">
        <v>7197385.8099999996</v>
      </c>
      <c r="D124" s="535">
        <v>1162096.5</v>
      </c>
      <c r="E124" s="535"/>
      <c r="F124" s="536"/>
      <c r="G124" s="535">
        <v>405675.25</v>
      </c>
      <c r="H124" s="535">
        <v>24359.95</v>
      </c>
      <c r="I124" s="535">
        <v>133186.6</v>
      </c>
      <c r="J124" s="535">
        <v>137123.69</v>
      </c>
      <c r="K124" s="535">
        <v>11840.85</v>
      </c>
      <c r="L124" s="535">
        <v>813871.15</v>
      </c>
      <c r="M124" s="498">
        <f t="shared" si="6"/>
        <v>9885539.799999997</v>
      </c>
      <c r="N124" s="243">
        <v>118228.5</v>
      </c>
      <c r="O124" s="243">
        <v>125415.8</v>
      </c>
      <c r="P124" s="243">
        <v>371230.05</v>
      </c>
      <c r="Q124" s="243">
        <v>7310.04</v>
      </c>
      <c r="R124" s="243">
        <v>321922.34999999998</v>
      </c>
      <c r="S124" s="535">
        <v>47231.46</v>
      </c>
      <c r="T124" s="498">
        <f t="shared" si="7"/>
        <v>10876877.999999998</v>
      </c>
      <c r="U124" s="239">
        <v>-75255.460000000006</v>
      </c>
      <c r="V124" s="243"/>
      <c r="W124" s="243">
        <v>-2819.69</v>
      </c>
      <c r="X124" s="540">
        <v>69</v>
      </c>
      <c r="Y124" s="543">
        <v>1.2</v>
      </c>
      <c r="Z124" s="215">
        <v>3370</v>
      </c>
      <c r="AA124" s="268"/>
      <c r="AB124" s="237">
        <v>305472</v>
      </c>
      <c r="AC124" s="443">
        <f>AB124/VPI!R124</f>
        <v>2.1670559102519436</v>
      </c>
      <c r="AD124" s="445">
        <f t="shared" si="8"/>
        <v>1040374</v>
      </c>
      <c r="AE124" s="443">
        <f>AD124/VPI!R124</f>
        <v>7.3805410170897998</v>
      </c>
      <c r="AF124" s="237">
        <v>1345846</v>
      </c>
      <c r="AG124" s="237">
        <v>163016</v>
      </c>
      <c r="AH124" s="237">
        <v>473652</v>
      </c>
      <c r="AI124" s="271"/>
      <c r="AJ124" s="8">
        <v>0</v>
      </c>
      <c r="AK124" s="443">
        <f>AJ124/VPI!R124</f>
        <v>0</v>
      </c>
      <c r="AL124" s="445">
        <f t="shared" si="9"/>
        <v>39844</v>
      </c>
      <c r="AM124" s="443">
        <f>AL124/VPI!R124</f>
        <v>0.28265823279409713</v>
      </c>
      <c r="AN124" s="8">
        <v>39844</v>
      </c>
      <c r="AO124" s="271"/>
      <c r="AP124" s="529">
        <v>27.855612027485122</v>
      </c>
      <c r="AR124" s="546">
        <v>1</v>
      </c>
      <c r="AT124" s="239">
        <f t="shared" si="10"/>
        <v>9885539.799999997</v>
      </c>
      <c r="AU124" s="5">
        <f t="shared" si="11"/>
        <v>0</v>
      </c>
    </row>
    <row r="125" spans="1:47" x14ac:dyDescent="0.25">
      <c r="A125" s="192">
        <v>5613</v>
      </c>
      <c r="B125" s="447" t="s">
        <v>342</v>
      </c>
      <c r="C125" s="535">
        <v>15466980.460000001</v>
      </c>
      <c r="D125" s="535">
        <v>5013395.92</v>
      </c>
      <c r="E125" s="535"/>
      <c r="F125" s="536"/>
      <c r="G125" s="535">
        <v>140032.20000000001</v>
      </c>
      <c r="H125" s="535">
        <v>42188.75</v>
      </c>
      <c r="I125" s="535">
        <v>133620.6</v>
      </c>
      <c r="J125" s="535">
        <v>108768.4</v>
      </c>
      <c r="K125" s="535">
        <v>27904.85</v>
      </c>
      <c r="L125" s="535">
        <v>2254298.15</v>
      </c>
      <c r="M125" s="498">
        <f t="shared" si="6"/>
        <v>23187189.330000002</v>
      </c>
      <c r="N125" s="243">
        <v>21021.599999999999</v>
      </c>
      <c r="O125" s="243">
        <v>464844</v>
      </c>
      <c r="P125" s="243">
        <v>931263.75</v>
      </c>
      <c r="Q125" s="243">
        <v>15380.43</v>
      </c>
      <c r="R125" s="243">
        <v>632690.35</v>
      </c>
      <c r="S125" s="535">
        <v>20013.62</v>
      </c>
      <c r="T125" s="498">
        <f t="shared" si="7"/>
        <v>25272403.080000006</v>
      </c>
      <c r="U125" s="239">
        <v>-108315.66</v>
      </c>
      <c r="V125" s="243"/>
      <c r="W125" s="243">
        <v>-37799.4</v>
      </c>
      <c r="X125" s="540">
        <v>62.5</v>
      </c>
      <c r="Y125" s="543">
        <v>1.5</v>
      </c>
      <c r="Z125" s="215">
        <v>5367</v>
      </c>
      <c r="AA125" s="268"/>
      <c r="AB125" s="237">
        <v>197178</v>
      </c>
      <c r="AC125" s="443">
        <f>AB125/VPI!R125</f>
        <v>0.55200919805744753</v>
      </c>
      <c r="AD125" s="445">
        <f t="shared" si="8"/>
        <v>1523872</v>
      </c>
      <c r="AE125" s="443">
        <f>AD125/VPI!R125</f>
        <v>4.266152211008321</v>
      </c>
      <c r="AF125" s="237">
        <v>1721050</v>
      </c>
      <c r="AG125" s="237">
        <v>437321</v>
      </c>
      <c r="AH125" s="237">
        <v>679214</v>
      </c>
      <c r="AI125" s="271"/>
      <c r="AJ125" s="8">
        <v>0</v>
      </c>
      <c r="AK125" s="443">
        <f>AJ125/VPI!R125</f>
        <v>0</v>
      </c>
      <c r="AL125" s="445">
        <f t="shared" si="9"/>
        <v>188616</v>
      </c>
      <c r="AM125" s="443">
        <f>AL125/VPI!R125</f>
        <v>0.5280394714461224</v>
      </c>
      <c r="AN125" s="8">
        <v>188616</v>
      </c>
      <c r="AO125" s="271"/>
      <c r="AP125" s="529">
        <v>34.577661028254518</v>
      </c>
      <c r="AR125" s="546">
        <v>1</v>
      </c>
      <c r="AT125" s="239">
        <f t="shared" si="10"/>
        <v>23187189.330000002</v>
      </c>
      <c r="AU125" s="5">
        <f t="shared" si="11"/>
        <v>0</v>
      </c>
    </row>
    <row r="126" spans="1:47" x14ac:dyDescent="0.25">
      <c r="A126" s="192">
        <v>5621</v>
      </c>
      <c r="B126" s="447" t="s">
        <v>333</v>
      </c>
      <c r="C126" s="535">
        <v>1016919.48</v>
      </c>
      <c r="D126" s="535">
        <v>121718.1</v>
      </c>
      <c r="E126" s="535"/>
      <c r="F126" s="536"/>
      <c r="G126" s="535">
        <v>461951.4</v>
      </c>
      <c r="H126" s="535">
        <v>10566.7</v>
      </c>
      <c r="I126" s="535"/>
      <c r="J126" s="535">
        <v>52181.27</v>
      </c>
      <c r="K126" s="535">
        <v>5486.25</v>
      </c>
      <c r="L126" s="535">
        <v>323828.40000000002</v>
      </c>
      <c r="M126" s="498">
        <f t="shared" si="6"/>
        <v>1992651.6</v>
      </c>
      <c r="N126" s="243">
        <v>227041.5</v>
      </c>
      <c r="O126" s="243">
        <v>34896.5</v>
      </c>
      <c r="P126" s="243">
        <v>186875.15</v>
      </c>
      <c r="Q126" s="243">
        <v>2681.08</v>
      </c>
      <c r="R126" s="243">
        <v>72467.8</v>
      </c>
      <c r="S126" s="535">
        <v>51897.43</v>
      </c>
      <c r="T126" s="498">
        <f t="shared" si="7"/>
        <v>2568511.06</v>
      </c>
      <c r="U126" s="239">
        <v>-15984.06</v>
      </c>
      <c r="V126" s="243"/>
      <c r="W126" s="243">
        <v>-2607.86</v>
      </c>
      <c r="X126" s="540">
        <v>62</v>
      </c>
      <c r="Y126" s="543">
        <v>1.1000000000000001</v>
      </c>
      <c r="Z126" s="215">
        <v>517</v>
      </c>
      <c r="AA126" s="268"/>
      <c r="AB126" s="237">
        <v>79861</v>
      </c>
      <c r="AC126" s="443">
        <f>AB126/VPI!R126</f>
        <v>2.4766826085539888</v>
      </c>
      <c r="AD126" s="445">
        <f t="shared" si="8"/>
        <v>131352</v>
      </c>
      <c r="AE126" s="443">
        <f>AD126/VPI!R126</f>
        <v>4.0735429558706198</v>
      </c>
      <c r="AF126" s="237">
        <v>211213</v>
      </c>
      <c r="AG126" s="237">
        <v>31407</v>
      </c>
      <c r="AH126" s="237">
        <v>63536</v>
      </c>
      <c r="AI126" s="271"/>
      <c r="AJ126" s="8">
        <v>0</v>
      </c>
      <c r="AK126" s="443">
        <f>AJ126/VPI!R126</f>
        <v>0</v>
      </c>
      <c r="AL126" s="445">
        <f t="shared" si="9"/>
        <v>-3156</v>
      </c>
      <c r="AM126" s="443">
        <f>AL126/VPI!R126</f>
        <v>-9.7875187044945453E-2</v>
      </c>
      <c r="AN126" s="8">
        <v>-3156</v>
      </c>
      <c r="AO126" s="271"/>
      <c r="AP126" s="529">
        <v>39.863999252945895</v>
      </c>
      <c r="AR126" s="546">
        <v>0</v>
      </c>
      <c r="AT126" s="239">
        <f t="shared" si="10"/>
        <v>1992651.6</v>
      </c>
      <c r="AU126" s="5">
        <f t="shared" si="11"/>
        <v>0</v>
      </c>
    </row>
    <row r="127" spans="1:47" x14ac:dyDescent="0.25">
      <c r="A127" s="192">
        <v>5622</v>
      </c>
      <c r="B127" s="447" t="s">
        <v>130</v>
      </c>
      <c r="C127" s="535">
        <v>1542365.03</v>
      </c>
      <c r="D127" s="535">
        <v>232872.03</v>
      </c>
      <c r="E127" s="535"/>
      <c r="F127" s="536"/>
      <c r="G127" s="535">
        <v>24116</v>
      </c>
      <c r="H127" s="535">
        <v>2637.25</v>
      </c>
      <c r="I127" s="535"/>
      <c r="J127" s="535">
        <v>-16815.63</v>
      </c>
      <c r="K127" s="535">
        <v>5220.5</v>
      </c>
      <c r="L127" s="535">
        <v>153568.5</v>
      </c>
      <c r="M127" s="498">
        <f t="shared" si="6"/>
        <v>1943963.6800000002</v>
      </c>
      <c r="N127" s="243">
        <v>30722.9</v>
      </c>
      <c r="O127" s="243">
        <v>58413.9</v>
      </c>
      <c r="P127" s="243">
        <v>105639.8</v>
      </c>
      <c r="Q127" s="243">
        <v>2408.12</v>
      </c>
      <c r="R127" s="243">
        <v>45174.25</v>
      </c>
      <c r="S127" s="535">
        <v>2938.35</v>
      </c>
      <c r="T127" s="498">
        <f t="shared" si="7"/>
        <v>2189261</v>
      </c>
      <c r="U127" s="239">
        <v>-1341</v>
      </c>
      <c r="V127" s="243"/>
      <c r="W127" s="243">
        <v>-273.10000000000002</v>
      </c>
      <c r="X127" s="540">
        <v>68</v>
      </c>
      <c r="Y127" s="543">
        <v>1</v>
      </c>
      <c r="Z127" s="215">
        <v>607</v>
      </c>
      <c r="AA127" s="268"/>
      <c r="AB127" s="237">
        <v>6749</v>
      </c>
      <c r="AC127" s="443">
        <f>AB127/VPI!R127</f>
        <v>0.23562814125951528</v>
      </c>
      <c r="AD127" s="445">
        <f t="shared" si="8"/>
        <v>134669</v>
      </c>
      <c r="AE127" s="443">
        <f>AD127/VPI!R127</f>
        <v>4.7017048681697533</v>
      </c>
      <c r="AF127" s="237">
        <v>141418</v>
      </c>
      <c r="AG127" s="237">
        <v>34678</v>
      </c>
      <c r="AH127" s="237">
        <v>66460</v>
      </c>
      <c r="AI127" s="271"/>
      <c r="AJ127" s="8">
        <v>0</v>
      </c>
      <c r="AK127" s="443">
        <f>AJ127/VPI!R127</f>
        <v>0</v>
      </c>
      <c r="AL127" s="445">
        <f t="shared" si="9"/>
        <v>19885</v>
      </c>
      <c r="AM127" s="443">
        <f>AL127/VPI!R127</f>
        <v>0.69424590145880294</v>
      </c>
      <c r="AN127" s="8">
        <v>19885</v>
      </c>
      <c r="AO127" s="271"/>
      <c r="AP127" s="529">
        <v>33.568916523240581</v>
      </c>
      <c r="AR127" s="546">
        <v>0</v>
      </c>
      <c r="AT127" s="239">
        <f t="shared" si="10"/>
        <v>1943963.6800000002</v>
      </c>
      <c r="AU127" s="5">
        <f t="shared" si="11"/>
        <v>0</v>
      </c>
    </row>
    <row r="128" spans="1:47" x14ac:dyDescent="0.25">
      <c r="A128" s="192">
        <v>5623</v>
      </c>
      <c r="B128" s="447" t="s">
        <v>131</v>
      </c>
      <c r="C128" s="535">
        <v>2731796.87</v>
      </c>
      <c r="D128" s="535">
        <v>1295527.8</v>
      </c>
      <c r="E128" s="535"/>
      <c r="F128" s="536"/>
      <c r="G128" s="535">
        <v>31386.45</v>
      </c>
      <c r="H128" s="535">
        <v>89561.1</v>
      </c>
      <c r="I128" s="535">
        <v>70477.600000000006</v>
      </c>
      <c r="J128" s="535">
        <v>78045.86</v>
      </c>
      <c r="K128" s="535">
        <v>956.5</v>
      </c>
      <c r="L128" s="535">
        <v>358974.1</v>
      </c>
      <c r="M128" s="498">
        <f t="shared" si="6"/>
        <v>4656726.28</v>
      </c>
      <c r="N128" s="243">
        <v>1734.05</v>
      </c>
      <c r="O128" s="243">
        <v>10586.6</v>
      </c>
      <c r="P128" s="243">
        <v>137176.4</v>
      </c>
      <c r="Q128" s="243">
        <v>3281.99</v>
      </c>
      <c r="R128" s="243">
        <v>76700.600000000006</v>
      </c>
      <c r="S128" s="535">
        <v>13283.87</v>
      </c>
      <c r="T128" s="498">
        <f t="shared" si="7"/>
        <v>4899489.79</v>
      </c>
      <c r="U128" s="239">
        <v>-5919.64</v>
      </c>
      <c r="V128" s="243"/>
      <c r="W128" s="243">
        <v>-27725.95</v>
      </c>
      <c r="X128" s="540">
        <v>52</v>
      </c>
      <c r="Y128" s="543">
        <v>1</v>
      </c>
      <c r="Z128" s="215">
        <v>669</v>
      </c>
      <c r="AA128" s="268"/>
      <c r="AB128" s="237">
        <v>0</v>
      </c>
      <c r="AC128" s="443">
        <f>AB128/VPI!R128</f>
        <v>0</v>
      </c>
      <c r="AD128" s="445">
        <f t="shared" si="8"/>
        <v>94526</v>
      </c>
      <c r="AE128" s="443">
        <f>AD128/VPI!R128</f>
        <v>1.0594238045999431</v>
      </c>
      <c r="AF128" s="237">
        <v>94526</v>
      </c>
      <c r="AG128" s="237">
        <v>71012</v>
      </c>
      <c r="AH128" s="237">
        <v>61257</v>
      </c>
      <c r="AI128" s="271"/>
      <c r="AJ128" s="8">
        <v>0</v>
      </c>
      <c r="AK128" s="443">
        <f>AJ128/VPI!R128</f>
        <v>0</v>
      </c>
      <c r="AL128" s="445">
        <f t="shared" si="9"/>
        <v>15067</v>
      </c>
      <c r="AM128" s="443">
        <f>AL128/VPI!R128</f>
        <v>0.16886717372899882</v>
      </c>
      <c r="AN128" s="8">
        <v>15067</v>
      </c>
      <c r="AO128" s="271"/>
      <c r="AP128" s="529">
        <v>48.504997725372412</v>
      </c>
      <c r="AR128" s="546">
        <v>1</v>
      </c>
      <c r="AT128" s="239">
        <f t="shared" si="10"/>
        <v>4656726.28</v>
      </c>
      <c r="AU128" s="5">
        <f t="shared" si="11"/>
        <v>0</v>
      </c>
    </row>
    <row r="129" spans="1:92" x14ac:dyDescent="0.25">
      <c r="A129" s="192">
        <v>5624</v>
      </c>
      <c r="B129" s="447" t="s">
        <v>351</v>
      </c>
      <c r="C129" s="535">
        <v>16190883.289999999</v>
      </c>
      <c r="D129" s="535">
        <v>1515877.4</v>
      </c>
      <c r="E129" s="535"/>
      <c r="F129" s="536"/>
      <c r="G129" s="535">
        <v>5592243.7999999998</v>
      </c>
      <c r="H129" s="535">
        <v>366119.2</v>
      </c>
      <c r="I129" s="535">
        <v>0</v>
      </c>
      <c r="J129" s="535">
        <v>829962.01</v>
      </c>
      <c r="K129" s="535">
        <v>374353.85</v>
      </c>
      <c r="L129" s="535">
        <v>2849480.15</v>
      </c>
      <c r="M129" s="498">
        <f t="shared" ref="M129:M191" si="12">SUM(C129:L129)</f>
        <v>27718919.699999999</v>
      </c>
      <c r="N129" s="243">
        <v>1445680.75</v>
      </c>
      <c r="O129" s="243">
        <v>24489.3</v>
      </c>
      <c r="P129" s="243">
        <v>2047366.75</v>
      </c>
      <c r="Q129" s="243">
        <v>40187.81</v>
      </c>
      <c r="R129" s="243">
        <v>1687978.45</v>
      </c>
      <c r="S129" s="535">
        <v>654416.73</v>
      </c>
      <c r="T129" s="498">
        <f t="shared" ref="T129:T191" si="13">SUM(M129:S129)</f>
        <v>33619039.489999995</v>
      </c>
      <c r="U129" s="239">
        <v>-239467.34</v>
      </c>
      <c r="V129" s="243"/>
      <c r="W129" s="243">
        <v>-875.77</v>
      </c>
      <c r="X129" s="540">
        <v>62.5</v>
      </c>
      <c r="Y129" s="543">
        <v>1.25</v>
      </c>
      <c r="Z129" s="215">
        <v>10253</v>
      </c>
      <c r="AA129" s="268"/>
      <c r="AB129" s="237">
        <v>258886.94</v>
      </c>
      <c r="AC129" s="443">
        <f>AB129/VPI!R129</f>
        <v>0.58617782960912868</v>
      </c>
      <c r="AD129" s="445">
        <f t="shared" si="8"/>
        <v>1574902.76</v>
      </c>
      <c r="AE129" s="443">
        <f>AD129/VPI!R129</f>
        <v>3.5659314513981526</v>
      </c>
      <c r="AF129" s="237">
        <v>1833789.7</v>
      </c>
      <c r="AG129" s="237">
        <v>3282093.35</v>
      </c>
      <c r="AH129" s="237">
        <v>271215.84999999998</v>
      </c>
      <c r="AI129" s="271"/>
      <c r="AJ129" s="8">
        <v>0</v>
      </c>
      <c r="AK129" s="443">
        <f>AJ129/VPI!R129</f>
        <v>0</v>
      </c>
      <c r="AL129" s="445">
        <f t="shared" si="9"/>
        <v>205609</v>
      </c>
      <c r="AM129" s="443">
        <f>AL129/VPI!R129</f>
        <v>0.46554467895562185</v>
      </c>
      <c r="AN129" s="8">
        <v>205609</v>
      </c>
      <c r="AO129" s="271"/>
      <c r="AP129" s="529">
        <v>21.047670186358207</v>
      </c>
      <c r="AR129" s="546">
        <v>1</v>
      </c>
      <c r="AT129" s="239">
        <f t="shared" si="10"/>
        <v>27718919.699999999</v>
      </c>
      <c r="AU129" s="5">
        <f t="shared" si="11"/>
        <v>0</v>
      </c>
    </row>
    <row r="130" spans="1:92" x14ac:dyDescent="0.25">
      <c r="A130" s="192">
        <v>5627</v>
      </c>
      <c r="B130" s="447" t="s">
        <v>220</v>
      </c>
      <c r="C130" s="535">
        <v>10612983.189999999</v>
      </c>
      <c r="D130" s="535">
        <v>880077.83</v>
      </c>
      <c r="E130" s="535"/>
      <c r="F130" s="536"/>
      <c r="G130" s="535">
        <v>1163957.8</v>
      </c>
      <c r="H130" s="535">
        <v>174066.55</v>
      </c>
      <c r="I130" s="535"/>
      <c r="J130" s="535">
        <v>842647.95</v>
      </c>
      <c r="K130" s="535">
        <v>355316.4</v>
      </c>
      <c r="L130" s="535">
        <v>1812877.8</v>
      </c>
      <c r="M130" s="498">
        <f t="shared" si="12"/>
        <v>15841927.520000001</v>
      </c>
      <c r="N130" s="243">
        <v>446341</v>
      </c>
      <c r="O130" s="243">
        <v>62654.1</v>
      </c>
      <c r="P130" s="243">
        <v>1034028.65</v>
      </c>
      <c r="Q130" s="243">
        <v>69857.63</v>
      </c>
      <c r="R130" s="243">
        <v>765142.4</v>
      </c>
      <c r="S130" s="535">
        <v>146957.4</v>
      </c>
      <c r="T130" s="498">
        <f t="shared" si="13"/>
        <v>18366908.699999996</v>
      </c>
      <c r="U130" s="239">
        <v>-417827.59</v>
      </c>
      <c r="V130" s="243"/>
      <c r="W130" s="243">
        <v>-561.55999999999995</v>
      </c>
      <c r="X130" s="540">
        <v>77.5</v>
      </c>
      <c r="Y130" s="543">
        <v>1.5</v>
      </c>
      <c r="Z130" s="215">
        <v>8767</v>
      </c>
      <c r="AA130" s="268"/>
      <c r="AB130" s="237">
        <v>351511</v>
      </c>
      <c r="AC130" s="443">
        <f>AB130/VPI!R130</f>
        <v>1.8117845400039885</v>
      </c>
      <c r="AD130" s="445">
        <f t="shared" si="8"/>
        <v>697478</v>
      </c>
      <c r="AE130" s="443">
        <f>AD130/VPI!R130</f>
        <v>3.5949937765614788</v>
      </c>
      <c r="AF130" s="237">
        <v>1048989</v>
      </c>
      <c r="AG130" s="237">
        <v>3028774</v>
      </c>
      <c r="AH130" s="237">
        <v>3232</v>
      </c>
      <c r="AI130" s="271"/>
      <c r="AJ130" s="8">
        <v>0</v>
      </c>
      <c r="AK130" s="443">
        <f>AJ130/VPI!R130</f>
        <v>0</v>
      </c>
      <c r="AL130" s="445">
        <f t="shared" si="9"/>
        <v>11205</v>
      </c>
      <c r="AM130" s="443">
        <f>AL130/VPI!R130</f>
        <v>5.7753657128069083E-2</v>
      </c>
      <c r="AN130" s="8">
        <v>11205</v>
      </c>
      <c r="AO130" s="271"/>
      <c r="AP130" s="529">
        <v>-8.0000000000000036</v>
      </c>
      <c r="AR130" s="546">
        <v>1</v>
      </c>
      <c r="AT130" s="239">
        <f t="shared" si="10"/>
        <v>15841927.520000001</v>
      </c>
      <c r="AU130" s="5">
        <f t="shared" si="11"/>
        <v>0</v>
      </c>
    </row>
    <row r="131" spans="1:92" x14ac:dyDescent="0.25">
      <c r="A131" s="192">
        <v>5628</v>
      </c>
      <c r="B131" s="447" t="s">
        <v>221</v>
      </c>
      <c r="C131" s="535">
        <v>1484669.19</v>
      </c>
      <c r="D131" s="535"/>
      <c r="E131" s="535"/>
      <c r="F131" s="536"/>
      <c r="G131" s="535">
        <v>3391.25</v>
      </c>
      <c r="H131" s="535">
        <v>1038.2</v>
      </c>
      <c r="I131" s="535"/>
      <c r="J131" s="535">
        <v>3631.2</v>
      </c>
      <c r="K131" s="535">
        <v>859.5</v>
      </c>
      <c r="L131" s="535">
        <v>106327.3</v>
      </c>
      <c r="M131" s="498">
        <f t="shared" si="12"/>
        <v>1599916.64</v>
      </c>
      <c r="N131" s="243">
        <v>2656.6</v>
      </c>
      <c r="O131" s="243"/>
      <c r="P131" s="243">
        <v>20350</v>
      </c>
      <c r="Q131" s="243"/>
      <c r="R131" s="243">
        <v>32439.95</v>
      </c>
      <c r="S131" s="535">
        <v>486.49</v>
      </c>
      <c r="T131" s="498">
        <f t="shared" si="13"/>
        <v>1655849.68</v>
      </c>
      <c r="U131" s="239">
        <v>-1325.01</v>
      </c>
      <c r="V131" s="243"/>
      <c r="W131" s="243">
        <v>-57.45</v>
      </c>
      <c r="X131" s="540">
        <v>62</v>
      </c>
      <c r="Y131" s="543">
        <v>1</v>
      </c>
      <c r="Z131" s="215">
        <v>405</v>
      </c>
      <c r="AA131" s="268"/>
      <c r="AB131" s="237">
        <v>0</v>
      </c>
      <c r="AC131" s="443">
        <f>AB131/VPI!R131</f>
        <v>0</v>
      </c>
      <c r="AD131" s="445">
        <f t="shared" si="8"/>
        <v>26962</v>
      </c>
      <c r="AE131" s="443">
        <f>AD131/VPI!R131</f>
        <v>1.0454173803769529</v>
      </c>
      <c r="AF131" s="237">
        <v>26962</v>
      </c>
      <c r="AG131" s="237">
        <v>39258</v>
      </c>
      <c r="AH131" s="237">
        <v>32038</v>
      </c>
      <c r="AI131" s="271"/>
      <c r="AJ131" s="8">
        <v>0</v>
      </c>
      <c r="AK131" s="443">
        <f>AJ131/VPI!R131</f>
        <v>0</v>
      </c>
      <c r="AL131" s="445">
        <f t="shared" si="9"/>
        <v>3053</v>
      </c>
      <c r="AM131" s="443">
        <f>AL131/VPI!R131</f>
        <v>0.11837620585605063</v>
      </c>
      <c r="AN131" s="8">
        <v>3053</v>
      </c>
      <c r="AO131" s="271"/>
      <c r="AP131" s="529">
        <v>38.260002820716714</v>
      </c>
      <c r="AR131" s="546">
        <v>0</v>
      </c>
      <c r="AT131" s="239">
        <f t="shared" si="10"/>
        <v>1599916.64</v>
      </c>
      <c r="AU131" s="5">
        <f t="shared" si="11"/>
        <v>0</v>
      </c>
    </row>
    <row r="132" spans="1:92" x14ac:dyDescent="0.25">
      <c r="A132" s="192">
        <v>5629</v>
      </c>
      <c r="B132" s="447" t="s">
        <v>134</v>
      </c>
      <c r="C132" s="535">
        <v>638459.94999999995</v>
      </c>
      <c r="D132" s="535">
        <v>55965.06</v>
      </c>
      <c r="E132" s="535"/>
      <c r="F132" s="536"/>
      <c r="G132" s="535">
        <v>2387.1999999999998</v>
      </c>
      <c r="H132" s="535">
        <v>249.1</v>
      </c>
      <c r="I132" s="535"/>
      <c r="J132" s="535">
        <v>1562.05</v>
      </c>
      <c r="K132" s="535">
        <v>334.05</v>
      </c>
      <c r="L132" s="535">
        <v>36930.25</v>
      </c>
      <c r="M132" s="498">
        <f t="shared" si="12"/>
        <v>735887.66</v>
      </c>
      <c r="N132" s="243"/>
      <c r="O132" s="243"/>
      <c r="P132" s="243">
        <v>12450.85</v>
      </c>
      <c r="Q132" s="243">
        <v>120.52</v>
      </c>
      <c r="R132" s="243">
        <v>14621.2</v>
      </c>
      <c r="S132" s="535">
        <v>289.54000000000002</v>
      </c>
      <c r="T132" s="498">
        <f t="shared" si="13"/>
        <v>763369.77</v>
      </c>
      <c r="U132" s="239">
        <v>-5124.25</v>
      </c>
      <c r="V132" s="243"/>
      <c r="W132" s="243">
        <v>0</v>
      </c>
      <c r="X132" s="540">
        <v>73.5</v>
      </c>
      <c r="Y132" s="543">
        <v>1</v>
      </c>
      <c r="Z132" s="215">
        <v>211</v>
      </c>
      <c r="AA132" s="268"/>
      <c r="AB132" s="237">
        <v>60878</v>
      </c>
      <c r="AC132" s="443">
        <f>AB132/VPI!R132</f>
        <v>6.1196599488217203</v>
      </c>
      <c r="AD132" s="445">
        <f t="shared" si="8"/>
        <v>46018</v>
      </c>
      <c r="AE132" s="443">
        <f>AD132/VPI!R132</f>
        <v>4.6258831026787659</v>
      </c>
      <c r="AF132" s="237">
        <v>106896</v>
      </c>
      <c r="AG132" s="237">
        <v>7971</v>
      </c>
      <c r="AH132" s="237">
        <v>29849</v>
      </c>
      <c r="AI132" s="271"/>
      <c r="AJ132" s="8">
        <v>0</v>
      </c>
      <c r="AK132" s="443">
        <f>AJ132/VPI!R132</f>
        <v>0</v>
      </c>
      <c r="AL132" s="445">
        <f t="shared" si="9"/>
        <v>331</v>
      </c>
      <c r="AM132" s="443">
        <f>AL132/VPI!R132</f>
        <v>3.327322584611829E-2</v>
      </c>
      <c r="AN132" s="8">
        <v>331</v>
      </c>
      <c r="AO132" s="271"/>
      <c r="AP132" s="529">
        <v>29.145003818597946</v>
      </c>
      <c r="AR132" s="546">
        <v>0</v>
      </c>
      <c r="AT132" s="239">
        <f t="shared" si="10"/>
        <v>735887.66</v>
      </c>
      <c r="AU132" s="5">
        <f t="shared" si="11"/>
        <v>0</v>
      </c>
    </row>
    <row r="133" spans="1:92" x14ac:dyDescent="0.25">
      <c r="A133" s="192">
        <v>5631</v>
      </c>
      <c r="B133" s="447" t="s">
        <v>135</v>
      </c>
      <c r="C133" s="535">
        <v>2037104.95</v>
      </c>
      <c r="D133" s="535">
        <v>456220.73</v>
      </c>
      <c r="E133" s="535"/>
      <c r="F133" s="536"/>
      <c r="G133" s="535">
        <v>4302</v>
      </c>
      <c r="H133" s="535">
        <v>3275.45</v>
      </c>
      <c r="I133" s="535">
        <v>187945.55</v>
      </c>
      <c r="J133" s="535">
        <v>48989.72</v>
      </c>
      <c r="K133" s="535">
        <v>2815.65</v>
      </c>
      <c r="L133" s="535">
        <v>212575.75</v>
      </c>
      <c r="M133" s="498">
        <f t="shared" si="12"/>
        <v>2953229.8</v>
      </c>
      <c r="N133" s="243">
        <v>1887.85</v>
      </c>
      <c r="O133" s="243">
        <v>131406</v>
      </c>
      <c r="P133" s="243">
        <v>260616.4</v>
      </c>
      <c r="Q133" s="243">
        <v>994.86</v>
      </c>
      <c r="R133" s="243">
        <v>147694.75</v>
      </c>
      <c r="S133" s="535">
        <v>832.24</v>
      </c>
      <c r="T133" s="498">
        <f t="shared" si="13"/>
        <v>3496661.9</v>
      </c>
      <c r="U133" s="239">
        <v>-8475.25</v>
      </c>
      <c r="V133" s="243"/>
      <c r="W133" s="243">
        <v>-2872.06</v>
      </c>
      <c r="X133" s="540">
        <v>68</v>
      </c>
      <c r="Y133" s="543">
        <v>1</v>
      </c>
      <c r="Z133" s="215">
        <v>733</v>
      </c>
      <c r="AA133" s="268"/>
      <c r="AB133" s="237">
        <v>0</v>
      </c>
      <c r="AC133" s="443">
        <f>AB133/VPI!R133</f>
        <v>0</v>
      </c>
      <c r="AD133" s="445">
        <f t="shared" si="8"/>
        <v>0</v>
      </c>
      <c r="AE133" s="443">
        <f>AD133/VPI!R133</f>
        <v>0</v>
      </c>
      <c r="AF133" s="237">
        <v>0</v>
      </c>
      <c r="AG133" s="237">
        <v>0</v>
      </c>
      <c r="AH133" s="237">
        <v>0</v>
      </c>
      <c r="AI133" s="271"/>
      <c r="AJ133" s="8">
        <v>0</v>
      </c>
      <c r="AK133" s="443">
        <f>AJ133/VPI!R133</f>
        <v>0</v>
      </c>
      <c r="AL133" s="445">
        <f t="shared" si="9"/>
        <v>0</v>
      </c>
      <c r="AM133" s="443">
        <f>AL133/VPI!R133</f>
        <v>0</v>
      </c>
      <c r="AN133" s="8">
        <v>0</v>
      </c>
      <c r="AO133" s="271"/>
      <c r="AP133" s="529">
        <v>39.26527263499009</v>
      </c>
      <c r="AR133" s="546">
        <v>0</v>
      </c>
      <c r="AT133" s="239">
        <f t="shared" si="10"/>
        <v>2953229.8</v>
      </c>
      <c r="AU133" s="5">
        <f t="shared" si="11"/>
        <v>0</v>
      </c>
    </row>
    <row r="134" spans="1:92" x14ac:dyDescent="0.25">
      <c r="A134" s="192">
        <v>5632</v>
      </c>
      <c r="B134" s="447" t="s">
        <v>136</v>
      </c>
      <c r="C134" s="535">
        <v>3463767.35</v>
      </c>
      <c r="D134" s="535">
        <v>607867.53</v>
      </c>
      <c r="E134" s="535"/>
      <c r="F134" s="536"/>
      <c r="G134" s="535">
        <v>296978.8</v>
      </c>
      <c r="H134" s="535">
        <v>5267.85</v>
      </c>
      <c r="I134" s="535"/>
      <c r="J134" s="535">
        <v>210065.67</v>
      </c>
      <c r="K134" s="535">
        <v>51013.1</v>
      </c>
      <c r="L134" s="535">
        <v>370904.4</v>
      </c>
      <c r="M134" s="498">
        <f t="shared" si="12"/>
        <v>5005864.6999999993</v>
      </c>
      <c r="N134" s="243">
        <v>105185.35</v>
      </c>
      <c r="O134" s="243">
        <v>127197.5</v>
      </c>
      <c r="P134" s="243">
        <v>170829.35</v>
      </c>
      <c r="Q134" s="243">
        <v>3743.49</v>
      </c>
      <c r="R134" s="243">
        <v>115364.9</v>
      </c>
      <c r="S134" s="535">
        <v>32833.629999999997</v>
      </c>
      <c r="T134" s="498">
        <f t="shared" si="13"/>
        <v>5561018.919999999</v>
      </c>
      <c r="U134" s="239">
        <v>-49186.16</v>
      </c>
      <c r="V134" s="243"/>
      <c r="W134" s="243">
        <v>-1965.9</v>
      </c>
      <c r="X134" s="540">
        <v>62</v>
      </c>
      <c r="Y134" s="543">
        <v>1</v>
      </c>
      <c r="Z134" s="215">
        <v>1744</v>
      </c>
      <c r="AA134" s="268"/>
      <c r="AB134" s="237">
        <v>4347</v>
      </c>
      <c r="AC134" s="443">
        <f>AB134/VPI!R134</f>
        <v>5.3996865130907575E-2</v>
      </c>
      <c r="AD134" s="445">
        <f t="shared" si="8"/>
        <v>191949</v>
      </c>
      <c r="AE134" s="443">
        <f>AD134/VPI!R134</f>
        <v>2.3843212019812694</v>
      </c>
      <c r="AF134" s="237">
        <v>196296</v>
      </c>
      <c r="AG134" s="237">
        <v>533657</v>
      </c>
      <c r="AH134" s="237">
        <v>54635</v>
      </c>
      <c r="AI134" s="271"/>
      <c r="AJ134" s="8">
        <v>0</v>
      </c>
      <c r="AK134" s="443">
        <f>AJ134/VPI!R134</f>
        <v>0</v>
      </c>
      <c r="AL134" s="445">
        <f t="shared" si="9"/>
        <v>2439</v>
      </c>
      <c r="AM134" s="443">
        <f>AL134/VPI!R134</f>
        <v>3.0296377744256631E-2</v>
      </c>
      <c r="AN134" s="8">
        <v>2439</v>
      </c>
      <c r="AO134" s="271"/>
      <c r="AP134" s="529">
        <v>30.898757239477249</v>
      </c>
      <c r="AR134" s="546">
        <v>0</v>
      </c>
      <c r="AT134" s="239">
        <f t="shared" si="10"/>
        <v>5005864.6999999993</v>
      </c>
      <c r="AU134" s="5">
        <f t="shared" si="11"/>
        <v>0</v>
      </c>
    </row>
    <row r="135" spans="1:92" x14ac:dyDescent="0.25">
      <c r="A135" s="192">
        <v>5633</v>
      </c>
      <c r="B135" s="447" t="s">
        <v>137</v>
      </c>
      <c r="C135" s="535">
        <v>6877658.8399999999</v>
      </c>
      <c r="D135" s="535">
        <v>2121180.62</v>
      </c>
      <c r="E135" s="535"/>
      <c r="F135" s="536"/>
      <c r="G135" s="535">
        <v>379135.8</v>
      </c>
      <c r="H135" s="535">
        <v>72540.95</v>
      </c>
      <c r="I135" s="535"/>
      <c r="J135" s="535">
        <v>111804.69</v>
      </c>
      <c r="K135" s="535">
        <v>35892.25</v>
      </c>
      <c r="L135" s="535">
        <v>671730.3</v>
      </c>
      <c r="M135" s="498">
        <f t="shared" si="12"/>
        <v>10269943.450000001</v>
      </c>
      <c r="N135" s="243">
        <v>127028.65</v>
      </c>
      <c r="O135" s="243">
        <v>41597.1</v>
      </c>
      <c r="P135" s="243">
        <v>340604.65</v>
      </c>
      <c r="Q135" s="243">
        <v>50546.16</v>
      </c>
      <c r="R135" s="243">
        <v>191341.2</v>
      </c>
      <c r="S135" s="535">
        <v>49608.39</v>
      </c>
      <c r="T135" s="498">
        <f t="shared" si="13"/>
        <v>11070669.600000001</v>
      </c>
      <c r="U135" s="239">
        <v>-152465.9</v>
      </c>
      <c r="V135" s="243"/>
      <c r="W135" s="243">
        <v>-4028.35</v>
      </c>
      <c r="X135" s="540">
        <v>60.5</v>
      </c>
      <c r="Y135" s="543">
        <v>1</v>
      </c>
      <c r="Z135" s="215">
        <v>2775</v>
      </c>
      <c r="AA135" s="268"/>
      <c r="AB135" s="237">
        <v>338686</v>
      </c>
      <c r="AC135" s="443">
        <f>AB135/VPI!R135</f>
        <v>2.0061971759967676</v>
      </c>
      <c r="AD135" s="445">
        <f t="shared" ref="AD135:AD198" si="14">AF135-AB135</f>
        <v>814033</v>
      </c>
      <c r="AE135" s="443">
        <f>AD135/VPI!R135</f>
        <v>4.8219020147516485</v>
      </c>
      <c r="AF135" s="237">
        <v>1152719</v>
      </c>
      <c r="AG135" s="237">
        <v>910341</v>
      </c>
      <c r="AH135" s="237">
        <v>92401</v>
      </c>
      <c r="AI135" s="271"/>
      <c r="AJ135" s="8">
        <v>0</v>
      </c>
      <c r="AK135" s="443">
        <f>AJ135/VPI!R135</f>
        <v>0</v>
      </c>
      <c r="AL135" s="445">
        <f t="shared" ref="AL135:AL198" si="15">AN135-AJ135</f>
        <v>23299</v>
      </c>
      <c r="AM135" s="443">
        <f>AL135/VPI!R135</f>
        <v>0.13801098363542838</v>
      </c>
      <c r="AN135" s="8">
        <v>23299</v>
      </c>
      <c r="AO135" s="271"/>
      <c r="AP135" s="529">
        <v>35.895220065316678</v>
      </c>
      <c r="AR135" s="546">
        <v>0</v>
      </c>
      <c r="AT135" s="239">
        <f t="shared" ref="AT135:AT198" si="16">SUM(C135:L135)</f>
        <v>10269943.450000001</v>
      </c>
      <c r="AU135" s="5">
        <f t="shared" ref="AU135:AU198" si="17">+AT135-M135</f>
        <v>0</v>
      </c>
    </row>
    <row r="136" spans="1:92" x14ac:dyDescent="0.25">
      <c r="A136" s="192">
        <v>5634</v>
      </c>
      <c r="B136" s="447" t="s">
        <v>138</v>
      </c>
      <c r="C136" s="535">
        <v>7528458.5700000003</v>
      </c>
      <c r="D136" s="535">
        <v>1462902.08</v>
      </c>
      <c r="E136" s="535"/>
      <c r="F136" s="536"/>
      <c r="G136" s="535">
        <v>143052.6</v>
      </c>
      <c r="H136" s="535">
        <v>11341.7</v>
      </c>
      <c r="I136" s="535">
        <v>67961.05</v>
      </c>
      <c r="J136" s="535">
        <v>96837.51</v>
      </c>
      <c r="K136" s="535">
        <v>28641.9</v>
      </c>
      <c r="L136" s="535">
        <v>731624</v>
      </c>
      <c r="M136" s="498">
        <f t="shared" si="12"/>
        <v>10070819.41</v>
      </c>
      <c r="N136" s="243">
        <v>49103.199999999997</v>
      </c>
      <c r="O136" s="243">
        <v>194459</v>
      </c>
      <c r="P136" s="243">
        <v>576328.75</v>
      </c>
      <c r="Q136" s="243">
        <v>7269.84</v>
      </c>
      <c r="R136" s="243">
        <v>282681</v>
      </c>
      <c r="S136" s="535">
        <v>16957.38</v>
      </c>
      <c r="T136" s="498">
        <f t="shared" si="13"/>
        <v>11197618.58</v>
      </c>
      <c r="U136" s="239">
        <v>-17917.09</v>
      </c>
      <c r="V136" s="243"/>
      <c r="W136" s="243">
        <v>-8112.3</v>
      </c>
      <c r="X136" s="540">
        <v>66</v>
      </c>
      <c r="Y136" s="543">
        <v>1</v>
      </c>
      <c r="Z136" s="215">
        <v>3142</v>
      </c>
      <c r="AA136" s="268"/>
      <c r="AB136" s="237">
        <v>212138</v>
      </c>
      <c r="AC136" s="443">
        <f>AB136/VPI!R136</f>
        <v>1.3905138571398452</v>
      </c>
      <c r="AD136" s="445">
        <f t="shared" si="14"/>
        <v>203032</v>
      </c>
      <c r="AE136" s="443">
        <f>AD136/VPI!R136</f>
        <v>1.3308262048422115</v>
      </c>
      <c r="AF136" s="237">
        <v>415170</v>
      </c>
      <c r="AG136" s="237">
        <v>698270</v>
      </c>
      <c r="AH136" s="237">
        <v>274321</v>
      </c>
      <c r="AI136" s="271"/>
      <c r="AJ136" s="8">
        <v>0</v>
      </c>
      <c r="AK136" s="443">
        <f>AJ136/VPI!R136</f>
        <v>0</v>
      </c>
      <c r="AL136" s="445">
        <f t="shared" si="15"/>
        <v>25497</v>
      </c>
      <c r="AM136" s="443">
        <f>AL136/VPI!R136</f>
        <v>0.16712673738554448</v>
      </c>
      <c r="AN136" s="8">
        <v>25497</v>
      </c>
      <c r="AO136" s="271"/>
      <c r="AP136" s="529">
        <v>32.563794250399646</v>
      </c>
      <c r="AR136" s="546">
        <v>0</v>
      </c>
      <c r="AT136" s="239">
        <f t="shared" si="16"/>
        <v>10070819.41</v>
      </c>
      <c r="AU136" s="5">
        <f t="shared" si="17"/>
        <v>0</v>
      </c>
    </row>
    <row r="137" spans="1:92" x14ac:dyDescent="0.25">
      <c r="A137" s="192">
        <v>5635</v>
      </c>
      <c r="B137" s="447" t="s">
        <v>139</v>
      </c>
      <c r="C137" s="535">
        <v>17896434.280000001</v>
      </c>
      <c r="D137" s="535">
        <v>2526407.54</v>
      </c>
      <c r="E137" s="535"/>
      <c r="F137" s="536"/>
      <c r="G137" s="535">
        <f>26130287.6-13434000</f>
        <v>12696287.600000001</v>
      </c>
      <c r="H137" s="535">
        <v>958844.25</v>
      </c>
      <c r="I137" s="535"/>
      <c r="J137" s="535">
        <v>1224895.53</v>
      </c>
      <c r="K137" s="535">
        <v>330560.59999999998</v>
      </c>
      <c r="L137" s="535">
        <v>3260267.95</v>
      </c>
      <c r="M137" s="498">
        <f t="shared" si="12"/>
        <v>38893697.750000007</v>
      </c>
      <c r="N137" s="243">
        <v>1875328.15</v>
      </c>
      <c r="O137" s="243">
        <v>629100.5</v>
      </c>
      <c r="P137" s="243">
        <v>1817345.3</v>
      </c>
      <c r="Q137" s="243">
        <v>89322.18</v>
      </c>
      <c r="R137" s="243">
        <v>657972.1</v>
      </c>
      <c r="S137" s="535">
        <v>2975243.52</v>
      </c>
      <c r="T137" s="498">
        <f t="shared" si="13"/>
        <v>46938009.500000007</v>
      </c>
      <c r="U137" s="239">
        <v>-398566.14</v>
      </c>
      <c r="V137" s="243"/>
      <c r="W137" s="243">
        <v>-20305.93</v>
      </c>
      <c r="X137" s="540">
        <v>62.5</v>
      </c>
      <c r="Y137" s="543">
        <v>1.2</v>
      </c>
      <c r="Z137" s="215">
        <v>13214</v>
      </c>
      <c r="AA137" s="268"/>
      <c r="AB137" s="237">
        <v>1292911</v>
      </c>
      <c r="AC137" s="443">
        <f>AB137/VPI!R137</f>
        <v>1.9710925726986928</v>
      </c>
      <c r="AD137" s="445">
        <f t="shared" si="14"/>
        <v>3050699</v>
      </c>
      <c r="AE137" s="443">
        <f>AD137/VPI!R137</f>
        <v>4.6509080210774982</v>
      </c>
      <c r="AF137" s="237">
        <v>4343610</v>
      </c>
      <c r="AG137" s="237">
        <v>4197902</v>
      </c>
      <c r="AH137" s="237">
        <v>119789</v>
      </c>
      <c r="AI137" s="271"/>
      <c r="AJ137" s="8">
        <v>0</v>
      </c>
      <c r="AK137" s="443">
        <f>AJ137/VPI!R137</f>
        <v>0</v>
      </c>
      <c r="AL137" s="445">
        <f t="shared" si="15"/>
        <v>87540</v>
      </c>
      <c r="AM137" s="443">
        <f>AL137/VPI!R137</f>
        <v>0.13345809867349226</v>
      </c>
      <c r="AN137" s="8">
        <v>87540</v>
      </c>
      <c r="AO137" s="271"/>
      <c r="AP137" s="529">
        <v>19.176649382931217</v>
      </c>
      <c r="AR137" s="546">
        <v>1</v>
      </c>
      <c r="AT137" s="239">
        <f t="shared" si="16"/>
        <v>38893697.750000007</v>
      </c>
      <c r="AU137" s="5">
        <f t="shared" si="17"/>
        <v>0</v>
      </c>
    </row>
    <row r="138" spans="1:92" x14ac:dyDescent="0.25">
      <c r="A138" s="192">
        <v>5636</v>
      </c>
      <c r="B138" s="447" t="s">
        <v>140</v>
      </c>
      <c r="C138" s="535">
        <v>5762810.8200000003</v>
      </c>
      <c r="D138" s="535">
        <v>1237426.54</v>
      </c>
      <c r="E138" s="535"/>
      <c r="F138" s="536"/>
      <c r="G138" s="535">
        <v>1782065.45</v>
      </c>
      <c r="H138" s="535">
        <v>357017</v>
      </c>
      <c r="I138" s="535">
        <v>1173.25</v>
      </c>
      <c r="J138" s="535">
        <v>473653.92</v>
      </c>
      <c r="K138" s="535">
        <v>259740.79999999999</v>
      </c>
      <c r="L138" s="535">
        <v>1187161</v>
      </c>
      <c r="M138" s="498">
        <f t="shared" si="12"/>
        <v>11061048.780000001</v>
      </c>
      <c r="N138" s="243">
        <v>570633.05000000005</v>
      </c>
      <c r="O138" s="243">
        <v>372820.6</v>
      </c>
      <c r="P138" s="243">
        <v>1116343.6499999999</v>
      </c>
      <c r="Q138" s="243">
        <v>6392.63</v>
      </c>
      <c r="R138" s="243">
        <v>388089.35</v>
      </c>
      <c r="S138" s="535">
        <v>234938.91</v>
      </c>
      <c r="T138" s="498">
        <f t="shared" si="13"/>
        <v>13750266.970000003</v>
      </c>
      <c r="U138" s="239">
        <v>-82175.960000000006</v>
      </c>
      <c r="V138" s="243"/>
      <c r="W138" s="243">
        <v>-3730.07</v>
      </c>
      <c r="X138" s="540">
        <v>60</v>
      </c>
      <c r="Y138" s="543">
        <v>1</v>
      </c>
      <c r="Z138" s="215">
        <v>2918</v>
      </c>
      <c r="AA138" s="268"/>
      <c r="AB138" s="237">
        <v>0</v>
      </c>
      <c r="AC138" s="443">
        <f>AB138/VPI!R138</f>
        <v>0</v>
      </c>
      <c r="AD138" s="445">
        <f t="shared" si="14"/>
        <v>0</v>
      </c>
      <c r="AE138" s="443">
        <f>AD138/VPI!R138</f>
        <v>0</v>
      </c>
      <c r="AF138" s="237">
        <v>0</v>
      </c>
      <c r="AG138" s="237">
        <v>0</v>
      </c>
      <c r="AH138" s="237">
        <v>0</v>
      </c>
      <c r="AI138" s="271"/>
      <c r="AJ138" s="8">
        <v>0</v>
      </c>
      <c r="AK138" s="443">
        <f>AJ138/VPI!R138</f>
        <v>0</v>
      </c>
      <c r="AL138" s="445">
        <f t="shared" si="15"/>
        <v>0</v>
      </c>
      <c r="AM138" s="443">
        <f>AL138/VPI!R138</f>
        <v>0</v>
      </c>
      <c r="AN138" s="8">
        <v>0</v>
      </c>
      <c r="AO138" s="271"/>
      <c r="AP138" s="529">
        <v>35.946716043588609</v>
      </c>
      <c r="AR138" s="546">
        <v>0</v>
      </c>
      <c r="AT138" s="239">
        <f t="shared" si="16"/>
        <v>11061048.780000001</v>
      </c>
      <c r="AU138" s="5">
        <f t="shared" si="17"/>
        <v>0</v>
      </c>
    </row>
    <row r="139" spans="1:92" x14ac:dyDescent="0.25">
      <c r="A139" s="192">
        <v>5637</v>
      </c>
      <c r="B139" s="447" t="s">
        <v>141</v>
      </c>
      <c r="C139" s="535">
        <v>2289600.81</v>
      </c>
      <c r="D139" s="535">
        <v>248714.3</v>
      </c>
      <c r="E139" s="535"/>
      <c r="F139" s="536"/>
      <c r="G139" s="535">
        <v>32038.15</v>
      </c>
      <c r="H139" s="535">
        <v>1936.55</v>
      </c>
      <c r="I139" s="535"/>
      <c r="J139" s="535">
        <v>2127.4499999999998</v>
      </c>
      <c r="K139" s="535">
        <v>8991.35</v>
      </c>
      <c r="L139" s="535">
        <v>293854.5</v>
      </c>
      <c r="M139" s="498">
        <f t="shared" si="12"/>
        <v>2877263.11</v>
      </c>
      <c r="N139" s="243">
        <v>231727.1</v>
      </c>
      <c r="O139" s="243"/>
      <c r="P139" s="243">
        <v>194767.4</v>
      </c>
      <c r="Q139" s="243"/>
      <c r="R139" s="243">
        <v>153664.9</v>
      </c>
      <c r="S139" s="535">
        <v>3731.5</v>
      </c>
      <c r="T139" s="498">
        <f t="shared" si="13"/>
        <v>3461154.01</v>
      </c>
      <c r="U139" s="239">
        <v>-14815.91</v>
      </c>
      <c r="V139" s="243"/>
      <c r="W139" s="243">
        <v>-1570.94</v>
      </c>
      <c r="X139" s="540">
        <v>73</v>
      </c>
      <c r="Y139" s="543">
        <v>1.5</v>
      </c>
      <c r="Z139" s="215">
        <v>1026</v>
      </c>
      <c r="AA139" s="268"/>
      <c r="AB139" s="237">
        <v>16796</v>
      </c>
      <c r="AC139" s="443">
        <f>AB139/VPI!R139</f>
        <v>0.44317323323714952</v>
      </c>
      <c r="AD139" s="445">
        <f t="shared" si="14"/>
        <v>265709</v>
      </c>
      <c r="AE139" s="443">
        <f>AD139/VPI!R139</f>
        <v>7.0109023952256351</v>
      </c>
      <c r="AF139" s="237">
        <v>282505</v>
      </c>
      <c r="AG139" s="237">
        <v>63985</v>
      </c>
      <c r="AH139" s="237">
        <v>109506</v>
      </c>
      <c r="AI139" s="271"/>
      <c r="AJ139" s="8">
        <v>0</v>
      </c>
      <c r="AK139" s="443">
        <f>AJ139/VPI!R139</f>
        <v>0</v>
      </c>
      <c r="AL139" s="445">
        <f t="shared" si="15"/>
        <v>15226</v>
      </c>
      <c r="AM139" s="443">
        <f>AL139/VPI!R139</f>
        <v>0.40174777621271962</v>
      </c>
      <c r="AN139" s="8">
        <v>15226</v>
      </c>
      <c r="AO139" s="271"/>
      <c r="AP139" s="529">
        <v>32.255120035388714</v>
      </c>
      <c r="AR139" s="546">
        <v>0</v>
      </c>
      <c r="AT139" s="239">
        <f t="shared" si="16"/>
        <v>2877263.11</v>
      </c>
      <c r="AU139" s="5">
        <f t="shared" si="17"/>
        <v>0</v>
      </c>
    </row>
    <row r="140" spans="1:92" x14ac:dyDescent="0.25">
      <c r="A140" s="192">
        <v>5638</v>
      </c>
      <c r="B140" s="447" t="s">
        <v>142</v>
      </c>
      <c r="C140" s="535">
        <v>6064624.2599999998</v>
      </c>
      <c r="D140" s="535">
        <v>1514883.64</v>
      </c>
      <c r="E140" s="535"/>
      <c r="F140" s="536"/>
      <c r="G140" s="535">
        <v>660532.25</v>
      </c>
      <c r="H140" s="535">
        <v>80811.600000000006</v>
      </c>
      <c r="I140" s="535">
        <v>248392.75</v>
      </c>
      <c r="J140" s="535">
        <v>173538.12</v>
      </c>
      <c r="K140" s="535">
        <v>66248.100000000006</v>
      </c>
      <c r="L140" s="535">
        <v>674733</v>
      </c>
      <c r="M140" s="498">
        <f t="shared" si="12"/>
        <v>9483763.7199999988</v>
      </c>
      <c r="N140" s="243">
        <v>319329.59999999998</v>
      </c>
      <c r="O140" s="243">
        <f>7497652.8-4000000</f>
        <v>3497652.8</v>
      </c>
      <c r="P140" s="243">
        <v>464147</v>
      </c>
      <c r="Q140" s="243">
        <v>46639.73</v>
      </c>
      <c r="R140" s="243">
        <v>296329.65000000002</v>
      </c>
      <c r="S140" s="535">
        <v>81423</v>
      </c>
      <c r="T140" s="498">
        <f t="shared" si="13"/>
        <v>14189285.499999998</v>
      </c>
      <c r="U140" s="239">
        <v>-26311.53</v>
      </c>
      <c r="V140" s="243"/>
      <c r="W140" s="243">
        <v>-9128.07</v>
      </c>
      <c r="X140" s="540">
        <v>55</v>
      </c>
      <c r="Y140" s="543">
        <v>1</v>
      </c>
      <c r="Z140" s="215">
        <v>2751</v>
      </c>
      <c r="AA140" s="268"/>
      <c r="AB140" s="237">
        <v>189323</v>
      </c>
      <c r="AC140" s="443">
        <f>AB140/VPI!R140</f>
        <v>1.0873375483990604</v>
      </c>
      <c r="AD140" s="445">
        <f t="shared" si="14"/>
        <v>595963</v>
      </c>
      <c r="AE140" s="443">
        <f>AD140/VPI!R140</f>
        <v>3.4227904024157088</v>
      </c>
      <c r="AF140" s="237">
        <v>785286</v>
      </c>
      <c r="AG140" s="237">
        <v>1017228</v>
      </c>
      <c r="AH140" s="237">
        <v>82605</v>
      </c>
      <c r="AI140" s="271"/>
      <c r="AJ140" s="8">
        <v>0</v>
      </c>
      <c r="AK140" s="443">
        <f>AJ140/VPI!R140</f>
        <v>0</v>
      </c>
      <c r="AL140" s="445">
        <f t="shared" si="15"/>
        <v>6687</v>
      </c>
      <c r="AM140" s="443">
        <f>AL140/VPI!R140</f>
        <v>3.8405403390737079E-2</v>
      </c>
      <c r="AN140" s="8">
        <v>6687</v>
      </c>
      <c r="AO140" s="271"/>
      <c r="AP140" s="529">
        <v>38.434506841527707</v>
      </c>
      <c r="AR140" s="546">
        <v>0</v>
      </c>
      <c r="AT140" s="239">
        <f t="shared" si="16"/>
        <v>9483763.7199999988</v>
      </c>
      <c r="AU140" s="5">
        <f t="shared" si="17"/>
        <v>0</v>
      </c>
    </row>
    <row r="141" spans="1:92" x14ac:dyDescent="0.25">
      <c r="A141" s="192">
        <v>5639</v>
      </c>
      <c r="B141" s="447" t="s">
        <v>143</v>
      </c>
      <c r="C141" s="535">
        <v>2355928.21</v>
      </c>
      <c r="D141" s="535">
        <v>611177</v>
      </c>
      <c r="E141" s="535"/>
      <c r="F141" s="536"/>
      <c r="G141" s="535">
        <v>78897.149999999994</v>
      </c>
      <c r="H141" s="535">
        <v>8852.5499999999993</v>
      </c>
      <c r="I141" s="535"/>
      <c r="J141" s="535">
        <v>8717.4699999999993</v>
      </c>
      <c r="K141" s="535">
        <v>-2986.65</v>
      </c>
      <c r="L141" s="535">
        <v>262499.40000000002</v>
      </c>
      <c r="M141" s="498">
        <f t="shared" si="12"/>
        <v>3323085.13</v>
      </c>
      <c r="N141" s="243">
        <v>20293.95</v>
      </c>
      <c r="O141" s="243">
        <v>3958.3</v>
      </c>
      <c r="P141" s="243">
        <v>115570.05</v>
      </c>
      <c r="Q141" s="243">
        <v>100</v>
      </c>
      <c r="R141" s="243">
        <v>61535.75</v>
      </c>
      <c r="S141" s="535">
        <v>9637.69</v>
      </c>
      <c r="T141" s="498">
        <f t="shared" si="13"/>
        <v>3534180.8699999996</v>
      </c>
      <c r="U141" s="239">
        <v>-3113.34</v>
      </c>
      <c r="V141" s="243"/>
      <c r="W141" s="243">
        <v>-1123.2</v>
      </c>
      <c r="X141" s="540">
        <v>61</v>
      </c>
      <c r="Y141" s="543">
        <v>1.25</v>
      </c>
      <c r="Z141" s="215">
        <v>828</v>
      </c>
      <c r="AA141" s="268"/>
      <c r="AB141" s="237">
        <v>0</v>
      </c>
      <c r="AC141" s="443">
        <f>AB141/VPI!R141</f>
        <v>0</v>
      </c>
      <c r="AD141" s="445">
        <f t="shared" si="14"/>
        <v>0</v>
      </c>
      <c r="AE141" s="443">
        <f>AD141/VPI!R141</f>
        <v>0</v>
      </c>
      <c r="AF141" s="237">
        <v>0</v>
      </c>
      <c r="AG141" s="237">
        <v>0</v>
      </c>
      <c r="AH141" s="237">
        <v>0</v>
      </c>
      <c r="AI141" s="271"/>
      <c r="AJ141" s="8">
        <v>0</v>
      </c>
      <c r="AK141" s="443">
        <f>AJ141/VPI!R141</f>
        <v>0</v>
      </c>
      <c r="AL141" s="445">
        <f t="shared" si="15"/>
        <v>0</v>
      </c>
      <c r="AM141" s="443">
        <f>AL141/VPI!R141</f>
        <v>0</v>
      </c>
      <c r="AN141" s="8">
        <v>0</v>
      </c>
      <c r="AO141" s="271"/>
      <c r="AP141" s="529">
        <v>35.330041043809203</v>
      </c>
      <c r="AR141" s="546">
        <v>0</v>
      </c>
      <c r="AT141" s="239">
        <f t="shared" si="16"/>
        <v>3323085.13</v>
      </c>
      <c r="AU141" s="5">
        <f t="shared" si="17"/>
        <v>0</v>
      </c>
    </row>
    <row r="142" spans="1:92" x14ac:dyDescent="0.25">
      <c r="A142" s="192">
        <v>5640</v>
      </c>
      <c r="B142" s="447" t="s">
        <v>144</v>
      </c>
      <c r="C142" s="535">
        <v>3165169.86</v>
      </c>
      <c r="D142" s="535">
        <v>1031777.18</v>
      </c>
      <c r="E142" s="535"/>
      <c r="F142" s="536"/>
      <c r="G142" s="535">
        <v>41257.75</v>
      </c>
      <c r="H142" s="535">
        <v>10122.700000000001</v>
      </c>
      <c r="I142" s="535">
        <v>91375.2</v>
      </c>
      <c r="J142" s="535">
        <v>3882.25</v>
      </c>
      <c r="K142" s="535">
        <v>10428.75</v>
      </c>
      <c r="L142" s="535">
        <v>215657.65</v>
      </c>
      <c r="M142" s="498">
        <f t="shared" si="12"/>
        <v>4569671.3400000008</v>
      </c>
      <c r="N142" s="243">
        <v>20984.3</v>
      </c>
      <c r="O142" s="243">
        <v>309842.59999999998</v>
      </c>
      <c r="P142" s="243">
        <v>263911.8</v>
      </c>
      <c r="Q142" s="243">
        <v>2635.17</v>
      </c>
      <c r="R142" s="243">
        <v>163436</v>
      </c>
      <c r="S142" s="535">
        <v>5643.2</v>
      </c>
      <c r="T142" s="498">
        <f t="shared" si="13"/>
        <v>5336124.41</v>
      </c>
      <c r="U142" s="239">
        <v>-4482.5200000000004</v>
      </c>
      <c r="V142" s="243"/>
      <c r="W142" s="243">
        <v>-24599.439999999999</v>
      </c>
      <c r="X142" s="540">
        <v>64.5</v>
      </c>
      <c r="Y142" s="543">
        <v>1</v>
      </c>
      <c r="Z142" s="215">
        <v>740</v>
      </c>
      <c r="AA142" s="268"/>
      <c r="AB142" s="237">
        <v>102491</v>
      </c>
      <c r="AC142" s="443">
        <f>AB142/VPI!R142</f>
        <v>1.4532560327787059</v>
      </c>
      <c r="AD142" s="445">
        <f t="shared" si="14"/>
        <v>57991</v>
      </c>
      <c r="AE142" s="443">
        <f>AD142/VPI!R142</f>
        <v>0.82227483971148629</v>
      </c>
      <c r="AF142" s="237">
        <v>160482</v>
      </c>
      <c r="AG142" s="237">
        <v>132429</v>
      </c>
      <c r="AH142" s="237">
        <v>84024</v>
      </c>
      <c r="AI142" s="271"/>
      <c r="AJ142" s="8">
        <v>0</v>
      </c>
      <c r="AK142" s="443">
        <f>AJ142/VPI!R142</f>
        <v>0</v>
      </c>
      <c r="AL142" s="445">
        <f t="shared" si="15"/>
        <v>8056</v>
      </c>
      <c r="AM142" s="443">
        <f>AL142/VPI!R142</f>
        <v>0.11422886497414655</v>
      </c>
      <c r="AN142" s="8">
        <v>8056</v>
      </c>
      <c r="AO142" s="271"/>
      <c r="AP142" s="529">
        <v>43.538700830720344</v>
      </c>
      <c r="AR142" s="546">
        <v>1</v>
      </c>
      <c r="AT142" s="239">
        <f t="shared" si="16"/>
        <v>4569671.3400000008</v>
      </c>
      <c r="AU142" s="5">
        <f t="shared" si="17"/>
        <v>0</v>
      </c>
    </row>
    <row r="143" spans="1:92" s="189" customFormat="1" x14ac:dyDescent="0.25">
      <c r="A143" s="192">
        <v>5642</v>
      </c>
      <c r="B143" s="447" t="s">
        <v>145</v>
      </c>
      <c r="C143" s="535">
        <v>36138678.350000001</v>
      </c>
      <c r="D143" s="535">
        <v>5889287.7199999997</v>
      </c>
      <c r="E143" s="535"/>
      <c r="F143" s="536"/>
      <c r="G143" s="535">
        <f>18857158.55-10800000</f>
        <v>8057158.5500000007</v>
      </c>
      <c r="H143" s="535">
        <v>524718.6</v>
      </c>
      <c r="I143" s="535">
        <v>-886329.76</v>
      </c>
      <c r="J143" s="535">
        <v>2165278.56</v>
      </c>
      <c r="K143" s="535">
        <v>524306.9</v>
      </c>
      <c r="L143" s="535">
        <v>3380590.7</v>
      </c>
      <c r="M143" s="498">
        <f t="shared" si="12"/>
        <v>55793689.620000012</v>
      </c>
      <c r="N143" s="243">
        <v>1327116.8999999999</v>
      </c>
      <c r="O143" s="243">
        <v>2837589.9</v>
      </c>
      <c r="P143" s="243">
        <v>1295627.5</v>
      </c>
      <c r="Q143" s="243">
        <v>51028.26</v>
      </c>
      <c r="R143" s="243">
        <v>1325952.5</v>
      </c>
      <c r="S143" s="535">
        <v>941019.52</v>
      </c>
      <c r="T143" s="498">
        <f t="shared" si="13"/>
        <v>63572024.20000001</v>
      </c>
      <c r="U143" s="239">
        <v>-539005.03</v>
      </c>
      <c r="V143" s="243"/>
      <c r="W143" s="243">
        <v>-94427.27</v>
      </c>
      <c r="X143" s="540">
        <v>67</v>
      </c>
      <c r="Y143" s="543">
        <v>1</v>
      </c>
      <c r="Z143" s="215">
        <v>16885</v>
      </c>
      <c r="AA143" s="268"/>
      <c r="AB143" s="237">
        <v>710360</v>
      </c>
      <c r="AC143" s="443">
        <f>AB143/VPI!R143</f>
        <v>0.84758978131424922</v>
      </c>
      <c r="AD143" s="445">
        <f t="shared" si="14"/>
        <v>2122708</v>
      </c>
      <c r="AE143" s="443">
        <f>AD143/VPI!R143</f>
        <v>2.5327800122670299</v>
      </c>
      <c r="AF143" s="237">
        <v>2833068</v>
      </c>
      <c r="AG143" s="237">
        <v>5020298</v>
      </c>
      <c r="AH143" s="237">
        <v>96237</v>
      </c>
      <c r="AI143" s="271"/>
      <c r="AJ143" s="8">
        <v>0</v>
      </c>
      <c r="AK143" s="443">
        <f>AJ143/VPI!R143</f>
        <v>0</v>
      </c>
      <c r="AL143" s="445">
        <f t="shared" si="15"/>
        <v>49651</v>
      </c>
      <c r="AM143" s="443">
        <f>AL143/VPI!R143</f>
        <v>5.9242750481493592E-2</v>
      </c>
      <c r="AN143" s="8">
        <v>49651</v>
      </c>
      <c r="AO143" s="271"/>
      <c r="AP143" s="529">
        <v>26.89222001001475</v>
      </c>
      <c r="AQ143" s="239"/>
      <c r="AR143" s="546">
        <v>1</v>
      </c>
      <c r="AS143" s="239"/>
      <c r="AT143" s="239">
        <f t="shared" si="16"/>
        <v>55793689.620000012</v>
      </c>
      <c r="AU143" s="5">
        <f t="shared" si="17"/>
        <v>0</v>
      </c>
      <c r="AV143" s="239"/>
      <c r="AW143" s="239"/>
      <c r="AX143" s="239"/>
      <c r="AY143" s="239"/>
      <c r="AZ143" s="239"/>
      <c r="BA143" s="239"/>
      <c r="BB143" s="239"/>
      <c r="BC143" s="239"/>
      <c r="BD143" s="239"/>
      <c r="BE143" s="239"/>
      <c r="BF143" s="239"/>
      <c r="BG143" s="239"/>
      <c r="BH143" s="239"/>
      <c r="BI143" s="239"/>
      <c r="BJ143" s="239"/>
      <c r="BK143" s="239"/>
      <c r="BL143" s="239"/>
      <c r="BM143" s="239"/>
      <c r="BN143" s="239"/>
      <c r="BO143" s="239"/>
      <c r="BP143" s="239"/>
      <c r="BQ143" s="239"/>
      <c r="BR143" s="239"/>
      <c r="BS143" s="239"/>
      <c r="BT143" s="239"/>
      <c r="BU143" s="239"/>
      <c r="BV143" s="239"/>
      <c r="BW143" s="239"/>
      <c r="BX143" s="239"/>
      <c r="BY143" s="239"/>
      <c r="BZ143" s="239"/>
      <c r="CA143" s="239"/>
      <c r="CB143" s="239"/>
      <c r="CC143" s="239"/>
      <c r="CD143" s="239"/>
      <c r="CE143" s="239"/>
      <c r="CF143" s="239"/>
      <c r="CG143" s="239"/>
      <c r="CH143" s="239"/>
      <c r="CI143" s="239"/>
      <c r="CJ143" s="239"/>
      <c r="CK143" s="239"/>
      <c r="CL143" s="239"/>
      <c r="CM143" s="239"/>
      <c r="CN143" s="239"/>
    </row>
    <row r="144" spans="1:92" x14ac:dyDescent="0.25">
      <c r="A144" s="192">
        <v>5643</v>
      </c>
      <c r="B144" s="447" t="s">
        <v>146</v>
      </c>
      <c r="C144" s="535">
        <v>11401422.15</v>
      </c>
      <c r="D144" s="535">
        <v>2328590.2999999998</v>
      </c>
      <c r="E144" s="535"/>
      <c r="F144" s="536"/>
      <c r="G144" s="535">
        <v>468385.8</v>
      </c>
      <c r="H144" s="535">
        <v>121536</v>
      </c>
      <c r="I144" s="535">
        <v>365406.59</v>
      </c>
      <c r="J144" s="535">
        <v>196489.56</v>
      </c>
      <c r="K144" s="535">
        <v>130915.1</v>
      </c>
      <c r="L144" s="535">
        <v>1138350.72</v>
      </c>
      <c r="M144" s="498">
        <f t="shared" si="12"/>
        <v>16151096.220000001</v>
      </c>
      <c r="N144" s="243">
        <v>200612.9</v>
      </c>
      <c r="O144" s="243">
        <v>-50459</v>
      </c>
      <c r="P144" s="243">
        <v>454440.25</v>
      </c>
      <c r="Q144" s="243">
        <v>70180.77</v>
      </c>
      <c r="R144" s="243">
        <v>477859.3</v>
      </c>
      <c r="S144" s="535">
        <v>64792.07</v>
      </c>
      <c r="T144" s="498">
        <f t="shared" si="13"/>
        <v>17368522.510000002</v>
      </c>
      <c r="U144" s="239">
        <v>-160578.53</v>
      </c>
      <c r="V144" s="243"/>
      <c r="W144" s="243">
        <v>-17962.939999999999</v>
      </c>
      <c r="X144" s="540">
        <v>62.5</v>
      </c>
      <c r="Y144" s="543">
        <v>1</v>
      </c>
      <c r="Z144" s="215">
        <v>5208</v>
      </c>
      <c r="AA144" s="268"/>
      <c r="AB144" s="237">
        <v>0</v>
      </c>
      <c r="AC144" s="443">
        <f>AB144/VPI!R144</f>
        <v>0</v>
      </c>
      <c r="AD144" s="445">
        <f t="shared" si="14"/>
        <v>197807</v>
      </c>
      <c r="AE144" s="443">
        <f>AD144/VPI!R144</f>
        <v>0.76752545857349674</v>
      </c>
      <c r="AF144" s="237">
        <v>197807</v>
      </c>
      <c r="AG144" s="237">
        <v>1233606</v>
      </c>
      <c r="AH144" s="237">
        <v>114465</v>
      </c>
      <c r="AI144" s="271"/>
      <c r="AJ144" s="8">
        <v>0</v>
      </c>
      <c r="AK144" s="443">
        <f>AJ144/VPI!R144</f>
        <v>0</v>
      </c>
      <c r="AL144" s="445">
        <f t="shared" si="15"/>
        <v>0</v>
      </c>
      <c r="AM144" s="443">
        <f>AL144/VPI!R144</f>
        <v>0</v>
      </c>
      <c r="AN144" s="8">
        <v>0</v>
      </c>
      <c r="AO144" s="271"/>
      <c r="AP144" s="529">
        <v>29.054785112444456</v>
      </c>
      <c r="AR144" s="546">
        <v>1</v>
      </c>
      <c r="AT144" s="239">
        <f t="shared" si="16"/>
        <v>16151096.220000001</v>
      </c>
      <c r="AU144" s="5">
        <f t="shared" si="17"/>
        <v>0</v>
      </c>
    </row>
    <row r="145" spans="1:47" x14ac:dyDescent="0.25">
      <c r="A145" s="192">
        <v>5645</v>
      </c>
      <c r="B145" s="447" t="s">
        <v>262</v>
      </c>
      <c r="C145" s="535">
        <v>913007.86</v>
      </c>
      <c r="D145" s="535">
        <v>173002.2</v>
      </c>
      <c r="E145" s="535"/>
      <c r="F145" s="536"/>
      <c r="G145" s="535">
        <v>85805.6</v>
      </c>
      <c r="H145" s="535">
        <v>68095.05</v>
      </c>
      <c r="I145" s="535"/>
      <c r="J145" s="535">
        <v>55470.86</v>
      </c>
      <c r="K145" s="535">
        <v>21581.5</v>
      </c>
      <c r="L145" s="535">
        <v>162543.5</v>
      </c>
      <c r="M145" s="498">
        <f t="shared" si="12"/>
        <v>1479506.5700000003</v>
      </c>
      <c r="N145" s="243">
        <v>66780.649999999994</v>
      </c>
      <c r="O145" s="243">
        <v>96188.7</v>
      </c>
      <c r="P145" s="243">
        <v>35423</v>
      </c>
      <c r="Q145" s="243">
        <v>1707.71</v>
      </c>
      <c r="R145" s="243">
        <v>55080.4</v>
      </c>
      <c r="S145" s="535">
        <v>16903.16</v>
      </c>
      <c r="T145" s="498">
        <f t="shared" si="13"/>
        <v>1751590.19</v>
      </c>
      <c r="U145" s="239">
        <v>-9250.36</v>
      </c>
      <c r="V145" s="243"/>
      <c r="W145" s="243">
        <v>-577.80999999999995</v>
      </c>
      <c r="X145" s="540">
        <v>56</v>
      </c>
      <c r="Y145" s="543">
        <v>1</v>
      </c>
      <c r="Z145" s="215">
        <v>466</v>
      </c>
      <c r="AA145" s="268"/>
      <c r="AB145" s="237">
        <v>19096</v>
      </c>
      <c r="AC145" s="443">
        <f>AB145/VPI!R145</f>
        <v>0.71852698366897449</v>
      </c>
      <c r="AD145" s="445">
        <f t="shared" si="14"/>
        <v>95673</v>
      </c>
      <c r="AE145" s="443">
        <f>AD145/VPI!R145</f>
        <v>3.5998969474529638</v>
      </c>
      <c r="AF145" s="237">
        <v>114769</v>
      </c>
      <c r="AG145" s="237">
        <v>62118</v>
      </c>
      <c r="AH145" s="237">
        <v>36114</v>
      </c>
      <c r="AI145" s="271"/>
      <c r="AJ145" s="8">
        <v>0</v>
      </c>
      <c r="AK145" s="443">
        <f>AJ145/VPI!R145</f>
        <v>0</v>
      </c>
      <c r="AL145" s="445">
        <f t="shared" si="15"/>
        <v>5901</v>
      </c>
      <c r="AM145" s="443">
        <f>AL145/VPI!R145</f>
        <v>0.22203748065723811</v>
      </c>
      <c r="AN145" s="8">
        <v>5901</v>
      </c>
      <c r="AO145" s="271"/>
      <c r="AP145" s="529">
        <v>38.003789057467586</v>
      </c>
      <c r="AR145" s="546">
        <v>0</v>
      </c>
      <c r="AT145" s="239">
        <f t="shared" si="16"/>
        <v>1479506.5700000003</v>
      </c>
      <c r="AU145" s="5">
        <f t="shared" si="17"/>
        <v>0</v>
      </c>
    </row>
    <row r="146" spans="1:47" x14ac:dyDescent="0.25">
      <c r="A146" s="192">
        <v>5646</v>
      </c>
      <c r="B146" s="447" t="s">
        <v>263</v>
      </c>
      <c r="C146" s="535">
        <v>13071868.77</v>
      </c>
      <c r="D146" s="535">
        <v>3302996.34</v>
      </c>
      <c r="E146" s="535"/>
      <c r="F146" s="536"/>
      <c r="G146" s="535">
        <v>3311152.75</v>
      </c>
      <c r="H146" s="535">
        <v>7354170.9000000004</v>
      </c>
      <c r="I146" s="535">
        <v>554981.4</v>
      </c>
      <c r="J146" s="535">
        <v>621836.80000000005</v>
      </c>
      <c r="K146" s="535">
        <v>156366.6</v>
      </c>
      <c r="L146" s="535">
        <v>2022915</v>
      </c>
      <c r="M146" s="498">
        <f t="shared" si="12"/>
        <v>30396288.559999999</v>
      </c>
      <c r="N146" s="243">
        <v>663063.1</v>
      </c>
      <c r="O146" s="243">
        <v>329676.09999999998</v>
      </c>
      <c r="P146" s="243">
        <v>1568269.65</v>
      </c>
      <c r="Q146" s="243">
        <v>10829.31</v>
      </c>
      <c r="R146" s="243">
        <v>1542299.7</v>
      </c>
      <c r="S146" s="535">
        <v>1171389.8799999999</v>
      </c>
      <c r="T146" s="498">
        <f t="shared" si="13"/>
        <v>35681816.300000004</v>
      </c>
      <c r="U146" s="239">
        <v>-104718.29</v>
      </c>
      <c r="V146" s="243"/>
      <c r="W146" s="243">
        <v>-22242.06</v>
      </c>
      <c r="X146" s="540">
        <v>59</v>
      </c>
      <c r="Y146" s="543">
        <v>1.2</v>
      </c>
      <c r="Z146" s="215">
        <v>5866</v>
      </c>
      <c r="AA146" s="268"/>
      <c r="AB146" s="237">
        <v>0</v>
      </c>
      <c r="AC146" s="443">
        <f>AB146/VPI!R146</f>
        <v>0</v>
      </c>
      <c r="AD146" s="445">
        <f t="shared" si="14"/>
        <v>0</v>
      </c>
      <c r="AE146" s="443">
        <f>AD146/VPI!R146</f>
        <v>0</v>
      </c>
      <c r="AF146" s="237">
        <v>0</v>
      </c>
      <c r="AG146" s="237">
        <v>0</v>
      </c>
      <c r="AH146" s="237">
        <v>0</v>
      </c>
      <c r="AI146" s="271"/>
      <c r="AJ146" s="8">
        <v>0</v>
      </c>
      <c r="AK146" s="443">
        <f>AJ146/VPI!R146</f>
        <v>0</v>
      </c>
      <c r="AL146" s="445">
        <f t="shared" si="15"/>
        <v>0</v>
      </c>
      <c r="AM146" s="443">
        <f>AL146/VPI!R146</f>
        <v>0</v>
      </c>
      <c r="AN146" s="8">
        <v>0</v>
      </c>
      <c r="AO146" s="271"/>
      <c r="AP146" s="529">
        <v>41.113924823065467</v>
      </c>
      <c r="AR146" s="546">
        <v>1</v>
      </c>
      <c r="AT146" s="239">
        <f t="shared" si="16"/>
        <v>30396288.559999999</v>
      </c>
      <c r="AU146" s="5">
        <f t="shared" si="17"/>
        <v>0</v>
      </c>
    </row>
    <row r="147" spans="1:47" x14ac:dyDescent="0.25">
      <c r="A147" s="192">
        <v>5648</v>
      </c>
      <c r="B147" s="447" t="s">
        <v>264</v>
      </c>
      <c r="C147" s="535">
        <v>13898691.439999999</v>
      </c>
      <c r="D147" s="535">
        <v>3891889.21</v>
      </c>
      <c r="E147" s="535"/>
      <c r="F147" s="536"/>
      <c r="G147" s="535">
        <v>802518.1</v>
      </c>
      <c r="H147" s="535">
        <v>304086.95</v>
      </c>
      <c r="I147" s="535">
        <v>375047.25</v>
      </c>
      <c r="J147" s="535">
        <v>433976.27</v>
      </c>
      <c r="K147" s="535">
        <v>186166.35</v>
      </c>
      <c r="L147" s="535">
        <v>1404512.91</v>
      </c>
      <c r="M147" s="498">
        <f t="shared" si="12"/>
        <v>21296888.48</v>
      </c>
      <c r="N147" s="243">
        <v>75692.7</v>
      </c>
      <c r="O147" s="243">
        <v>1216225.3999999999</v>
      </c>
      <c r="P147" s="243">
        <v>978139.95</v>
      </c>
      <c r="Q147" s="243">
        <v>48693.31</v>
      </c>
      <c r="R147" s="243">
        <v>766442.95</v>
      </c>
      <c r="S147" s="535">
        <v>121540.24</v>
      </c>
      <c r="T147" s="498">
        <f t="shared" si="13"/>
        <v>24503623.029999994</v>
      </c>
      <c r="U147" s="239">
        <v>-86714.29</v>
      </c>
      <c r="V147" s="243"/>
      <c r="W147" s="243">
        <v>-41864.28</v>
      </c>
      <c r="X147" s="540">
        <v>55</v>
      </c>
      <c r="Y147" s="543">
        <v>0.8</v>
      </c>
      <c r="Z147" s="215">
        <v>4932</v>
      </c>
      <c r="AA147" s="268"/>
      <c r="AB147" s="237">
        <v>360482</v>
      </c>
      <c r="AC147" s="443">
        <f>AB147/VPI!R147</f>
        <v>0.91409912909960001</v>
      </c>
      <c r="AD147" s="445">
        <f t="shared" si="14"/>
        <v>361829</v>
      </c>
      <c r="AE147" s="443">
        <f>AD147/VPI!R147</f>
        <v>0.91751481012361003</v>
      </c>
      <c r="AF147" s="237">
        <v>722311</v>
      </c>
      <c r="AG147" s="237">
        <v>2128821</v>
      </c>
      <c r="AH147" s="237">
        <v>58763</v>
      </c>
      <c r="AI147" s="271"/>
      <c r="AJ147" s="8">
        <v>0</v>
      </c>
      <c r="AK147" s="443">
        <f>AJ147/VPI!R147</f>
        <v>0</v>
      </c>
      <c r="AL147" s="445">
        <f t="shared" si="15"/>
        <v>38892</v>
      </c>
      <c r="AM147" s="443">
        <f>AL147/VPI!R147</f>
        <v>9.862113317431008E-2</v>
      </c>
      <c r="AN147" s="8">
        <v>38892</v>
      </c>
      <c r="AO147" s="271"/>
      <c r="AP147" s="529">
        <v>38.673488428514034</v>
      </c>
      <c r="AR147" s="546">
        <v>1</v>
      </c>
      <c r="AT147" s="239">
        <f t="shared" si="16"/>
        <v>21296888.48</v>
      </c>
      <c r="AU147" s="5">
        <f t="shared" si="17"/>
        <v>0</v>
      </c>
    </row>
    <row r="148" spans="1:47" s="239" customFormat="1" x14ac:dyDescent="0.25">
      <c r="A148" s="192">
        <v>5649</v>
      </c>
      <c r="B148" s="447" t="s">
        <v>265</v>
      </c>
      <c r="C148" s="535">
        <v>3838129.67</v>
      </c>
      <c r="D148" s="535">
        <v>564281.01</v>
      </c>
      <c r="E148" s="535"/>
      <c r="F148" s="536"/>
      <c r="G148" s="535">
        <v>3094437.8</v>
      </c>
      <c r="H148" s="535">
        <v>937626.75</v>
      </c>
      <c r="I148" s="535">
        <v>63551.6</v>
      </c>
      <c r="J148" s="535">
        <v>531421.27</v>
      </c>
      <c r="K148" s="535">
        <v>63393.1</v>
      </c>
      <c r="L148" s="535">
        <v>562068.44999999995</v>
      </c>
      <c r="M148" s="498">
        <f t="shared" si="12"/>
        <v>9654909.6499999985</v>
      </c>
      <c r="N148" s="243">
        <v>287080.5</v>
      </c>
      <c r="O148" s="243">
        <v>76927.199999999997</v>
      </c>
      <c r="P148" s="243">
        <v>239799.65</v>
      </c>
      <c r="Q148" s="243">
        <v>2541.71</v>
      </c>
      <c r="R148" s="243">
        <v>201356.5</v>
      </c>
      <c r="S148" s="535">
        <v>442848.23</v>
      </c>
      <c r="T148" s="498">
        <f t="shared" si="13"/>
        <v>10905463.439999999</v>
      </c>
      <c r="U148" s="239">
        <v>-141662.75</v>
      </c>
      <c r="V148" s="243"/>
      <c r="W148" s="243">
        <v>-2649.82</v>
      </c>
      <c r="X148" s="540">
        <v>64</v>
      </c>
      <c r="Y148" s="543">
        <v>1</v>
      </c>
      <c r="Z148" s="215">
        <v>1886</v>
      </c>
      <c r="AA148" s="268"/>
      <c r="AB148" s="237">
        <v>87153</v>
      </c>
      <c r="AC148" s="443">
        <f>AB148/VPI!R148</f>
        <v>0.5602450052209893</v>
      </c>
      <c r="AD148" s="445">
        <f t="shared" si="14"/>
        <v>659853</v>
      </c>
      <c r="AE148" s="443">
        <f>AD148/VPI!R148</f>
        <v>4.2417283103287948</v>
      </c>
      <c r="AF148" s="237">
        <v>747006</v>
      </c>
      <c r="AG148" s="237">
        <v>740653</v>
      </c>
      <c r="AH148" s="237">
        <v>25615</v>
      </c>
      <c r="AI148" s="271"/>
      <c r="AJ148" s="8">
        <v>0</v>
      </c>
      <c r="AK148" s="443">
        <f>AJ148/VPI!R148</f>
        <v>0</v>
      </c>
      <c r="AL148" s="445">
        <f t="shared" si="15"/>
        <v>10144</v>
      </c>
      <c r="AM148" s="443">
        <f>AL148/VPI!R148</f>
        <v>6.5208602491729661E-2</v>
      </c>
      <c r="AN148" s="8">
        <v>10144</v>
      </c>
      <c r="AO148" s="271"/>
      <c r="AP148" s="529">
        <v>46.648358762405771</v>
      </c>
      <c r="AR148" s="546">
        <v>1</v>
      </c>
      <c r="AT148" s="239">
        <f t="shared" si="16"/>
        <v>9654909.6499999985</v>
      </c>
      <c r="AU148" s="5">
        <f t="shared" si="17"/>
        <v>0</v>
      </c>
    </row>
    <row r="149" spans="1:47" x14ac:dyDescent="0.25">
      <c r="A149" s="193">
        <v>5650</v>
      </c>
      <c r="B149" s="447" t="s">
        <v>266</v>
      </c>
      <c r="C149" s="535">
        <v>2044917.51</v>
      </c>
      <c r="D149" s="535">
        <v>2553070.6</v>
      </c>
      <c r="E149" s="535"/>
      <c r="F149" s="536"/>
      <c r="G149" s="535">
        <v>8239.1</v>
      </c>
      <c r="H149" s="535">
        <v>22.85</v>
      </c>
      <c r="I149" s="535"/>
      <c r="J149" s="535">
        <v>7063.68</v>
      </c>
      <c r="K149" s="535"/>
      <c r="L149" s="535">
        <v>57315</v>
      </c>
      <c r="M149" s="498">
        <f t="shared" si="12"/>
        <v>4670628.7399999993</v>
      </c>
      <c r="N149" s="243">
        <v>137.19999999999999</v>
      </c>
      <c r="O149" s="243">
        <v>1217687.3999999999</v>
      </c>
      <c r="P149" s="243">
        <v>18150</v>
      </c>
      <c r="Q149" s="243"/>
      <c r="R149" s="243">
        <v>27945</v>
      </c>
      <c r="S149" s="535">
        <v>907.42</v>
      </c>
      <c r="T149" s="498">
        <f t="shared" si="13"/>
        <v>5935455.7599999998</v>
      </c>
      <c r="U149" s="239">
        <v>-1.19</v>
      </c>
      <c r="V149" s="243"/>
      <c r="W149" s="243">
        <v>-5060.2</v>
      </c>
      <c r="X149" s="540">
        <v>56</v>
      </c>
      <c r="Y149" s="543">
        <v>1.25</v>
      </c>
      <c r="Z149" s="215">
        <v>196</v>
      </c>
      <c r="AA149" s="268"/>
      <c r="AB149" s="237">
        <v>0</v>
      </c>
      <c r="AC149" s="443">
        <f>AB149/VPI!R149</f>
        <v>0</v>
      </c>
      <c r="AD149" s="445">
        <f t="shared" si="14"/>
        <v>0</v>
      </c>
      <c r="AE149" s="443">
        <f>AD149/VPI!R149</f>
        <v>0</v>
      </c>
      <c r="AF149" s="237">
        <v>0</v>
      </c>
      <c r="AG149" s="237">
        <v>0</v>
      </c>
      <c r="AH149" s="237">
        <v>0</v>
      </c>
      <c r="AI149" s="271"/>
      <c r="AJ149" s="8">
        <v>0</v>
      </c>
      <c r="AK149" s="443">
        <f>AJ149/VPI!R149</f>
        <v>0</v>
      </c>
      <c r="AL149" s="445">
        <f t="shared" si="15"/>
        <v>0</v>
      </c>
      <c r="AM149" s="443">
        <f>AL149/VPI!R149</f>
        <v>0</v>
      </c>
      <c r="AN149" s="8">
        <v>0</v>
      </c>
      <c r="AO149" s="271"/>
      <c r="AP149" s="529">
        <v>48.306994971408955</v>
      </c>
      <c r="AR149" s="546">
        <v>0</v>
      </c>
      <c r="AT149" s="239">
        <f t="shared" si="16"/>
        <v>4670628.7399999993</v>
      </c>
      <c r="AU149" s="5">
        <f t="shared" si="17"/>
        <v>0</v>
      </c>
    </row>
    <row r="150" spans="1:47" x14ac:dyDescent="0.25">
      <c r="A150" s="192">
        <v>5651</v>
      </c>
      <c r="B150" s="447" t="s">
        <v>267</v>
      </c>
      <c r="C150" s="535">
        <v>2306560.65</v>
      </c>
      <c r="D150" s="535">
        <v>278010.39</v>
      </c>
      <c r="E150" s="535"/>
      <c r="F150" s="536"/>
      <c r="G150" s="535">
        <v>418688.1</v>
      </c>
      <c r="H150" s="535">
        <v>22217.4</v>
      </c>
      <c r="I150" s="535"/>
      <c r="J150" s="535">
        <v>13586.85</v>
      </c>
      <c r="K150" s="535">
        <v>39207.9</v>
      </c>
      <c r="L150" s="535">
        <v>371048.7</v>
      </c>
      <c r="M150" s="498">
        <f t="shared" si="12"/>
        <v>3449319.99</v>
      </c>
      <c r="N150" s="243">
        <v>178489.65</v>
      </c>
      <c r="O150" s="243"/>
      <c r="P150" s="243">
        <v>168784</v>
      </c>
      <c r="Q150" s="243">
        <v>14966.94</v>
      </c>
      <c r="R150" s="243">
        <v>15593.35</v>
      </c>
      <c r="S150" s="535">
        <v>34881.81</v>
      </c>
      <c r="T150" s="498">
        <f t="shared" si="13"/>
        <v>3862035.74</v>
      </c>
      <c r="U150" s="239">
        <v>-10039.99</v>
      </c>
      <c r="V150" s="243"/>
      <c r="W150" s="243">
        <v>-13514.42</v>
      </c>
      <c r="X150" s="540">
        <v>60.5</v>
      </c>
      <c r="Y150" s="543">
        <v>1</v>
      </c>
      <c r="Z150" s="215">
        <v>958</v>
      </c>
      <c r="AA150" s="268"/>
      <c r="AB150" s="237">
        <v>0</v>
      </c>
      <c r="AC150" s="443">
        <f>AB150/VPI!R150</f>
        <v>0</v>
      </c>
      <c r="AD150" s="445">
        <f t="shared" si="14"/>
        <v>0</v>
      </c>
      <c r="AE150" s="443">
        <f>AD150/VPI!R150</f>
        <v>0</v>
      </c>
      <c r="AF150" s="237">
        <v>0</v>
      </c>
      <c r="AG150" s="237">
        <v>0</v>
      </c>
      <c r="AH150" s="237">
        <v>0</v>
      </c>
      <c r="AI150" s="271"/>
      <c r="AJ150" s="8">
        <v>0</v>
      </c>
      <c r="AK150" s="443">
        <f>AJ150/VPI!R150</f>
        <v>0</v>
      </c>
      <c r="AL150" s="445">
        <f t="shared" si="15"/>
        <v>0</v>
      </c>
      <c r="AM150" s="443">
        <f>AL150/VPI!R150</f>
        <v>0</v>
      </c>
      <c r="AN150" s="8">
        <v>0</v>
      </c>
      <c r="AO150" s="271"/>
      <c r="AP150" s="529">
        <v>37.910737660133144</v>
      </c>
      <c r="AR150" s="546">
        <v>1</v>
      </c>
      <c r="AT150" s="239">
        <f t="shared" si="16"/>
        <v>3449319.99</v>
      </c>
      <c r="AU150" s="5">
        <f t="shared" si="17"/>
        <v>0</v>
      </c>
    </row>
    <row r="151" spans="1:47" x14ac:dyDescent="0.25">
      <c r="A151" s="192">
        <v>5652</v>
      </c>
      <c r="B151" s="447" t="s">
        <v>178</v>
      </c>
      <c r="C151" s="535">
        <v>1544892.45</v>
      </c>
      <c r="D151" s="535">
        <v>323848.58</v>
      </c>
      <c r="E151" s="535"/>
      <c r="F151" s="536"/>
      <c r="G151" s="535">
        <v>-3672.1</v>
      </c>
      <c r="H151" s="535">
        <v>336.75</v>
      </c>
      <c r="I151" s="535"/>
      <c r="J151" s="535">
        <v>33410.160000000003</v>
      </c>
      <c r="K151" s="535">
        <v>1037.1500000000001</v>
      </c>
      <c r="L151" s="535">
        <v>139839.70000000001</v>
      </c>
      <c r="M151" s="498">
        <f t="shared" si="12"/>
        <v>2039692.6899999997</v>
      </c>
      <c r="N151" s="243"/>
      <c r="O151" s="243"/>
      <c r="P151" s="243">
        <v>25787.599999999999</v>
      </c>
      <c r="Q151" s="243">
        <v>725.9</v>
      </c>
      <c r="R151" s="243">
        <v>35181.050000000003</v>
      </c>
      <c r="S151" s="535">
        <v>0</v>
      </c>
      <c r="T151" s="498">
        <f t="shared" si="13"/>
        <v>2101387.2399999998</v>
      </c>
      <c r="U151" s="239">
        <v>-47588.06</v>
      </c>
      <c r="V151" s="243"/>
      <c r="W151" s="243">
        <v>-546.20000000000005</v>
      </c>
      <c r="X151" s="540">
        <v>76</v>
      </c>
      <c r="Y151" s="543">
        <v>1.2</v>
      </c>
      <c r="Z151" s="215">
        <v>626</v>
      </c>
      <c r="AA151" s="268"/>
      <c r="AB151" s="237">
        <v>14197</v>
      </c>
      <c r="AC151" s="443">
        <f>AB151/VPI!R151</f>
        <v>0.54798588764795131</v>
      </c>
      <c r="AD151" s="445">
        <f t="shared" si="14"/>
        <v>117075</v>
      </c>
      <c r="AE151" s="443">
        <f>AD151/VPI!R151</f>
        <v>4.5189439879118058</v>
      </c>
      <c r="AF151" s="237">
        <v>131272</v>
      </c>
      <c r="AG151" s="237">
        <v>48775</v>
      </c>
      <c r="AH151" s="237">
        <v>62081</v>
      </c>
      <c r="AI151" s="271"/>
      <c r="AJ151" s="8">
        <v>0</v>
      </c>
      <c r="AK151" s="443">
        <f>AJ151/VPI!R151</f>
        <v>0</v>
      </c>
      <c r="AL151" s="445">
        <f t="shared" si="15"/>
        <v>6366</v>
      </c>
      <c r="AM151" s="443">
        <f>AL151/VPI!R151</f>
        <v>0.24571938865724155</v>
      </c>
      <c r="AN151" s="8">
        <v>6366</v>
      </c>
      <c r="AO151" s="271"/>
      <c r="AP151" s="529">
        <v>31.615317232029362</v>
      </c>
      <c r="AR151" s="546">
        <v>0</v>
      </c>
      <c r="AT151" s="239">
        <f t="shared" si="16"/>
        <v>2039692.6899999997</v>
      </c>
      <c r="AU151" s="5">
        <f t="shared" si="17"/>
        <v>0</v>
      </c>
    </row>
    <row r="152" spans="1:47" x14ac:dyDescent="0.25">
      <c r="A152" s="192">
        <v>5653</v>
      </c>
      <c r="B152" s="447" t="s">
        <v>179</v>
      </c>
      <c r="C152" s="535">
        <v>2622577.12</v>
      </c>
      <c r="D152" s="535">
        <v>882073.8</v>
      </c>
      <c r="E152" s="535"/>
      <c r="F152" s="536"/>
      <c r="G152" s="535">
        <v>12421.55</v>
      </c>
      <c r="H152" s="535">
        <v>6416.6</v>
      </c>
      <c r="I152" s="535">
        <v>186157.8</v>
      </c>
      <c r="J152" s="535">
        <v>25311.98</v>
      </c>
      <c r="K152" s="535">
        <v>3597.5</v>
      </c>
      <c r="L152" s="535">
        <v>212345.2</v>
      </c>
      <c r="M152" s="498">
        <f t="shared" si="12"/>
        <v>3950901.55</v>
      </c>
      <c r="N152" s="243">
        <v>4440.8999999999996</v>
      </c>
      <c r="O152" s="243"/>
      <c r="P152" s="243">
        <v>113478.7</v>
      </c>
      <c r="Q152" s="243"/>
      <c r="R152" s="243">
        <v>217114.15</v>
      </c>
      <c r="S152" s="535">
        <v>2069.0300000000002</v>
      </c>
      <c r="T152" s="498">
        <f t="shared" si="13"/>
        <v>4288004.33</v>
      </c>
      <c r="U152" s="239">
        <v>-7926.74</v>
      </c>
      <c r="V152" s="243"/>
      <c r="W152" s="243">
        <v>-38483.769999999997</v>
      </c>
      <c r="X152" s="540">
        <v>58.5</v>
      </c>
      <c r="Y152" s="543">
        <v>0.8</v>
      </c>
      <c r="Z152" s="215">
        <v>894</v>
      </c>
      <c r="AA152" s="268"/>
      <c r="AB152" s="237">
        <v>0</v>
      </c>
      <c r="AC152" s="443">
        <f>AB152/VPI!R152</f>
        <v>0</v>
      </c>
      <c r="AD152" s="445">
        <f t="shared" si="14"/>
        <v>0</v>
      </c>
      <c r="AE152" s="443">
        <f>AD152/VPI!R152</f>
        <v>0</v>
      </c>
      <c r="AF152" s="237">
        <v>0</v>
      </c>
      <c r="AG152" s="237">
        <v>0</v>
      </c>
      <c r="AH152" s="237">
        <v>0</v>
      </c>
      <c r="AI152" s="271"/>
      <c r="AJ152" s="8">
        <v>0</v>
      </c>
      <c r="AK152" s="443">
        <f>AJ152/VPI!R152</f>
        <v>0</v>
      </c>
      <c r="AL152" s="445">
        <f t="shared" si="15"/>
        <v>0</v>
      </c>
      <c r="AM152" s="443">
        <f>AL152/VPI!R152</f>
        <v>0</v>
      </c>
      <c r="AN152" s="8">
        <v>0</v>
      </c>
      <c r="AO152" s="271"/>
      <c r="AP152" s="529">
        <v>42.146846225974741</v>
      </c>
      <c r="AR152" s="546">
        <v>0</v>
      </c>
      <c r="AT152" s="239">
        <f t="shared" si="16"/>
        <v>3950901.55</v>
      </c>
      <c r="AU152" s="5">
        <f t="shared" si="17"/>
        <v>0</v>
      </c>
    </row>
    <row r="153" spans="1:47" x14ac:dyDescent="0.25">
      <c r="A153" s="192">
        <v>5654</v>
      </c>
      <c r="B153" s="447" t="s">
        <v>180</v>
      </c>
      <c r="C153" s="535">
        <v>1153574.2</v>
      </c>
      <c r="D153" s="535">
        <v>261994.31</v>
      </c>
      <c r="E153" s="535"/>
      <c r="F153" s="536"/>
      <c r="G153" s="535">
        <v>38019.4</v>
      </c>
      <c r="H153" s="535">
        <v>1270.1500000000001</v>
      </c>
      <c r="I153" s="535"/>
      <c r="J153" s="535">
        <v>1589.15</v>
      </c>
      <c r="K153" s="535">
        <v>1581</v>
      </c>
      <c r="L153" s="535">
        <v>112373.85</v>
      </c>
      <c r="M153" s="498">
        <f t="shared" si="12"/>
        <v>1570402.0599999998</v>
      </c>
      <c r="N153" s="243">
        <v>6542.3</v>
      </c>
      <c r="O153" s="243">
        <v>3395.3</v>
      </c>
      <c r="P153" s="243">
        <v>85266.7</v>
      </c>
      <c r="Q153" s="243"/>
      <c r="R153" s="243">
        <v>80384.350000000006</v>
      </c>
      <c r="S153" s="535">
        <v>4315.2299999999996</v>
      </c>
      <c r="T153" s="498">
        <f t="shared" si="13"/>
        <v>1750305.94</v>
      </c>
      <c r="U153" s="239">
        <v>-2734.79</v>
      </c>
      <c r="V153" s="243"/>
      <c r="W153" s="243">
        <v>-1524.66</v>
      </c>
      <c r="X153" s="540">
        <v>76</v>
      </c>
      <c r="Y153" s="543">
        <v>1</v>
      </c>
      <c r="Z153" s="215">
        <v>560</v>
      </c>
      <c r="AA153" s="268"/>
      <c r="AB153" s="237">
        <v>18983</v>
      </c>
      <c r="AC153" s="443">
        <f>AB153/VPI!R153</f>
        <v>0.91865439698782347</v>
      </c>
      <c r="AD153" s="445">
        <f t="shared" si="14"/>
        <v>151539</v>
      </c>
      <c r="AE153" s="443">
        <f>AD153/VPI!R153</f>
        <v>7.3335072783615756</v>
      </c>
      <c r="AF153" s="237">
        <v>170522</v>
      </c>
      <c r="AG153" s="237">
        <v>46439</v>
      </c>
      <c r="AH153" s="237">
        <v>84741</v>
      </c>
      <c r="AI153" s="271"/>
      <c r="AJ153" s="8">
        <v>0</v>
      </c>
      <c r="AK153" s="443">
        <f>AJ153/VPI!R153</f>
        <v>0</v>
      </c>
      <c r="AL153" s="445">
        <f t="shared" si="15"/>
        <v>5559</v>
      </c>
      <c r="AM153" s="443">
        <f>AL153/VPI!R153</f>
        <v>0.26901963824765901</v>
      </c>
      <c r="AN153" s="8">
        <v>5559</v>
      </c>
      <c r="AO153" s="271"/>
      <c r="AP153" s="529">
        <v>27.572553924672114</v>
      </c>
      <c r="AR153" s="546">
        <v>0</v>
      </c>
      <c r="AT153" s="239">
        <f t="shared" si="16"/>
        <v>1570402.0599999998</v>
      </c>
      <c r="AU153" s="5">
        <f t="shared" si="17"/>
        <v>0</v>
      </c>
    </row>
    <row r="154" spans="1:47" x14ac:dyDescent="0.25">
      <c r="A154" s="192">
        <v>5655</v>
      </c>
      <c r="B154" s="447" t="s">
        <v>181</v>
      </c>
      <c r="C154" s="535">
        <v>4069160.48</v>
      </c>
      <c r="D154" s="535">
        <v>873123.6</v>
      </c>
      <c r="E154" s="535"/>
      <c r="F154" s="536"/>
      <c r="G154" s="535">
        <v>-185064.55</v>
      </c>
      <c r="H154" s="535">
        <v>9272.5</v>
      </c>
      <c r="I154" s="535">
        <v>66010.45</v>
      </c>
      <c r="J154" s="535">
        <v>50940.13</v>
      </c>
      <c r="K154" s="535">
        <v>11547.1</v>
      </c>
      <c r="L154" s="535">
        <v>430184.7</v>
      </c>
      <c r="M154" s="498">
        <f t="shared" si="12"/>
        <v>5325174.41</v>
      </c>
      <c r="N154" s="243">
        <v>80041.2</v>
      </c>
      <c r="O154" s="243">
        <v>12243.4</v>
      </c>
      <c r="P154" s="243">
        <v>104769.5</v>
      </c>
      <c r="Q154" s="243">
        <v>7360.54</v>
      </c>
      <c r="R154" s="243">
        <v>-7759.1</v>
      </c>
      <c r="S154" s="535">
        <v>0</v>
      </c>
      <c r="T154" s="498">
        <f t="shared" si="13"/>
        <v>5521829.9500000011</v>
      </c>
      <c r="U154" s="239">
        <v>-49474.57</v>
      </c>
      <c r="V154" s="243"/>
      <c r="W154" s="243">
        <v>-11127.59</v>
      </c>
      <c r="X154" s="540">
        <v>71.5</v>
      </c>
      <c r="Y154" s="543">
        <v>1</v>
      </c>
      <c r="Z154" s="215">
        <v>1499</v>
      </c>
      <c r="AA154" s="268"/>
      <c r="AB154" s="237">
        <v>0</v>
      </c>
      <c r="AC154" s="443">
        <f>AB154/VPI!R154</f>
        <v>0</v>
      </c>
      <c r="AD154" s="445">
        <f t="shared" si="14"/>
        <v>0</v>
      </c>
      <c r="AE154" s="443">
        <f>AD154/VPI!R154</f>
        <v>0</v>
      </c>
      <c r="AF154" s="237">
        <v>0</v>
      </c>
      <c r="AG154" s="237">
        <v>0</v>
      </c>
      <c r="AH154" s="237">
        <v>0</v>
      </c>
      <c r="AI154" s="272"/>
      <c r="AJ154" s="8">
        <v>0</v>
      </c>
      <c r="AK154" s="443">
        <f>AJ154/VPI!R154</f>
        <v>0</v>
      </c>
      <c r="AL154" s="445">
        <f t="shared" si="15"/>
        <v>0</v>
      </c>
      <c r="AM154" s="443">
        <f>AL154/VPI!R154</f>
        <v>0</v>
      </c>
      <c r="AN154" s="8">
        <v>0</v>
      </c>
      <c r="AO154" s="272"/>
      <c r="AP154" s="529">
        <v>37.379688550683021</v>
      </c>
      <c r="AR154" s="546">
        <v>0</v>
      </c>
      <c r="AT154" s="239">
        <f t="shared" si="16"/>
        <v>5325174.41</v>
      </c>
      <c r="AU154" s="5">
        <f t="shared" si="17"/>
        <v>0</v>
      </c>
    </row>
    <row r="155" spans="1:47" s="239" customFormat="1" x14ac:dyDescent="0.25">
      <c r="A155" s="192">
        <v>5656</v>
      </c>
      <c r="B155" s="447" t="s">
        <v>397</v>
      </c>
      <c r="C155" s="535">
        <v>9376788.4199999999</v>
      </c>
      <c r="D155" s="535">
        <v>1891872.15</v>
      </c>
      <c r="E155" s="535">
        <v>0</v>
      </c>
      <c r="F155" s="535">
        <v>0</v>
      </c>
      <c r="G155" s="535">
        <v>145533.55000000002</v>
      </c>
      <c r="H155" s="535">
        <v>1885.0000000000005</v>
      </c>
      <c r="I155" s="535">
        <v>114350.1</v>
      </c>
      <c r="J155" s="535">
        <v>336961.46</v>
      </c>
      <c r="K155" s="535">
        <v>22112.85</v>
      </c>
      <c r="L155" s="535">
        <v>887551.7</v>
      </c>
      <c r="M155" s="498">
        <f t="shared" si="12"/>
        <v>12777055.23</v>
      </c>
      <c r="N155" s="535">
        <v>61784.95</v>
      </c>
      <c r="O155" s="535">
        <v>331562</v>
      </c>
      <c r="P155" s="535">
        <v>810549.75</v>
      </c>
      <c r="Q155" s="535">
        <v>13987.65</v>
      </c>
      <c r="R155" s="535">
        <v>405605.35000000003</v>
      </c>
      <c r="S155" s="535">
        <v>16191.22</v>
      </c>
      <c r="T155" s="498">
        <f t="shared" si="13"/>
        <v>14416736.15</v>
      </c>
      <c r="U155" s="535">
        <v>-110882.06999999999</v>
      </c>
      <c r="V155" s="535">
        <v>0</v>
      </c>
      <c r="W155" s="535">
        <v>-7228.1900000000005</v>
      </c>
      <c r="X155" s="535">
        <v>73.459999999999994</v>
      </c>
      <c r="Y155" s="535">
        <v>1.05</v>
      </c>
      <c r="Z155" s="215">
        <v>4173</v>
      </c>
      <c r="AA155" s="535"/>
      <c r="AB155" s="559">
        <v>260765</v>
      </c>
      <c r="AC155" s="443">
        <f>AB155/VPI!R155</f>
        <v>1.5146682811168377</v>
      </c>
      <c r="AD155" s="445">
        <f t="shared" si="14"/>
        <v>2761464</v>
      </c>
      <c r="AE155" s="443">
        <f>AD155/VPI!R155</f>
        <v>16.040120147435534</v>
      </c>
      <c r="AF155" s="559">
        <v>3022229</v>
      </c>
      <c r="AG155" s="559">
        <v>318962</v>
      </c>
      <c r="AH155" s="559">
        <v>553920</v>
      </c>
      <c r="AI155" s="550"/>
      <c r="AJ155" s="535">
        <f>+AJ320</f>
        <v>0</v>
      </c>
      <c r="AK155" s="443">
        <f>AJ155/VPI!R155</f>
        <v>0</v>
      </c>
      <c r="AL155" s="445">
        <f t="shared" si="15"/>
        <v>285732</v>
      </c>
      <c r="AM155" s="443">
        <f>AL155/VPI!R155</f>
        <v>1.6596905155986283</v>
      </c>
      <c r="AN155" s="559">
        <v>285732</v>
      </c>
      <c r="AO155" s="550"/>
      <c r="AP155" s="529">
        <v>23.49632391717925</v>
      </c>
      <c r="AQ155" s="535"/>
      <c r="AR155" s="546">
        <f>+AR320</f>
        <v>0</v>
      </c>
      <c r="AT155" s="239">
        <f t="shared" si="16"/>
        <v>12777055.23</v>
      </c>
      <c r="AU155" s="5">
        <f t="shared" si="17"/>
        <v>0</v>
      </c>
    </row>
    <row r="156" spans="1:47" x14ac:dyDescent="0.25">
      <c r="A156" s="192">
        <v>5661</v>
      </c>
      <c r="B156" s="447" t="s">
        <v>182</v>
      </c>
      <c r="C156" s="535">
        <v>668759.29</v>
      </c>
      <c r="D156" s="535">
        <v>56633.72</v>
      </c>
      <c r="E156" s="535"/>
      <c r="F156" s="536"/>
      <c r="G156" s="535">
        <v>5625.5</v>
      </c>
      <c r="H156" s="535">
        <v>22.95</v>
      </c>
      <c r="I156" s="535"/>
      <c r="J156" s="535">
        <v>11126.13</v>
      </c>
      <c r="K156" s="535">
        <v>555</v>
      </c>
      <c r="L156" s="535">
        <v>60664.75</v>
      </c>
      <c r="M156" s="498">
        <f t="shared" si="12"/>
        <v>803387.34</v>
      </c>
      <c r="N156" s="243">
        <v>18731.2</v>
      </c>
      <c r="O156" s="243"/>
      <c r="P156" s="243">
        <v>27582.5</v>
      </c>
      <c r="Q156" s="243">
        <v>60.95</v>
      </c>
      <c r="R156" s="243">
        <v>20575.5</v>
      </c>
      <c r="S156" s="535">
        <v>620.38</v>
      </c>
      <c r="T156" s="498">
        <f t="shared" si="13"/>
        <v>870957.86999999988</v>
      </c>
      <c r="U156" s="239">
        <v>-1386.94</v>
      </c>
      <c r="V156" s="243"/>
      <c r="W156" s="243">
        <v>0</v>
      </c>
      <c r="X156" s="540">
        <v>71.5</v>
      </c>
      <c r="Y156" s="543">
        <v>1</v>
      </c>
      <c r="Z156" s="215">
        <v>371</v>
      </c>
      <c r="AA156" s="268"/>
      <c r="AB156" s="237">
        <v>936</v>
      </c>
      <c r="AC156" s="443">
        <f>AB156/VPI!R156</f>
        <v>8.3375511736139801E-2</v>
      </c>
      <c r="AD156" s="445">
        <f t="shared" si="14"/>
        <v>48379</v>
      </c>
      <c r="AE156" s="443">
        <f>AD156/VPI!R156</f>
        <v>4.3094272246610119</v>
      </c>
      <c r="AF156" s="237">
        <v>49315</v>
      </c>
      <c r="AG156" s="237">
        <v>13435</v>
      </c>
      <c r="AH156" s="237">
        <v>32450</v>
      </c>
      <c r="AI156" s="272"/>
      <c r="AJ156" s="8">
        <v>0</v>
      </c>
      <c r="AK156" s="443">
        <f>AJ156/VPI!R156</f>
        <v>0</v>
      </c>
      <c r="AL156" s="445">
        <f t="shared" si="15"/>
        <v>28979</v>
      </c>
      <c r="AM156" s="443">
        <f>AL156/VPI!R156</f>
        <v>2.5813450369675164</v>
      </c>
      <c r="AN156" s="8">
        <v>28979</v>
      </c>
      <c r="AO156" s="272"/>
      <c r="AP156" s="529">
        <v>17.126841970291277</v>
      </c>
      <c r="AR156" s="546">
        <v>0</v>
      </c>
      <c r="AT156" s="239">
        <f t="shared" si="16"/>
        <v>803387.34</v>
      </c>
      <c r="AU156" s="5">
        <f t="shared" si="17"/>
        <v>0</v>
      </c>
    </row>
    <row r="157" spans="1:47" x14ac:dyDescent="0.25">
      <c r="A157" s="192">
        <v>5663</v>
      </c>
      <c r="B157" s="447" t="s">
        <v>183</v>
      </c>
      <c r="C157" s="535">
        <v>331647.48</v>
      </c>
      <c r="D157" s="535">
        <v>32520.19</v>
      </c>
      <c r="E157" s="535"/>
      <c r="F157" s="536">
        <v>1350</v>
      </c>
      <c r="G157" s="535">
        <v>1093.9000000000001</v>
      </c>
      <c r="H157" s="535">
        <v>320.7</v>
      </c>
      <c r="I157" s="535"/>
      <c r="J157" s="535">
        <v>13237.34</v>
      </c>
      <c r="K157" s="535">
        <v>325.2</v>
      </c>
      <c r="L157" s="535">
        <v>32601.05</v>
      </c>
      <c r="M157" s="498">
        <f t="shared" si="12"/>
        <v>413095.86000000004</v>
      </c>
      <c r="N157" s="243"/>
      <c r="O157" s="243"/>
      <c r="P157" s="243">
        <v>22816.2</v>
      </c>
      <c r="Q157" s="243"/>
      <c r="R157" s="243">
        <v>2408.15</v>
      </c>
      <c r="S157" s="535">
        <v>155.37</v>
      </c>
      <c r="T157" s="498">
        <f t="shared" si="13"/>
        <v>438475.58000000007</v>
      </c>
      <c r="U157" s="239">
        <v>-57.56</v>
      </c>
      <c r="V157" s="243"/>
      <c r="W157" s="243">
        <v>0</v>
      </c>
      <c r="X157" s="540">
        <v>78.5</v>
      </c>
      <c r="Y157" s="543">
        <v>1</v>
      </c>
      <c r="Z157" s="215">
        <v>236</v>
      </c>
      <c r="AA157" s="268"/>
      <c r="AB157" s="237">
        <v>0</v>
      </c>
      <c r="AC157" s="443">
        <f>AB157/VPI!R157</f>
        <v>0</v>
      </c>
      <c r="AD157" s="445">
        <f t="shared" si="14"/>
        <v>34955</v>
      </c>
      <c r="AE157" s="443">
        <f>AD157/VPI!R157</f>
        <v>6.6408749679054866</v>
      </c>
      <c r="AF157" s="237">
        <v>34955</v>
      </c>
      <c r="AG157" s="237">
        <v>7974</v>
      </c>
      <c r="AH157" s="237">
        <v>13763</v>
      </c>
      <c r="AI157" s="272"/>
      <c r="AJ157" s="8">
        <v>0</v>
      </c>
      <c r="AK157" s="443">
        <f>AJ157/VPI!R157</f>
        <v>0</v>
      </c>
      <c r="AL157" s="445">
        <f t="shared" si="15"/>
        <v>-9057</v>
      </c>
      <c r="AM157" s="443">
        <f>AL157/VPI!R157</f>
        <v>-1.7206810065604345</v>
      </c>
      <c r="AN157" s="8">
        <v>-9057</v>
      </c>
      <c r="AO157" s="272"/>
      <c r="AP157" s="529">
        <v>8.4414532447888071</v>
      </c>
      <c r="AR157" s="546">
        <v>0</v>
      </c>
      <c r="AT157" s="239">
        <f t="shared" si="16"/>
        <v>413095.86000000004</v>
      </c>
      <c r="AU157" s="5">
        <f t="shared" si="17"/>
        <v>0</v>
      </c>
    </row>
    <row r="158" spans="1:47" x14ac:dyDescent="0.25">
      <c r="A158" s="192">
        <v>5665</v>
      </c>
      <c r="B158" s="447" t="s">
        <v>85</v>
      </c>
      <c r="C158" s="535">
        <v>263828.63</v>
      </c>
      <c r="D158" s="535">
        <v>43527.41</v>
      </c>
      <c r="E158" s="535"/>
      <c r="F158" s="536"/>
      <c r="G158" s="535">
        <v>2287.0500000000002</v>
      </c>
      <c r="H158" s="535">
        <v>26.9</v>
      </c>
      <c r="I158" s="535"/>
      <c r="J158" s="535">
        <v>5964.57</v>
      </c>
      <c r="K158" s="535">
        <v>4.5</v>
      </c>
      <c r="L158" s="535">
        <v>28605.4</v>
      </c>
      <c r="M158" s="498">
        <f t="shared" si="12"/>
        <v>344244.46000000008</v>
      </c>
      <c r="N158" s="243"/>
      <c r="O158" s="243"/>
      <c r="P158" s="243">
        <v>7885.75</v>
      </c>
      <c r="Q158" s="243"/>
      <c r="R158" s="243">
        <v>2791.65</v>
      </c>
      <c r="S158" s="535">
        <v>254.14</v>
      </c>
      <c r="T158" s="498">
        <f t="shared" si="13"/>
        <v>355176.00000000012</v>
      </c>
      <c r="U158" s="239">
        <v>-45.68</v>
      </c>
      <c r="V158" s="243"/>
      <c r="W158" s="243">
        <v>0</v>
      </c>
      <c r="X158" s="540">
        <v>70</v>
      </c>
      <c r="Y158" s="543">
        <v>1</v>
      </c>
      <c r="Z158" s="215">
        <v>222</v>
      </c>
      <c r="AA158" s="268"/>
      <c r="AB158" s="237">
        <v>3714</v>
      </c>
      <c r="AC158" s="443">
        <f>AB158/VPI!R158</f>
        <v>0.75476207314485799</v>
      </c>
      <c r="AD158" s="445">
        <f t="shared" si="14"/>
        <v>17885</v>
      </c>
      <c r="AE158" s="443">
        <f>AD158/VPI!R158</f>
        <v>3.6346041136768408</v>
      </c>
      <c r="AF158" s="237">
        <v>21599</v>
      </c>
      <c r="AG158" s="237">
        <v>8120</v>
      </c>
      <c r="AH158" s="237">
        <v>13070</v>
      </c>
      <c r="AI158" s="272"/>
      <c r="AJ158" s="8">
        <v>0</v>
      </c>
      <c r="AK158" s="443">
        <f>AJ158/VPI!R158</f>
        <v>0</v>
      </c>
      <c r="AL158" s="445">
        <f t="shared" si="15"/>
        <v>-8477</v>
      </c>
      <c r="AM158" s="443">
        <f>AL158/VPI!R158</f>
        <v>-1.7227027716879273</v>
      </c>
      <c r="AN158" s="8">
        <v>-8477</v>
      </c>
      <c r="AO158" s="272"/>
      <c r="AP158" s="529">
        <v>22.799086366639344</v>
      </c>
      <c r="AR158" s="546">
        <v>0</v>
      </c>
      <c r="AT158" s="239">
        <f t="shared" si="16"/>
        <v>344244.46000000008</v>
      </c>
      <c r="AU158" s="5">
        <f t="shared" si="17"/>
        <v>0</v>
      </c>
    </row>
    <row r="159" spans="1:47" x14ac:dyDescent="0.25">
      <c r="A159" s="192">
        <v>5669</v>
      </c>
      <c r="B159" s="447" t="s">
        <v>86</v>
      </c>
      <c r="C159" s="535">
        <v>514530.92</v>
      </c>
      <c r="D159" s="535">
        <v>110689.07</v>
      </c>
      <c r="E159" s="535"/>
      <c r="F159" s="536"/>
      <c r="G159" s="535">
        <v>16094.1</v>
      </c>
      <c r="H159" s="535">
        <v>200.85</v>
      </c>
      <c r="I159" s="535"/>
      <c r="J159" s="535">
        <v>1884.79</v>
      </c>
      <c r="K159" s="535">
        <v>-1050.3</v>
      </c>
      <c r="L159" s="535">
        <v>24127.3</v>
      </c>
      <c r="M159" s="498">
        <f t="shared" si="12"/>
        <v>666476.73</v>
      </c>
      <c r="N159" s="243"/>
      <c r="O159" s="243">
        <v>40750</v>
      </c>
      <c r="P159" s="243">
        <v>33489.15</v>
      </c>
      <c r="Q159" s="243"/>
      <c r="R159" s="243">
        <v>15400</v>
      </c>
      <c r="S159" s="535">
        <v>1789.7</v>
      </c>
      <c r="T159" s="498">
        <f t="shared" si="13"/>
        <v>757905.58</v>
      </c>
      <c r="U159" s="239">
        <v>-10748.08</v>
      </c>
      <c r="V159" s="243"/>
      <c r="W159" s="243">
        <v>0</v>
      </c>
      <c r="X159" s="540">
        <v>73</v>
      </c>
      <c r="Y159" s="543">
        <v>0.5</v>
      </c>
      <c r="Z159" s="215">
        <v>296</v>
      </c>
      <c r="AA159" s="268"/>
      <c r="AB159" s="237">
        <v>6159</v>
      </c>
      <c r="AC159" s="443">
        <f>AB159/VPI!R159</f>
        <v>0.65959050717920664</v>
      </c>
      <c r="AD159" s="445">
        <f t="shared" si="14"/>
        <v>30263</v>
      </c>
      <c r="AE159" s="443">
        <f>AD159/VPI!R159</f>
        <v>3.2409786521780046</v>
      </c>
      <c r="AF159" s="237">
        <v>36422</v>
      </c>
      <c r="AG159" s="237">
        <v>21919</v>
      </c>
      <c r="AH159" s="237">
        <v>16440</v>
      </c>
      <c r="AI159" s="272"/>
      <c r="AJ159" s="8">
        <v>0</v>
      </c>
      <c r="AK159" s="443">
        <f>AJ159/VPI!R159</f>
        <v>0</v>
      </c>
      <c r="AL159" s="445">
        <f t="shared" si="15"/>
        <v>339</v>
      </c>
      <c r="AM159" s="443">
        <f>AL159/VPI!R159</f>
        <v>3.6304786805285122E-2</v>
      </c>
      <c r="AN159" s="8">
        <v>339</v>
      </c>
      <c r="AO159" s="272"/>
      <c r="AP159" s="529">
        <v>24.219006441093146</v>
      </c>
      <c r="AR159" s="546">
        <v>0</v>
      </c>
      <c r="AT159" s="239">
        <f t="shared" si="16"/>
        <v>666476.73</v>
      </c>
      <c r="AU159" s="5">
        <f t="shared" si="17"/>
        <v>0</v>
      </c>
    </row>
    <row r="160" spans="1:47" x14ac:dyDescent="0.25">
      <c r="A160" s="192">
        <v>5671</v>
      </c>
      <c r="B160" s="447" t="s">
        <v>87</v>
      </c>
      <c r="C160" s="535">
        <v>396872.74</v>
      </c>
      <c r="D160" s="535">
        <v>54825.43</v>
      </c>
      <c r="E160" s="535"/>
      <c r="F160" s="536">
        <v>1480</v>
      </c>
      <c r="G160" s="535">
        <v>10755.8</v>
      </c>
      <c r="H160" s="535">
        <v>129.35</v>
      </c>
      <c r="I160" s="535"/>
      <c r="J160" s="535">
        <v>3734.29</v>
      </c>
      <c r="K160" s="535">
        <v>223.5</v>
      </c>
      <c r="L160" s="535">
        <v>35237.85</v>
      </c>
      <c r="M160" s="498">
        <f t="shared" si="12"/>
        <v>503258.9599999999</v>
      </c>
      <c r="N160" s="243">
        <v>5497.4</v>
      </c>
      <c r="O160" s="243"/>
      <c r="P160" s="243">
        <v>55902.95</v>
      </c>
      <c r="Q160" s="243">
        <v>358.55</v>
      </c>
      <c r="R160" s="243">
        <v>47585.2</v>
      </c>
      <c r="S160" s="535">
        <v>1195.54</v>
      </c>
      <c r="T160" s="498">
        <f t="shared" si="13"/>
        <v>613798.6</v>
      </c>
      <c r="U160" s="239">
        <v>-660.07</v>
      </c>
      <c r="V160" s="243"/>
      <c r="W160" s="243">
        <v>0</v>
      </c>
      <c r="X160" s="540">
        <v>78</v>
      </c>
      <c r="Y160" s="543">
        <v>1</v>
      </c>
      <c r="Z160" s="215">
        <v>246</v>
      </c>
      <c r="AA160" s="268"/>
      <c r="AB160" s="237">
        <v>0</v>
      </c>
      <c r="AC160" s="443">
        <f>AB160/VPI!R160</f>
        <v>0</v>
      </c>
      <c r="AD160" s="445">
        <f t="shared" si="14"/>
        <v>26119</v>
      </c>
      <c r="AE160" s="443">
        <f>AD160/VPI!R160</f>
        <v>4.0409996188061807</v>
      </c>
      <c r="AF160" s="237">
        <v>26119</v>
      </c>
      <c r="AG160" s="237">
        <v>8920</v>
      </c>
      <c r="AH160" s="237">
        <v>13055</v>
      </c>
      <c r="AI160" s="272"/>
      <c r="AJ160" s="8">
        <v>0</v>
      </c>
      <c r="AK160" s="443">
        <f>AJ160/VPI!R160</f>
        <v>0</v>
      </c>
      <c r="AL160" s="445">
        <f t="shared" si="15"/>
        <v>4404</v>
      </c>
      <c r="AM160" s="443">
        <f>AL160/VPI!R160</f>
        <v>0.68136461278082705</v>
      </c>
      <c r="AN160" s="8">
        <v>4404</v>
      </c>
      <c r="AO160" s="272"/>
      <c r="AP160" s="529">
        <v>12.280786506597034</v>
      </c>
      <c r="AR160" s="546">
        <v>0</v>
      </c>
      <c r="AT160" s="239">
        <f t="shared" si="16"/>
        <v>503258.9599999999</v>
      </c>
      <c r="AU160" s="5">
        <f t="shared" si="17"/>
        <v>0</v>
      </c>
    </row>
    <row r="161" spans="1:47" x14ac:dyDescent="0.25">
      <c r="A161" s="192">
        <v>5673</v>
      </c>
      <c r="B161" s="447" t="s">
        <v>88</v>
      </c>
      <c r="C161" s="535">
        <v>607420.5</v>
      </c>
      <c r="D161" s="535">
        <v>90143.52</v>
      </c>
      <c r="E161" s="535"/>
      <c r="F161" s="536">
        <v>2200</v>
      </c>
      <c r="G161" s="535">
        <v>831.1</v>
      </c>
      <c r="H161" s="535">
        <v>830.45</v>
      </c>
      <c r="I161" s="535"/>
      <c r="J161" s="535">
        <v>5680.46</v>
      </c>
      <c r="K161" s="535">
        <v>408</v>
      </c>
      <c r="L161" s="535">
        <v>28648.95</v>
      </c>
      <c r="M161" s="498">
        <f t="shared" si="12"/>
        <v>736162.97999999986</v>
      </c>
      <c r="N161" s="243">
        <v>11063.95</v>
      </c>
      <c r="O161" s="243"/>
      <c r="P161" s="243">
        <v>3890.2</v>
      </c>
      <c r="Q161" s="243"/>
      <c r="R161" s="243"/>
      <c r="S161" s="535">
        <v>182.49</v>
      </c>
      <c r="T161" s="498">
        <f t="shared" si="13"/>
        <v>751299.61999999976</v>
      </c>
      <c r="U161" s="239">
        <v>-3692.67</v>
      </c>
      <c r="V161" s="243"/>
      <c r="W161" s="243">
        <v>-51.6</v>
      </c>
      <c r="X161" s="540">
        <v>73.5</v>
      </c>
      <c r="Y161" s="543">
        <v>0.6</v>
      </c>
      <c r="Z161" s="215">
        <v>371</v>
      </c>
      <c r="AA161" s="268"/>
      <c r="AB161" s="237">
        <v>7887</v>
      </c>
      <c r="AC161" s="443">
        <f>AB161/VPI!R161</f>
        <v>0.77117748358555038</v>
      </c>
      <c r="AD161" s="445">
        <f t="shared" si="14"/>
        <v>284832</v>
      </c>
      <c r="AE161" s="443">
        <f>AD161/VPI!R161</f>
        <v>27.850389882672687</v>
      </c>
      <c r="AF161" s="237">
        <v>292719</v>
      </c>
      <c r="AG161" s="237">
        <v>13982</v>
      </c>
      <c r="AH161" s="237">
        <v>21893</v>
      </c>
      <c r="AI161" s="272"/>
      <c r="AJ161" s="8">
        <v>3116</v>
      </c>
      <c r="AK161" s="443">
        <f>AJ161/VPI!R161</f>
        <v>0.30467719523932735</v>
      </c>
      <c r="AL161" s="445">
        <f t="shared" si="15"/>
        <v>51639</v>
      </c>
      <c r="AM161" s="443">
        <f>AL161/VPI!R161</f>
        <v>5.0491738398471204</v>
      </c>
      <c r="AN161" s="8">
        <v>54755</v>
      </c>
      <c r="AO161" s="272"/>
      <c r="AP161" s="529">
        <v>16.214043546999786</v>
      </c>
      <c r="AR161" s="546">
        <v>0</v>
      </c>
      <c r="AT161" s="239">
        <f t="shared" si="16"/>
        <v>736162.97999999986</v>
      </c>
      <c r="AU161" s="5">
        <f t="shared" si="17"/>
        <v>0</v>
      </c>
    </row>
    <row r="162" spans="1:47" x14ac:dyDescent="0.25">
      <c r="A162" s="192">
        <v>5674</v>
      </c>
      <c r="B162" s="447" t="s">
        <v>89</v>
      </c>
      <c r="C162" s="535">
        <v>236498.07</v>
      </c>
      <c r="D162" s="535">
        <v>53856.55</v>
      </c>
      <c r="E162" s="535"/>
      <c r="F162" s="536"/>
      <c r="G162" s="535">
        <v>282.3</v>
      </c>
      <c r="H162" s="535">
        <v>82.8</v>
      </c>
      <c r="I162" s="535"/>
      <c r="J162" s="535">
        <v>454.23</v>
      </c>
      <c r="K162" s="535">
        <v>64.099999999999994</v>
      </c>
      <c r="L162" s="535">
        <v>17925.95</v>
      </c>
      <c r="M162" s="498">
        <f t="shared" si="12"/>
        <v>309163.99999999994</v>
      </c>
      <c r="N162" s="243"/>
      <c r="O162" s="243">
        <v>4852.5</v>
      </c>
      <c r="P162" s="243">
        <v>16139.75</v>
      </c>
      <c r="Q162" s="243"/>
      <c r="R162" s="243">
        <v>17011.650000000001</v>
      </c>
      <c r="S162" s="535">
        <v>40.090000000000003</v>
      </c>
      <c r="T162" s="498">
        <f t="shared" si="13"/>
        <v>347207.99</v>
      </c>
      <c r="U162" s="239">
        <v>-516.04</v>
      </c>
      <c r="V162" s="243">
        <v>408.9</v>
      </c>
      <c r="W162" s="243">
        <v>-76.5</v>
      </c>
      <c r="X162" s="540">
        <v>75</v>
      </c>
      <c r="Y162" s="543">
        <v>0.7</v>
      </c>
      <c r="Z162" s="215">
        <v>146</v>
      </c>
      <c r="AA162" s="268"/>
      <c r="AB162" s="237">
        <v>19062</v>
      </c>
      <c r="AC162" s="443">
        <f>AB162/VPI!R162</f>
        <v>4.5141662693438329</v>
      </c>
      <c r="AD162" s="445">
        <f t="shared" si="14"/>
        <v>36286</v>
      </c>
      <c r="AE162" s="443">
        <f>AD162/VPI!R162</f>
        <v>8.5930666902429085</v>
      </c>
      <c r="AF162" s="237">
        <v>55348</v>
      </c>
      <c r="AG162" s="237">
        <v>5170</v>
      </c>
      <c r="AH162" s="237">
        <v>7537</v>
      </c>
      <c r="AI162" s="272"/>
      <c r="AJ162" s="8">
        <v>0</v>
      </c>
      <c r="AK162" s="443">
        <f>AJ162/VPI!R162</f>
        <v>0</v>
      </c>
      <c r="AL162" s="445">
        <f t="shared" si="15"/>
        <v>1498</v>
      </c>
      <c r="AM162" s="443">
        <f>AL162/VPI!R162</f>
        <v>0.35474877093049323</v>
      </c>
      <c r="AN162" s="8">
        <v>1498</v>
      </c>
      <c r="AO162" s="272"/>
      <c r="AP162" s="529">
        <v>19.153201344823181</v>
      </c>
      <c r="AR162" s="546">
        <v>0</v>
      </c>
      <c r="AT162" s="239">
        <f t="shared" si="16"/>
        <v>309163.99999999994</v>
      </c>
      <c r="AU162" s="5">
        <f t="shared" si="17"/>
        <v>0</v>
      </c>
    </row>
    <row r="163" spans="1:47" x14ac:dyDescent="0.25">
      <c r="A163" s="192">
        <v>5675</v>
      </c>
      <c r="B163" s="447" t="s">
        <v>90</v>
      </c>
      <c r="C163" s="535">
        <v>5218800.9000000004</v>
      </c>
      <c r="D163" s="535">
        <v>571095.06000000006</v>
      </c>
      <c r="E163" s="535"/>
      <c r="F163" s="536"/>
      <c r="G163" s="535">
        <v>369142.9</v>
      </c>
      <c r="H163" s="535">
        <v>39245.550000000003</v>
      </c>
      <c r="I163" s="535"/>
      <c r="J163" s="535">
        <v>260799.76</v>
      </c>
      <c r="K163" s="535">
        <v>92100.55</v>
      </c>
      <c r="L163" s="535">
        <v>706880.5</v>
      </c>
      <c r="M163" s="498">
        <f t="shared" si="12"/>
        <v>7258065.2200000007</v>
      </c>
      <c r="N163" s="243">
        <v>41543.800000000003</v>
      </c>
      <c r="O163" s="243">
        <v>88404.3</v>
      </c>
      <c r="P163" s="243">
        <v>613887.94999999995</v>
      </c>
      <c r="Q163" s="243">
        <v>83927.44</v>
      </c>
      <c r="R163" s="243">
        <v>327262.84999999998</v>
      </c>
      <c r="S163" s="535">
        <v>44853.97</v>
      </c>
      <c r="T163" s="498">
        <f t="shared" si="13"/>
        <v>8457945.5300000012</v>
      </c>
      <c r="U163" s="239">
        <v>-220965.2</v>
      </c>
      <c r="V163" s="243"/>
      <c r="W163" s="243">
        <v>-4006.24</v>
      </c>
      <c r="X163" s="540">
        <v>67.5</v>
      </c>
      <c r="Y163" s="543">
        <v>1.1000000000000001</v>
      </c>
      <c r="Z163" s="215">
        <v>4373</v>
      </c>
      <c r="AA163" s="268"/>
      <c r="AB163" s="237">
        <v>375240</v>
      </c>
      <c r="AC163" s="443">
        <f>AB163/VPI!R163</f>
        <v>3.5686221318817331</v>
      </c>
      <c r="AD163" s="445">
        <f t="shared" si="14"/>
        <v>485354</v>
      </c>
      <c r="AE163" s="443">
        <f>AD163/VPI!R163</f>
        <v>4.6158326036598618</v>
      </c>
      <c r="AF163" s="237">
        <v>860594</v>
      </c>
      <c r="AG163" s="237">
        <v>392229</v>
      </c>
      <c r="AH163" s="237">
        <v>291958</v>
      </c>
      <c r="AI163" s="272"/>
      <c r="AJ163" s="8">
        <v>14496</v>
      </c>
      <c r="AK163" s="443">
        <f>AJ163/VPI!R163</f>
        <v>0.13786042645708774</v>
      </c>
      <c r="AL163" s="445">
        <f t="shared" si="15"/>
        <v>30293</v>
      </c>
      <c r="AM163" s="443">
        <f>AL163/VPI!R163</f>
        <v>0.28809367402487301</v>
      </c>
      <c r="AN163" s="8">
        <v>44789</v>
      </c>
      <c r="AO163" s="272"/>
      <c r="AP163" s="529">
        <v>2.1446855747194893</v>
      </c>
      <c r="AR163" s="546">
        <v>0</v>
      </c>
      <c r="AT163" s="239">
        <f t="shared" si="16"/>
        <v>7258065.2200000007</v>
      </c>
      <c r="AU163" s="5">
        <f t="shared" si="17"/>
        <v>0</v>
      </c>
    </row>
    <row r="164" spans="1:47" x14ac:dyDescent="0.25">
      <c r="A164" s="192">
        <v>5678</v>
      </c>
      <c r="B164" s="447" t="s">
        <v>91</v>
      </c>
      <c r="C164" s="535">
        <v>6682916.4699999997</v>
      </c>
      <c r="D164" s="535">
        <v>767537.95</v>
      </c>
      <c r="E164" s="535"/>
      <c r="F164" s="536">
        <v>34559.300000000003</v>
      </c>
      <c r="G164" s="535">
        <v>449086.15</v>
      </c>
      <c r="H164" s="535">
        <v>21812.1</v>
      </c>
      <c r="I164" s="535"/>
      <c r="J164" s="535">
        <v>427139.97</v>
      </c>
      <c r="K164" s="535">
        <v>82929.649999999994</v>
      </c>
      <c r="L164" s="535">
        <v>833738</v>
      </c>
      <c r="M164" s="498">
        <f t="shared" si="12"/>
        <v>9299719.5899999999</v>
      </c>
      <c r="N164" s="243">
        <v>212026.15</v>
      </c>
      <c r="O164" s="243">
        <v>448635.9</v>
      </c>
      <c r="P164" s="243">
        <v>653881.19999999995</v>
      </c>
      <c r="Q164" s="243">
        <v>43932.25</v>
      </c>
      <c r="R164" s="243">
        <v>641035.19999999995</v>
      </c>
      <c r="S164" s="535">
        <v>51719.519999999997</v>
      </c>
      <c r="T164" s="498">
        <f t="shared" si="13"/>
        <v>11350949.809999999</v>
      </c>
      <c r="U164" s="239">
        <v>-341427.49</v>
      </c>
      <c r="V164" s="243"/>
      <c r="W164" s="243">
        <v>-4887.5200000000004</v>
      </c>
      <c r="X164" s="540">
        <v>72.5</v>
      </c>
      <c r="Y164" s="543">
        <v>1</v>
      </c>
      <c r="Z164" s="215">
        <v>6120</v>
      </c>
      <c r="AA164" s="268"/>
      <c r="AB164" s="237">
        <v>285153</v>
      </c>
      <c r="AC164" s="443">
        <f>AB164/VPI!R164</f>
        <v>2.2846130801251996</v>
      </c>
      <c r="AD164" s="445">
        <f t="shared" si="14"/>
        <v>1514564</v>
      </c>
      <c r="AE164" s="443">
        <f>AD164/VPI!R164</f>
        <v>12.134512788175972</v>
      </c>
      <c r="AF164" s="237">
        <v>1799717</v>
      </c>
      <c r="AG164" s="237">
        <v>556075</v>
      </c>
      <c r="AH164" s="237">
        <v>423100</v>
      </c>
      <c r="AI164" s="272"/>
      <c r="AJ164" s="8">
        <v>0</v>
      </c>
      <c r="AK164" s="443">
        <f>AJ164/VPI!R164</f>
        <v>0</v>
      </c>
      <c r="AL164" s="445">
        <f t="shared" si="15"/>
        <v>85330</v>
      </c>
      <c r="AM164" s="443">
        <f>AL164/VPI!R164</f>
        <v>0.68365415803825769</v>
      </c>
      <c r="AN164" s="8">
        <v>85330</v>
      </c>
      <c r="AO164" s="272"/>
      <c r="AP164" s="529">
        <v>-7.1986477036989571</v>
      </c>
      <c r="AR164" s="546">
        <v>0</v>
      </c>
      <c r="AT164" s="239">
        <f t="shared" si="16"/>
        <v>9299719.5899999999</v>
      </c>
      <c r="AU164" s="5">
        <f t="shared" si="17"/>
        <v>0</v>
      </c>
    </row>
    <row r="165" spans="1:47" x14ac:dyDescent="0.25">
      <c r="A165" s="192">
        <v>5680</v>
      </c>
      <c r="B165" s="447" t="s">
        <v>92</v>
      </c>
      <c r="C165" s="535">
        <v>547999.37</v>
      </c>
      <c r="D165" s="535">
        <v>63260.29</v>
      </c>
      <c r="E165" s="535"/>
      <c r="F165" s="536"/>
      <c r="G165" s="535">
        <v>-507.3</v>
      </c>
      <c r="H165" s="535">
        <v>387.75</v>
      </c>
      <c r="I165" s="535"/>
      <c r="J165" s="535">
        <v>10395.280000000001</v>
      </c>
      <c r="K165" s="535">
        <v>625</v>
      </c>
      <c r="L165" s="535">
        <v>76527.55</v>
      </c>
      <c r="M165" s="498">
        <f t="shared" si="12"/>
        <v>698687.94000000006</v>
      </c>
      <c r="N165" s="243"/>
      <c r="O165" s="243">
        <v>12.2</v>
      </c>
      <c r="P165" s="243">
        <v>28101.1</v>
      </c>
      <c r="Q165" s="243">
        <v>0.09</v>
      </c>
      <c r="R165" s="243">
        <v>22073.85</v>
      </c>
      <c r="S165" s="535">
        <v>0</v>
      </c>
      <c r="T165" s="498">
        <f t="shared" si="13"/>
        <v>748875.17999999993</v>
      </c>
      <c r="U165" s="239">
        <v>-10045.25</v>
      </c>
      <c r="V165" s="243"/>
      <c r="W165" s="243">
        <v>0</v>
      </c>
      <c r="X165" s="540">
        <v>78</v>
      </c>
      <c r="Y165" s="543">
        <v>1.5</v>
      </c>
      <c r="Z165" s="215">
        <v>321</v>
      </c>
      <c r="AA165" s="268"/>
      <c r="AB165" s="237">
        <v>19986</v>
      </c>
      <c r="AC165" s="443">
        <f>AB165/VPI!R165</f>
        <v>2.3508204196500793</v>
      </c>
      <c r="AD165" s="445">
        <f t="shared" si="14"/>
        <v>24856</v>
      </c>
      <c r="AE165" s="443">
        <f>AD165/VPI!R165</f>
        <v>2.9236461698600209</v>
      </c>
      <c r="AF165" s="237">
        <v>44842</v>
      </c>
      <c r="AG165" s="237">
        <v>13257</v>
      </c>
      <c r="AH165" s="237">
        <v>26470</v>
      </c>
      <c r="AI165" s="272"/>
      <c r="AJ165" s="8">
        <v>0</v>
      </c>
      <c r="AK165" s="443">
        <f>AJ165/VPI!R165</f>
        <v>0</v>
      </c>
      <c r="AL165" s="445">
        <f t="shared" si="15"/>
        <v>16475</v>
      </c>
      <c r="AM165" s="443">
        <f>AL165/VPI!R165</f>
        <v>1.9378448120551917</v>
      </c>
      <c r="AN165" s="8">
        <v>16475</v>
      </c>
      <c r="AO165" s="272"/>
      <c r="AP165" s="529">
        <v>20.745836945167024</v>
      </c>
      <c r="AR165" s="546">
        <v>0</v>
      </c>
      <c r="AT165" s="239">
        <f t="shared" si="16"/>
        <v>698687.94000000006</v>
      </c>
      <c r="AU165" s="5">
        <f t="shared" si="17"/>
        <v>0</v>
      </c>
    </row>
    <row r="166" spans="1:47" x14ac:dyDescent="0.25">
      <c r="A166" s="192">
        <v>5683</v>
      </c>
      <c r="B166" s="447" t="s">
        <v>93</v>
      </c>
      <c r="C166" s="535">
        <v>331571.86</v>
      </c>
      <c r="D166" s="535">
        <v>26370.17</v>
      </c>
      <c r="E166" s="535"/>
      <c r="F166" s="536"/>
      <c r="G166" s="535">
        <v>1253.6500000000001</v>
      </c>
      <c r="H166" s="535">
        <v>439.45</v>
      </c>
      <c r="I166" s="535"/>
      <c r="J166" s="535">
        <v>862.08</v>
      </c>
      <c r="K166" s="535">
        <v>2220.5</v>
      </c>
      <c r="L166" s="535">
        <v>29104.75</v>
      </c>
      <c r="M166" s="498">
        <f t="shared" si="12"/>
        <v>391822.46</v>
      </c>
      <c r="N166" s="243"/>
      <c r="O166" s="243">
        <v>243.3</v>
      </c>
      <c r="P166" s="243">
        <v>20577.75</v>
      </c>
      <c r="Q166" s="243">
        <v>0</v>
      </c>
      <c r="R166" s="243">
        <v>22067.05</v>
      </c>
      <c r="S166" s="535">
        <v>185.95</v>
      </c>
      <c r="T166" s="498">
        <f t="shared" si="13"/>
        <v>434896.51</v>
      </c>
      <c r="U166" s="239">
        <v>-1497.32</v>
      </c>
      <c r="V166" s="243"/>
      <c r="W166" s="243">
        <v>0</v>
      </c>
      <c r="X166" s="540">
        <v>72.5</v>
      </c>
      <c r="Y166" s="543">
        <v>1</v>
      </c>
      <c r="Z166" s="215">
        <v>215</v>
      </c>
      <c r="AA166" s="268"/>
      <c r="AB166" s="237">
        <v>0</v>
      </c>
      <c r="AC166" s="443">
        <f>AB166/VPI!R166</f>
        <v>0</v>
      </c>
      <c r="AD166" s="445">
        <f t="shared" si="14"/>
        <v>11889</v>
      </c>
      <c r="AE166" s="443">
        <f>AD166/VPI!R166</f>
        <v>2.2072420529721706</v>
      </c>
      <c r="AF166" s="237">
        <v>11889</v>
      </c>
      <c r="AG166" s="237">
        <v>7355</v>
      </c>
      <c r="AH166" s="237">
        <v>13748</v>
      </c>
      <c r="AI166" s="272"/>
      <c r="AJ166" s="8">
        <v>0</v>
      </c>
      <c r="AK166" s="443">
        <f>AJ166/VPI!R166</f>
        <v>0</v>
      </c>
      <c r="AL166" s="445">
        <f t="shared" si="15"/>
        <v>-12640</v>
      </c>
      <c r="AM166" s="443">
        <f>AL166/VPI!R166</f>
        <v>-2.3466683110075057</v>
      </c>
      <c r="AN166" s="8">
        <v>-12640</v>
      </c>
      <c r="AO166" s="272"/>
      <c r="AP166" s="529">
        <v>11.10191555555979</v>
      </c>
      <c r="AR166" s="546">
        <v>0</v>
      </c>
      <c r="AT166" s="239">
        <f t="shared" si="16"/>
        <v>391822.46</v>
      </c>
      <c r="AU166" s="5">
        <f t="shared" si="17"/>
        <v>0</v>
      </c>
    </row>
    <row r="167" spans="1:47" x14ac:dyDescent="0.25">
      <c r="A167" s="192">
        <v>5684</v>
      </c>
      <c r="B167" s="447" t="s">
        <v>94</v>
      </c>
      <c r="C167" s="535">
        <v>245383.9</v>
      </c>
      <c r="D167" s="535">
        <v>-5482.69</v>
      </c>
      <c r="E167" s="535"/>
      <c r="F167" s="536"/>
      <c r="G167" s="535">
        <v>1092.7</v>
      </c>
      <c r="H167" s="535">
        <v>9</v>
      </c>
      <c r="I167" s="535"/>
      <c r="J167" s="535">
        <v>116.62</v>
      </c>
      <c r="K167" s="535"/>
      <c r="L167" s="535">
        <v>6461.9</v>
      </c>
      <c r="M167" s="498">
        <f t="shared" si="12"/>
        <v>247581.43</v>
      </c>
      <c r="N167" s="243"/>
      <c r="O167" s="243"/>
      <c r="P167" s="243"/>
      <c r="Q167" s="243"/>
      <c r="R167" s="243"/>
      <c r="S167" s="535">
        <v>121</v>
      </c>
      <c r="T167" s="498">
        <f t="shared" si="13"/>
        <v>247702.43</v>
      </c>
      <c r="U167" s="239">
        <v>-5290.27</v>
      </c>
      <c r="V167" s="243"/>
      <c r="W167" s="243">
        <v>-20.29</v>
      </c>
      <c r="X167" s="540">
        <v>75</v>
      </c>
      <c r="Y167" s="543">
        <v>0.8</v>
      </c>
      <c r="Z167" s="215">
        <v>93</v>
      </c>
      <c r="AA167" s="268"/>
      <c r="AB167" s="237">
        <v>0</v>
      </c>
      <c r="AC167" s="443">
        <f>AB167/VPI!R167</f>
        <v>0</v>
      </c>
      <c r="AD167" s="445">
        <f t="shared" si="14"/>
        <v>11156</v>
      </c>
      <c r="AE167" s="443">
        <f>AD167/VPI!R167</f>
        <v>3.4289951394700844</v>
      </c>
      <c r="AF167" s="237">
        <v>11156</v>
      </c>
      <c r="AG167" s="237">
        <v>3058</v>
      </c>
      <c r="AH167" s="237">
        <v>4912</v>
      </c>
      <c r="AI167" s="272"/>
      <c r="AJ167" s="8">
        <v>0</v>
      </c>
      <c r="AK167" s="443">
        <f>AJ167/VPI!R167</f>
        <v>0</v>
      </c>
      <c r="AL167" s="445">
        <f t="shared" si="15"/>
        <v>1</v>
      </c>
      <c r="AM167" s="443">
        <f>AL167/VPI!R167</f>
        <v>3.0736779665382615E-4</v>
      </c>
      <c r="AN167" s="8">
        <v>1</v>
      </c>
      <c r="AO167" s="272"/>
      <c r="AP167" s="529">
        <v>32.935110682338454</v>
      </c>
      <c r="AR167" s="546">
        <v>0</v>
      </c>
      <c r="AT167" s="239">
        <f t="shared" si="16"/>
        <v>247581.43</v>
      </c>
      <c r="AU167" s="5">
        <f t="shared" si="17"/>
        <v>0</v>
      </c>
    </row>
    <row r="168" spans="1:47" x14ac:dyDescent="0.25">
      <c r="A168" s="192">
        <v>5688</v>
      </c>
      <c r="B168" s="447" t="s">
        <v>95</v>
      </c>
      <c r="C168" s="535">
        <v>339098.35</v>
      </c>
      <c r="D168" s="535">
        <v>71947.850000000006</v>
      </c>
      <c r="E168" s="535"/>
      <c r="F168" s="536"/>
      <c r="G168" s="535">
        <v>-21922.25</v>
      </c>
      <c r="H168" s="535">
        <v>261.39999999999998</v>
      </c>
      <c r="I168" s="535"/>
      <c r="J168" s="535">
        <v>2193.36</v>
      </c>
      <c r="K168" s="535">
        <v>105</v>
      </c>
      <c r="L168" s="535">
        <v>24705</v>
      </c>
      <c r="M168" s="498">
        <f t="shared" si="12"/>
        <v>416388.70999999996</v>
      </c>
      <c r="N168" s="243"/>
      <c r="O168" s="243"/>
      <c r="P168" s="243">
        <v>8170.65</v>
      </c>
      <c r="Q168" s="243">
        <v>26.03</v>
      </c>
      <c r="R168" s="243">
        <v>17809.55</v>
      </c>
      <c r="S168" s="535">
        <v>0</v>
      </c>
      <c r="T168" s="498">
        <f t="shared" si="13"/>
        <v>442394.94</v>
      </c>
      <c r="U168" s="239">
        <v>-13908.64</v>
      </c>
      <c r="V168" s="243"/>
      <c r="W168" s="243">
        <v>0</v>
      </c>
      <c r="X168" s="540">
        <v>65</v>
      </c>
      <c r="Y168" s="543">
        <v>1</v>
      </c>
      <c r="Z168" s="215">
        <v>161</v>
      </c>
      <c r="AA168" s="268"/>
      <c r="AB168" s="237">
        <v>0</v>
      </c>
      <c r="AC168" s="443">
        <f>AB168/VPI!R168</f>
        <v>0</v>
      </c>
      <c r="AD168" s="445">
        <f t="shared" si="14"/>
        <v>28696</v>
      </c>
      <c r="AE168" s="443">
        <f>AD168/VPI!R168</f>
        <v>4.6340664153909721</v>
      </c>
      <c r="AF168" s="237">
        <v>28696</v>
      </c>
      <c r="AG168" s="237">
        <v>8520</v>
      </c>
      <c r="AH168" s="237">
        <v>22511</v>
      </c>
      <c r="AI168" s="272"/>
      <c r="AJ168" s="8">
        <v>0</v>
      </c>
      <c r="AK168" s="443">
        <f>AJ168/VPI!R168</f>
        <v>0</v>
      </c>
      <c r="AL168" s="445">
        <f t="shared" si="15"/>
        <v>28349</v>
      </c>
      <c r="AM168" s="443">
        <f>AL168/VPI!R168</f>
        <v>4.5780299975578016</v>
      </c>
      <c r="AN168" s="8">
        <v>28349</v>
      </c>
      <c r="AO168" s="272"/>
      <c r="AP168" s="529">
        <v>10.481998676194769</v>
      </c>
      <c r="AR168" s="546">
        <v>0</v>
      </c>
      <c r="AT168" s="239">
        <f t="shared" si="16"/>
        <v>416388.70999999996</v>
      </c>
      <c r="AU168" s="5">
        <f t="shared" si="17"/>
        <v>0</v>
      </c>
    </row>
    <row r="169" spans="1:47" x14ac:dyDescent="0.25">
      <c r="A169" s="192">
        <v>5690</v>
      </c>
      <c r="B169" s="447" t="s">
        <v>96</v>
      </c>
      <c r="C169" s="535">
        <v>176025.33</v>
      </c>
      <c r="D169" s="535">
        <v>48562.65</v>
      </c>
      <c r="E169" s="535"/>
      <c r="F169" s="536">
        <v>730</v>
      </c>
      <c r="G169" s="535">
        <v>988</v>
      </c>
      <c r="H169" s="535">
        <v>408.4</v>
      </c>
      <c r="I169" s="535"/>
      <c r="J169" s="535"/>
      <c r="K169" s="535">
        <v>184.1</v>
      </c>
      <c r="L169" s="535">
        <v>25168.7</v>
      </c>
      <c r="M169" s="498">
        <f t="shared" si="12"/>
        <v>252067.18</v>
      </c>
      <c r="N169" s="243"/>
      <c r="O169" s="243">
        <v>17912.2</v>
      </c>
      <c r="P169" s="243">
        <v>996.55</v>
      </c>
      <c r="Q169" s="243"/>
      <c r="R169" s="243">
        <v>505.75</v>
      </c>
      <c r="S169" s="535">
        <v>153.37</v>
      </c>
      <c r="T169" s="498">
        <f t="shared" si="13"/>
        <v>271635.05</v>
      </c>
      <c r="U169" s="239">
        <v>-2328.0500000000002</v>
      </c>
      <c r="V169" s="243"/>
      <c r="W169" s="243">
        <v>0</v>
      </c>
      <c r="X169" s="540">
        <v>70</v>
      </c>
      <c r="Y169" s="543">
        <v>1.2</v>
      </c>
      <c r="Z169" s="215">
        <v>133</v>
      </c>
      <c r="AA169" s="268"/>
      <c r="AB169" s="237">
        <v>0</v>
      </c>
      <c r="AC169" s="443">
        <f>AB169/VPI!R169</f>
        <v>0</v>
      </c>
      <c r="AD169" s="445">
        <f t="shared" si="14"/>
        <v>44531</v>
      </c>
      <c r="AE169" s="443">
        <f>AD169/VPI!R169</f>
        <v>12.687012489534059</v>
      </c>
      <c r="AF169" s="237">
        <v>44531</v>
      </c>
      <c r="AG169" s="237">
        <v>4369</v>
      </c>
      <c r="AH169" s="237">
        <v>7153</v>
      </c>
      <c r="AI169" s="272"/>
      <c r="AJ169" s="8">
        <v>0</v>
      </c>
      <c r="AK169" s="443">
        <f>AJ169/VPI!R169</f>
        <v>0</v>
      </c>
      <c r="AL169" s="445">
        <f t="shared" si="15"/>
        <v>882</v>
      </c>
      <c r="AM169" s="443">
        <f>AL169/VPI!R169</f>
        <v>0.25128438651207113</v>
      </c>
      <c r="AN169" s="8">
        <v>882</v>
      </c>
      <c r="AO169" s="272"/>
      <c r="AP169" s="529">
        <v>23.027357729491602</v>
      </c>
      <c r="AR169" s="546">
        <v>0</v>
      </c>
      <c r="AT169" s="239">
        <f t="shared" si="16"/>
        <v>252067.18</v>
      </c>
      <c r="AU169" s="5">
        <f t="shared" si="17"/>
        <v>0</v>
      </c>
    </row>
    <row r="170" spans="1:47" x14ac:dyDescent="0.25">
      <c r="A170" s="192">
        <v>5692</v>
      </c>
      <c r="B170" s="447" t="s">
        <v>97</v>
      </c>
      <c r="C170" s="535">
        <v>1185147.97</v>
      </c>
      <c r="D170" s="535">
        <v>163167.76999999999</v>
      </c>
      <c r="E170" s="535"/>
      <c r="F170" s="536"/>
      <c r="G170" s="535">
        <v>11843.3</v>
      </c>
      <c r="H170" s="535">
        <v>1824.55</v>
      </c>
      <c r="I170" s="535"/>
      <c r="J170" s="535">
        <v>14293.11</v>
      </c>
      <c r="K170" s="535">
        <v>2474.4499999999998</v>
      </c>
      <c r="L170" s="535">
        <v>99134.9</v>
      </c>
      <c r="M170" s="498">
        <f t="shared" si="12"/>
        <v>1477886.05</v>
      </c>
      <c r="N170" s="243">
        <v>10724.2</v>
      </c>
      <c r="O170" s="243"/>
      <c r="P170" s="243">
        <v>99618</v>
      </c>
      <c r="Q170" s="243">
        <v>1087.77</v>
      </c>
      <c r="R170" s="243">
        <v>94542.7</v>
      </c>
      <c r="S170" s="535">
        <v>1501.16</v>
      </c>
      <c r="T170" s="498">
        <f t="shared" si="13"/>
        <v>1685359.88</v>
      </c>
      <c r="U170" s="239">
        <v>-33446.31</v>
      </c>
      <c r="V170" s="243"/>
      <c r="W170" s="243">
        <v>0</v>
      </c>
      <c r="X170" s="540">
        <v>77</v>
      </c>
      <c r="Y170" s="543">
        <v>1</v>
      </c>
      <c r="Z170" s="215">
        <v>623</v>
      </c>
      <c r="AA170" s="268"/>
      <c r="AB170" s="237">
        <v>6179</v>
      </c>
      <c r="AC170" s="443">
        <f>AB170/VPI!R170</f>
        <v>0.3287999815511603</v>
      </c>
      <c r="AD170" s="445">
        <f t="shared" si="14"/>
        <v>124781</v>
      </c>
      <c r="AE170" s="443">
        <f>AD170/VPI!R170</f>
        <v>6.6399078326485403</v>
      </c>
      <c r="AF170" s="237">
        <v>130960</v>
      </c>
      <c r="AG170" s="237">
        <v>33698</v>
      </c>
      <c r="AH170" s="237">
        <v>92525</v>
      </c>
      <c r="AI170" s="272"/>
      <c r="AJ170" s="8">
        <v>0</v>
      </c>
      <c r="AK170" s="443">
        <f>AJ170/VPI!R170</f>
        <v>0</v>
      </c>
      <c r="AL170" s="445">
        <f t="shared" si="15"/>
        <v>6077</v>
      </c>
      <c r="AM170" s="443">
        <f>AL170/VPI!R170</f>
        <v>0.32337230747473716</v>
      </c>
      <c r="AN170" s="8">
        <v>6077</v>
      </c>
      <c r="AO170" s="272"/>
      <c r="AP170" s="529">
        <v>18.884019493819064</v>
      </c>
      <c r="AR170" s="546">
        <v>0</v>
      </c>
      <c r="AT170" s="239">
        <f t="shared" si="16"/>
        <v>1477886.05</v>
      </c>
      <c r="AU170" s="5">
        <f t="shared" si="17"/>
        <v>0</v>
      </c>
    </row>
    <row r="171" spans="1:47" x14ac:dyDescent="0.25">
      <c r="A171" s="192">
        <v>5693</v>
      </c>
      <c r="B171" s="447" t="s">
        <v>353</v>
      </c>
      <c r="C171" s="535">
        <v>4210818.8499999996</v>
      </c>
      <c r="D171" s="535">
        <v>514256.55</v>
      </c>
      <c r="E171" s="535"/>
      <c r="F171" s="536"/>
      <c r="G171" s="535">
        <v>114653.7</v>
      </c>
      <c r="H171" s="535">
        <v>4386.95</v>
      </c>
      <c r="I171" s="535"/>
      <c r="J171" s="535">
        <v>70814.34</v>
      </c>
      <c r="K171" s="535">
        <v>9962</v>
      </c>
      <c r="L171" s="535">
        <v>428714.75</v>
      </c>
      <c r="M171" s="498">
        <f t="shared" si="12"/>
        <v>5353607.1399999997</v>
      </c>
      <c r="N171" s="243">
        <v>63509.05</v>
      </c>
      <c r="O171" s="243">
        <v>162899.4</v>
      </c>
      <c r="P171" s="243">
        <v>178469.45</v>
      </c>
      <c r="Q171" s="243">
        <v>25511.61</v>
      </c>
      <c r="R171" s="243">
        <v>143986.65</v>
      </c>
      <c r="S171" s="535">
        <v>13074.43</v>
      </c>
      <c r="T171" s="498">
        <f t="shared" si="13"/>
        <v>5941057.7300000004</v>
      </c>
      <c r="U171" s="239">
        <v>-93836.39</v>
      </c>
      <c r="V171" s="243"/>
      <c r="W171" s="243">
        <v>-261.51</v>
      </c>
      <c r="X171" s="540">
        <v>70</v>
      </c>
      <c r="Y171" s="543">
        <v>1</v>
      </c>
      <c r="Z171" s="215">
        <v>2768</v>
      </c>
      <c r="AA171" s="268"/>
      <c r="AB171" s="237">
        <v>173599</v>
      </c>
      <c r="AC171" s="443">
        <f>AB171/VPI!R171</f>
        <v>2.2936412725291717</v>
      </c>
      <c r="AD171" s="445">
        <f t="shared" si="14"/>
        <v>602364</v>
      </c>
      <c r="AE171" s="443">
        <f>AD171/VPI!R171</f>
        <v>7.9586111180695855</v>
      </c>
      <c r="AF171" s="237">
        <v>775963</v>
      </c>
      <c r="AG171" s="237">
        <v>151940</v>
      </c>
      <c r="AH171" s="237">
        <v>244649</v>
      </c>
      <c r="AI171" s="272"/>
      <c r="AJ171" s="8">
        <v>0</v>
      </c>
      <c r="AK171" s="443">
        <f>AJ171/VPI!R171</f>
        <v>0</v>
      </c>
      <c r="AL171" s="445">
        <f t="shared" si="15"/>
        <v>166847</v>
      </c>
      <c r="AM171" s="443">
        <f>AL171/VPI!R171</f>
        <v>2.2044318538567316</v>
      </c>
      <c r="AN171" s="8">
        <v>166847</v>
      </c>
      <c r="AO171" s="272"/>
      <c r="AP171" s="529">
        <v>10.237317280130908</v>
      </c>
      <c r="AR171" s="546">
        <v>0</v>
      </c>
      <c r="AT171" s="239">
        <f t="shared" si="16"/>
        <v>5353607.1399999997</v>
      </c>
      <c r="AU171" s="5">
        <f t="shared" si="17"/>
        <v>0</v>
      </c>
    </row>
    <row r="172" spans="1:47" x14ac:dyDescent="0.25">
      <c r="A172" s="192">
        <v>5701</v>
      </c>
      <c r="B172" s="447" t="s">
        <v>98</v>
      </c>
      <c r="C172" s="535">
        <v>764056.09</v>
      </c>
      <c r="D172" s="535">
        <v>89144.18</v>
      </c>
      <c r="E172" s="535"/>
      <c r="F172" s="536"/>
      <c r="G172" s="535">
        <v>63.65</v>
      </c>
      <c r="H172" s="535">
        <v>1621.4</v>
      </c>
      <c r="I172" s="535">
        <v>65333.35</v>
      </c>
      <c r="J172" s="535">
        <v>21681.83</v>
      </c>
      <c r="K172" s="535">
        <v>508.25</v>
      </c>
      <c r="L172" s="535">
        <v>73466.600000000006</v>
      </c>
      <c r="M172" s="498">
        <f t="shared" si="12"/>
        <v>1015875.35</v>
      </c>
      <c r="N172" s="243">
        <v>1264.6500000000001</v>
      </c>
      <c r="O172" s="243">
        <v>78125</v>
      </c>
      <c r="P172" s="243">
        <v>15950</v>
      </c>
      <c r="Q172" s="243"/>
      <c r="R172" s="243">
        <v>68557</v>
      </c>
      <c r="S172" s="535">
        <v>185.07</v>
      </c>
      <c r="T172" s="498">
        <f t="shared" si="13"/>
        <v>1179957.07</v>
      </c>
      <c r="U172" s="239">
        <v>-1274.97</v>
      </c>
      <c r="V172" s="243"/>
      <c r="W172" s="243">
        <v>-581.19000000000005</v>
      </c>
      <c r="X172" s="540">
        <v>70</v>
      </c>
      <c r="Y172" s="543">
        <v>1</v>
      </c>
      <c r="Z172" s="215">
        <v>226</v>
      </c>
      <c r="AA172" s="268"/>
      <c r="AB172" s="237">
        <v>0</v>
      </c>
      <c r="AC172" s="443">
        <f>AB172/VPI!R172</f>
        <v>0</v>
      </c>
      <c r="AD172" s="445">
        <f t="shared" si="14"/>
        <v>0</v>
      </c>
      <c r="AE172" s="443">
        <f>AD172/VPI!R172</f>
        <v>0</v>
      </c>
      <c r="AF172" s="237">
        <v>0</v>
      </c>
      <c r="AG172" s="237">
        <v>0</v>
      </c>
      <c r="AH172" s="237">
        <v>0</v>
      </c>
      <c r="AI172" s="272"/>
      <c r="AJ172" s="8">
        <v>0</v>
      </c>
      <c r="AK172" s="443">
        <f>AJ172/VPI!R172</f>
        <v>0</v>
      </c>
      <c r="AL172" s="445">
        <f t="shared" si="15"/>
        <v>0</v>
      </c>
      <c r="AM172" s="443">
        <f>AL172/VPI!R172</f>
        <v>0</v>
      </c>
      <c r="AN172" s="8">
        <v>0</v>
      </c>
      <c r="AO172" s="272"/>
      <c r="AP172" s="529">
        <v>39.216673151126592</v>
      </c>
      <c r="AR172" s="546">
        <v>0</v>
      </c>
      <c r="AT172" s="239">
        <f t="shared" si="16"/>
        <v>1015875.35</v>
      </c>
      <c r="AU172" s="5">
        <f t="shared" si="17"/>
        <v>0</v>
      </c>
    </row>
    <row r="173" spans="1:47" x14ac:dyDescent="0.25">
      <c r="A173" s="192">
        <v>5702</v>
      </c>
      <c r="B173" s="447" t="s">
        <v>352</v>
      </c>
      <c r="C173" s="535">
        <v>8101624.1200000001</v>
      </c>
      <c r="D173" s="535">
        <v>1546900.52</v>
      </c>
      <c r="E173" s="535"/>
      <c r="F173" s="536"/>
      <c r="G173" s="535">
        <v>122387</v>
      </c>
      <c r="H173" s="535">
        <v>18812.650000000001</v>
      </c>
      <c r="I173" s="535">
        <v>414594.65</v>
      </c>
      <c r="J173" s="535">
        <v>186766.5</v>
      </c>
      <c r="K173" s="535">
        <v>1851.65</v>
      </c>
      <c r="L173" s="535">
        <v>1263086.8999999999</v>
      </c>
      <c r="M173" s="498">
        <f t="shared" si="12"/>
        <v>11656023.990000002</v>
      </c>
      <c r="N173" s="243">
        <v>76946.45</v>
      </c>
      <c r="O173" s="243">
        <v>111916.4</v>
      </c>
      <c r="P173" s="243">
        <v>811611.15</v>
      </c>
      <c r="Q173" s="243">
        <v>149621.63</v>
      </c>
      <c r="R173" s="243">
        <v>543079.1</v>
      </c>
      <c r="S173" s="535">
        <v>15508.19</v>
      </c>
      <c r="T173" s="498">
        <f t="shared" si="13"/>
        <v>13364706.910000002</v>
      </c>
      <c r="U173" s="239">
        <v>-186322.45</v>
      </c>
      <c r="V173" s="243"/>
      <c r="W173" s="243">
        <v>-23057.17</v>
      </c>
      <c r="X173" s="540">
        <v>64</v>
      </c>
      <c r="Y173" s="543">
        <v>1.5</v>
      </c>
      <c r="Z173" s="215">
        <v>2947</v>
      </c>
      <c r="AA173" s="268"/>
      <c r="AB173" s="237">
        <v>195467</v>
      </c>
      <c r="AC173" s="443">
        <f>AB173/VPI!R173</f>
        <v>1.1178780099395147</v>
      </c>
      <c r="AD173" s="445">
        <f t="shared" si="14"/>
        <v>472544</v>
      </c>
      <c r="AE173" s="443">
        <f>AD173/VPI!R173</f>
        <v>2.7024845438302019</v>
      </c>
      <c r="AF173" s="237">
        <v>668011</v>
      </c>
      <c r="AG173" s="237">
        <v>212091</v>
      </c>
      <c r="AH173" s="237">
        <v>152307</v>
      </c>
      <c r="AI173" s="272"/>
      <c r="AJ173" s="8">
        <v>190312</v>
      </c>
      <c r="AK173" s="443">
        <f>AJ173/VPI!R173</f>
        <v>1.0883965059452947</v>
      </c>
      <c r="AL173" s="445">
        <f t="shared" si="15"/>
        <v>608937</v>
      </c>
      <c r="AM173" s="443">
        <f>AL173/VPI!R173</f>
        <v>3.4825176717222766</v>
      </c>
      <c r="AN173" s="8">
        <v>799249</v>
      </c>
      <c r="AO173" s="272"/>
      <c r="AP173" s="529">
        <v>34.78383447397001</v>
      </c>
      <c r="AR173" s="546">
        <v>0</v>
      </c>
      <c r="AT173" s="239">
        <f t="shared" si="16"/>
        <v>11656023.990000002</v>
      </c>
      <c r="AU173" s="5">
        <f t="shared" si="17"/>
        <v>0</v>
      </c>
    </row>
    <row r="174" spans="1:47" x14ac:dyDescent="0.25">
      <c r="A174" s="192">
        <v>5703</v>
      </c>
      <c r="B174" s="447" t="s">
        <v>99</v>
      </c>
      <c r="C174" s="535">
        <v>3949712.7</v>
      </c>
      <c r="D174" s="535">
        <v>516881.8</v>
      </c>
      <c r="E174" s="535"/>
      <c r="F174" s="536"/>
      <c r="G174" s="535">
        <v>29457.7</v>
      </c>
      <c r="H174" s="535">
        <v>1603.45</v>
      </c>
      <c r="I174" s="535"/>
      <c r="J174" s="535">
        <v>31253.81</v>
      </c>
      <c r="K174" s="535">
        <v>927.75</v>
      </c>
      <c r="L174" s="535">
        <v>474336.25</v>
      </c>
      <c r="M174" s="498">
        <f t="shared" si="12"/>
        <v>5004173.46</v>
      </c>
      <c r="N174" s="243">
        <v>30033.35</v>
      </c>
      <c r="O174" s="243"/>
      <c r="P174" s="243">
        <v>298205.34999999998</v>
      </c>
      <c r="Q174" s="243">
        <v>6774.96</v>
      </c>
      <c r="R174" s="243">
        <v>181551.1</v>
      </c>
      <c r="S174" s="535">
        <v>3411.5</v>
      </c>
      <c r="T174" s="498">
        <f t="shared" si="13"/>
        <v>5524149.7199999988</v>
      </c>
      <c r="U174" s="239">
        <v>-33422.980000000003</v>
      </c>
      <c r="V174" s="243"/>
      <c r="W174" s="243">
        <v>-2500.88</v>
      </c>
      <c r="X174" s="540">
        <v>72.5</v>
      </c>
      <c r="Y174" s="543">
        <v>1.4</v>
      </c>
      <c r="Z174" s="215">
        <v>1487</v>
      </c>
      <c r="AA174" s="268"/>
      <c r="AB174" s="237">
        <v>0</v>
      </c>
      <c r="AC174" s="443">
        <f>AB174/VPI!R174</f>
        <v>0</v>
      </c>
      <c r="AD174" s="445">
        <f t="shared" si="14"/>
        <v>0</v>
      </c>
      <c r="AE174" s="443">
        <f>AD174/VPI!R174</f>
        <v>0</v>
      </c>
      <c r="AF174" s="237">
        <v>0</v>
      </c>
      <c r="AG174" s="237">
        <v>0</v>
      </c>
      <c r="AH174" s="237">
        <v>0</v>
      </c>
      <c r="AI174" s="272"/>
      <c r="AJ174" s="8">
        <v>0</v>
      </c>
      <c r="AK174" s="443">
        <f>AJ174/VPI!R174</f>
        <v>0</v>
      </c>
      <c r="AL174" s="445">
        <f t="shared" si="15"/>
        <v>0</v>
      </c>
      <c r="AM174" s="443">
        <f>AL174/VPI!R174</f>
        <v>0</v>
      </c>
      <c r="AN174" s="8">
        <v>0</v>
      </c>
      <c r="AO174" s="272"/>
      <c r="AP174" s="529">
        <v>32.990007039526702</v>
      </c>
      <c r="AR174" s="546">
        <v>0</v>
      </c>
      <c r="AT174" s="239">
        <f t="shared" si="16"/>
        <v>5004173.46</v>
      </c>
      <c r="AU174" s="5">
        <f t="shared" si="17"/>
        <v>0</v>
      </c>
    </row>
    <row r="175" spans="1:47" x14ac:dyDescent="0.25">
      <c r="A175" s="192">
        <v>5704</v>
      </c>
      <c r="B175" s="447" t="s">
        <v>195</v>
      </c>
      <c r="C175" s="535">
        <f>8082094.42-3500000</f>
        <v>4582094.42</v>
      </c>
      <c r="D175" s="535">
        <v>3643815.88</v>
      </c>
      <c r="E175" s="535"/>
      <c r="F175" s="536"/>
      <c r="G175" s="535">
        <v>59989.8</v>
      </c>
      <c r="H175" s="535">
        <v>6981</v>
      </c>
      <c r="I175" s="535">
        <v>331610.95</v>
      </c>
      <c r="J175" s="535">
        <v>134617.20000000001</v>
      </c>
      <c r="K175" s="535">
        <v>15685.15</v>
      </c>
      <c r="L175" s="535">
        <v>793867.2</v>
      </c>
      <c r="M175" s="498">
        <f t="shared" si="12"/>
        <v>9568661.5999999978</v>
      </c>
      <c r="N175" s="243">
        <v>24992.05</v>
      </c>
      <c r="O175" s="243">
        <v>119098.2</v>
      </c>
      <c r="P175" s="243">
        <v>311473.3</v>
      </c>
      <c r="Q175" s="243">
        <v>12522.13</v>
      </c>
      <c r="R175" s="243">
        <v>194104</v>
      </c>
      <c r="S175" s="535">
        <v>7355.52</v>
      </c>
      <c r="T175" s="498">
        <f t="shared" si="13"/>
        <v>10238206.799999999</v>
      </c>
      <c r="U175" s="239">
        <v>-55365.69</v>
      </c>
      <c r="V175" s="243"/>
      <c r="W175" s="243">
        <v>-122321.3</v>
      </c>
      <c r="X175" s="540">
        <v>62.5</v>
      </c>
      <c r="Y175" s="543">
        <v>1.5</v>
      </c>
      <c r="Z175" s="215">
        <v>1941</v>
      </c>
      <c r="AA175" s="268"/>
      <c r="AB175" s="237">
        <v>236401</v>
      </c>
      <c r="AC175" s="443">
        <f>AB175/VPI!R175</f>
        <v>1.6154265447249538</v>
      </c>
      <c r="AD175" s="445">
        <f t="shared" si="14"/>
        <v>498858</v>
      </c>
      <c r="AE175" s="443">
        <f>AD175/VPI!R175</f>
        <v>3.408904595362968</v>
      </c>
      <c r="AF175" s="237">
        <v>735259</v>
      </c>
      <c r="AG175" s="237">
        <v>84386</v>
      </c>
      <c r="AH175" s="237">
        <v>180487</v>
      </c>
      <c r="AI175" s="272"/>
      <c r="AJ175" s="8">
        <v>0</v>
      </c>
      <c r="AK175" s="443">
        <f>AJ175/VPI!R175</f>
        <v>0</v>
      </c>
      <c r="AL175" s="445">
        <f t="shared" si="15"/>
        <v>36378</v>
      </c>
      <c r="AM175" s="443">
        <f>AL175/VPI!R175</f>
        <v>0.24858603324014861</v>
      </c>
      <c r="AN175" s="8">
        <v>36378</v>
      </c>
      <c r="AO175" s="272"/>
      <c r="AP175" s="529">
        <v>38.653457506959839</v>
      </c>
      <c r="AR175" s="546">
        <v>0</v>
      </c>
      <c r="AT175" s="239">
        <f t="shared" si="16"/>
        <v>9568661.5999999978</v>
      </c>
      <c r="AU175" s="5">
        <f t="shared" si="17"/>
        <v>0</v>
      </c>
    </row>
    <row r="176" spans="1:47" x14ac:dyDescent="0.25">
      <c r="A176" s="192">
        <v>5705</v>
      </c>
      <c r="B176" s="447" t="s">
        <v>196</v>
      </c>
      <c r="C176" s="535">
        <v>2949886.67</v>
      </c>
      <c r="D176" s="535">
        <v>501881.45</v>
      </c>
      <c r="E176" s="535"/>
      <c r="F176" s="536"/>
      <c r="G176" s="535">
        <v>59163.8</v>
      </c>
      <c r="H176" s="535">
        <v>1655.1</v>
      </c>
      <c r="I176" s="535">
        <v>106832.5</v>
      </c>
      <c r="J176" s="535">
        <v>21583.82</v>
      </c>
      <c r="K176" s="535">
        <v>11017.25</v>
      </c>
      <c r="L176" s="535">
        <v>231509.5</v>
      </c>
      <c r="M176" s="498">
        <f t="shared" si="12"/>
        <v>3883530.09</v>
      </c>
      <c r="N176" s="243">
        <v>47048.800000000003</v>
      </c>
      <c r="O176" s="243"/>
      <c r="P176" s="243">
        <v>332784.75</v>
      </c>
      <c r="Q176" s="243">
        <v>1831.91</v>
      </c>
      <c r="R176" s="243">
        <v>211433.65</v>
      </c>
      <c r="S176" s="535">
        <v>6679.84</v>
      </c>
      <c r="T176" s="498">
        <f t="shared" si="13"/>
        <v>4483309.04</v>
      </c>
      <c r="U176" s="239">
        <v>-15256.03</v>
      </c>
      <c r="V176" s="243"/>
      <c r="W176" s="243">
        <v>-6470.74</v>
      </c>
      <c r="X176" s="540">
        <v>74.5</v>
      </c>
      <c r="Y176" s="543">
        <v>1</v>
      </c>
      <c r="Z176" s="215">
        <v>888</v>
      </c>
      <c r="AA176" s="268"/>
      <c r="AB176" s="237">
        <v>0</v>
      </c>
      <c r="AC176" s="443">
        <f>AB176/VPI!R176</f>
        <v>0</v>
      </c>
      <c r="AD176" s="445">
        <f t="shared" si="14"/>
        <v>0</v>
      </c>
      <c r="AE176" s="443">
        <f>AD176/VPI!R176</f>
        <v>0</v>
      </c>
      <c r="AF176" s="237">
        <v>0</v>
      </c>
      <c r="AG176" s="237">
        <v>0</v>
      </c>
      <c r="AH176" s="237">
        <v>0</v>
      </c>
      <c r="AI176" s="272"/>
      <c r="AJ176" s="8">
        <v>0</v>
      </c>
      <c r="AK176" s="443">
        <f>AJ176/VPI!R176</f>
        <v>0</v>
      </c>
      <c r="AL176" s="445">
        <f t="shared" si="15"/>
        <v>0</v>
      </c>
      <c r="AM176" s="443">
        <f>AL176/VPI!R176</f>
        <v>0</v>
      </c>
      <c r="AN176" s="8">
        <v>0</v>
      </c>
      <c r="AO176" s="272"/>
      <c r="AP176" s="529">
        <v>41.570304820263104</v>
      </c>
      <c r="AR176" s="546">
        <v>0</v>
      </c>
      <c r="AT176" s="239">
        <f t="shared" si="16"/>
        <v>3883530.09</v>
      </c>
      <c r="AU176" s="5">
        <f t="shared" si="17"/>
        <v>0</v>
      </c>
    </row>
    <row r="177" spans="1:47" x14ac:dyDescent="0.25">
      <c r="A177" s="192">
        <v>5706</v>
      </c>
      <c r="B177" s="447" t="s">
        <v>197</v>
      </c>
      <c r="C177" s="535">
        <v>3219818.98</v>
      </c>
      <c r="D177" s="535">
        <v>500991.95</v>
      </c>
      <c r="E177" s="535"/>
      <c r="F177" s="536"/>
      <c r="G177" s="535">
        <v>-5879.5</v>
      </c>
      <c r="H177" s="535">
        <v>10304.65</v>
      </c>
      <c r="I177" s="535">
        <v>14964.7</v>
      </c>
      <c r="J177" s="535">
        <v>32456.15</v>
      </c>
      <c r="K177" s="535">
        <v>10637.7</v>
      </c>
      <c r="L177" s="535">
        <v>435111.45</v>
      </c>
      <c r="M177" s="498">
        <f t="shared" si="12"/>
        <v>4218406.08</v>
      </c>
      <c r="N177" s="243">
        <v>10314.15</v>
      </c>
      <c r="O177" s="243"/>
      <c r="P177" s="243">
        <v>201410</v>
      </c>
      <c r="Q177" s="243"/>
      <c r="R177" s="243">
        <v>118489.60000000001</v>
      </c>
      <c r="S177" s="535">
        <v>486.02</v>
      </c>
      <c r="T177" s="498">
        <f t="shared" si="13"/>
        <v>4549105.8499999996</v>
      </c>
      <c r="U177" s="239">
        <v>-7286.69</v>
      </c>
      <c r="V177" s="243"/>
      <c r="W177" s="243">
        <v>-7727.67</v>
      </c>
      <c r="X177" s="540">
        <v>57</v>
      </c>
      <c r="Y177" s="543">
        <v>1.5</v>
      </c>
      <c r="Z177" s="215">
        <v>1165</v>
      </c>
      <c r="AA177" s="268"/>
      <c r="AB177" s="237">
        <v>0</v>
      </c>
      <c r="AC177" s="443">
        <f>AB177/VPI!R177</f>
        <v>0</v>
      </c>
      <c r="AD177" s="445">
        <f t="shared" si="14"/>
        <v>0</v>
      </c>
      <c r="AE177" s="443">
        <f>AD177/VPI!R177</f>
        <v>0</v>
      </c>
      <c r="AF177" s="237">
        <v>0</v>
      </c>
      <c r="AG177" s="237">
        <v>0</v>
      </c>
      <c r="AH177" s="237">
        <v>0</v>
      </c>
      <c r="AI177" s="272"/>
      <c r="AJ177" s="8">
        <v>0</v>
      </c>
      <c r="AK177" s="443">
        <f>AJ177/VPI!R177</f>
        <v>0</v>
      </c>
      <c r="AL177" s="445">
        <f t="shared" si="15"/>
        <v>0</v>
      </c>
      <c r="AM177" s="443">
        <f>AL177/VPI!R177</f>
        <v>0</v>
      </c>
      <c r="AN177" s="8">
        <v>0</v>
      </c>
      <c r="AO177" s="272"/>
      <c r="AP177" s="529">
        <v>38.967208371326052</v>
      </c>
      <c r="AR177" s="546">
        <v>0</v>
      </c>
      <c r="AT177" s="239">
        <f t="shared" si="16"/>
        <v>4218406.08</v>
      </c>
      <c r="AU177" s="5">
        <f t="shared" si="17"/>
        <v>0</v>
      </c>
    </row>
    <row r="178" spans="1:47" x14ac:dyDescent="0.25">
      <c r="A178" s="192">
        <v>5707</v>
      </c>
      <c r="B178" s="447" t="s">
        <v>198</v>
      </c>
      <c r="C178" s="535">
        <v>3479956</v>
      </c>
      <c r="D178" s="535">
        <v>683312.49</v>
      </c>
      <c r="E178" s="535"/>
      <c r="F178" s="536"/>
      <c r="G178" s="535">
        <v>276580.65000000002</v>
      </c>
      <c r="H178" s="535">
        <v>7899.55</v>
      </c>
      <c r="I178" s="535">
        <v>36135.800000000003</v>
      </c>
      <c r="J178" s="535">
        <v>70076.149999999994</v>
      </c>
      <c r="K178" s="535">
        <v>60635.1</v>
      </c>
      <c r="L178" s="535">
        <v>718694.9</v>
      </c>
      <c r="M178" s="498">
        <f t="shared" si="12"/>
        <v>5333290.6400000006</v>
      </c>
      <c r="N178" s="243">
        <v>706882.95</v>
      </c>
      <c r="O178" s="243"/>
      <c r="P178" s="243">
        <v>517016.35</v>
      </c>
      <c r="Q178" s="243">
        <v>4114.8599999999997</v>
      </c>
      <c r="R178" s="243">
        <v>331529.5</v>
      </c>
      <c r="S178" s="535">
        <v>31244.93</v>
      </c>
      <c r="T178" s="498">
        <f t="shared" si="13"/>
        <v>6924079.2300000004</v>
      </c>
      <c r="U178" s="239">
        <v>-13446.05</v>
      </c>
      <c r="V178" s="243"/>
      <c r="W178" s="243">
        <v>-11373.21</v>
      </c>
      <c r="X178" s="540">
        <v>58</v>
      </c>
      <c r="Y178" s="543">
        <v>1.5</v>
      </c>
      <c r="Z178" s="215">
        <v>1330</v>
      </c>
      <c r="AA178" s="268"/>
      <c r="AB178" s="237">
        <v>0</v>
      </c>
      <c r="AC178" s="443">
        <f>AB178/VPI!R178</f>
        <v>0</v>
      </c>
      <c r="AD178" s="445">
        <f t="shared" si="14"/>
        <v>0</v>
      </c>
      <c r="AE178" s="443">
        <f>AD178/VPI!R178</f>
        <v>0</v>
      </c>
      <c r="AF178" s="237">
        <v>0</v>
      </c>
      <c r="AG178" s="237">
        <v>0</v>
      </c>
      <c r="AH178" s="237">
        <v>0</v>
      </c>
      <c r="AI178" s="272"/>
      <c r="AJ178" s="8">
        <v>0</v>
      </c>
      <c r="AK178" s="443">
        <f>AJ178/VPI!R178</f>
        <v>0</v>
      </c>
      <c r="AL178" s="445">
        <f t="shared" si="15"/>
        <v>0</v>
      </c>
      <c r="AM178" s="443">
        <f>AL178/VPI!R178</f>
        <v>0</v>
      </c>
      <c r="AN178" s="8">
        <v>0</v>
      </c>
      <c r="AO178" s="272"/>
      <c r="AP178" s="529">
        <v>39.456585785588118</v>
      </c>
      <c r="AR178" s="546">
        <v>0</v>
      </c>
      <c r="AT178" s="239">
        <f t="shared" si="16"/>
        <v>5333290.6400000006</v>
      </c>
      <c r="AU178" s="5">
        <f t="shared" si="17"/>
        <v>0</v>
      </c>
    </row>
    <row r="179" spans="1:47" x14ac:dyDescent="0.25">
      <c r="A179" s="192">
        <v>5708</v>
      </c>
      <c r="B179" s="447" t="s">
        <v>199</v>
      </c>
      <c r="C179" s="535">
        <v>3588220.12</v>
      </c>
      <c r="D179" s="535">
        <v>647936.54</v>
      </c>
      <c r="E179" s="535"/>
      <c r="F179" s="536"/>
      <c r="G179" s="535">
        <v>152931.25</v>
      </c>
      <c r="H179" s="535">
        <v>644.20000000000005</v>
      </c>
      <c r="I179" s="535"/>
      <c r="J179" s="535">
        <v>-140648.74</v>
      </c>
      <c r="K179" s="535">
        <v>2504.3000000000002</v>
      </c>
      <c r="L179" s="535">
        <v>438216.3</v>
      </c>
      <c r="M179" s="498">
        <f t="shared" si="12"/>
        <v>4689803.97</v>
      </c>
      <c r="N179" s="243">
        <v>11789.25</v>
      </c>
      <c r="O179" s="243"/>
      <c r="P179" s="243">
        <v>149748.1</v>
      </c>
      <c r="Q179" s="243"/>
      <c r="R179" s="243">
        <v>133122</v>
      </c>
      <c r="S179" s="535">
        <v>16867.439999999999</v>
      </c>
      <c r="T179" s="498">
        <f t="shared" si="13"/>
        <v>5001330.76</v>
      </c>
      <c r="U179" s="239">
        <v>-404.54</v>
      </c>
      <c r="V179" s="243"/>
      <c r="W179" s="243">
        <v>-4610.09</v>
      </c>
      <c r="X179" s="540">
        <v>68</v>
      </c>
      <c r="Y179" s="543">
        <v>1.5</v>
      </c>
      <c r="Z179" s="215">
        <v>1005</v>
      </c>
      <c r="AA179" s="268"/>
      <c r="AB179" s="237">
        <v>0</v>
      </c>
      <c r="AC179" s="443">
        <f>AB179/VPI!R179</f>
        <v>0</v>
      </c>
      <c r="AD179" s="445">
        <f t="shared" si="14"/>
        <v>0</v>
      </c>
      <c r="AE179" s="443">
        <f>AD179/VPI!R179</f>
        <v>0</v>
      </c>
      <c r="AF179" s="237">
        <v>0</v>
      </c>
      <c r="AG179" s="237">
        <v>0</v>
      </c>
      <c r="AH179" s="237">
        <v>0</v>
      </c>
      <c r="AI179" s="272"/>
      <c r="AJ179" s="8">
        <v>0</v>
      </c>
      <c r="AK179" s="443">
        <f>AJ179/VPI!R179</f>
        <v>0</v>
      </c>
      <c r="AL179" s="445">
        <f t="shared" si="15"/>
        <v>0</v>
      </c>
      <c r="AM179" s="443">
        <f>AL179/VPI!R179</f>
        <v>0</v>
      </c>
      <c r="AN179" s="8">
        <v>0</v>
      </c>
      <c r="AO179" s="272"/>
      <c r="AP179" s="529">
        <v>39.402993101748081</v>
      </c>
      <c r="AR179" s="546">
        <v>0</v>
      </c>
      <c r="AT179" s="239">
        <f t="shared" si="16"/>
        <v>4689803.97</v>
      </c>
      <c r="AU179" s="5">
        <f t="shared" si="17"/>
        <v>0</v>
      </c>
    </row>
    <row r="180" spans="1:47" x14ac:dyDescent="0.25">
      <c r="A180" s="192">
        <v>5709</v>
      </c>
      <c r="B180" s="447" t="s">
        <v>200</v>
      </c>
      <c r="C180" s="535">
        <v>3299310.07</v>
      </c>
      <c r="D180" s="535">
        <v>775602.39</v>
      </c>
      <c r="E180" s="535"/>
      <c r="F180" s="536"/>
      <c r="G180" s="535">
        <v>9957</v>
      </c>
      <c r="H180" s="535">
        <v>12982.65</v>
      </c>
      <c r="I180" s="535">
        <v>544660.1</v>
      </c>
      <c r="J180" s="535">
        <v>33643.4</v>
      </c>
      <c r="K180" s="535">
        <v>6284.05</v>
      </c>
      <c r="L180" s="535">
        <v>393676.85</v>
      </c>
      <c r="M180" s="498">
        <f t="shared" si="12"/>
        <v>5076116.51</v>
      </c>
      <c r="N180" s="243">
        <v>45594</v>
      </c>
      <c r="O180" s="243"/>
      <c r="P180" s="243">
        <v>170346.85</v>
      </c>
      <c r="Q180" s="243"/>
      <c r="R180" s="243">
        <v>1665970.35</v>
      </c>
      <c r="S180" s="535">
        <v>2519.5</v>
      </c>
      <c r="T180" s="498">
        <f t="shared" si="13"/>
        <v>6960547.209999999</v>
      </c>
      <c r="U180" s="239">
        <v>-37331.360000000001</v>
      </c>
      <c r="V180" s="243"/>
      <c r="W180" s="243">
        <v>-5867.36</v>
      </c>
      <c r="X180" s="540">
        <v>57</v>
      </c>
      <c r="Y180" s="543">
        <v>1</v>
      </c>
      <c r="Z180" s="215">
        <v>1263</v>
      </c>
      <c r="AA180" s="268"/>
      <c r="AB180" s="237">
        <v>143248</v>
      </c>
      <c r="AC180" s="443">
        <f>AB180/VPI!R180</f>
        <v>1.6215346413340004</v>
      </c>
      <c r="AD180" s="445">
        <f t="shared" si="14"/>
        <v>136060</v>
      </c>
      <c r="AE180" s="443">
        <f>AD180/VPI!R180</f>
        <v>1.5401681231144875</v>
      </c>
      <c r="AF180" s="237">
        <v>279308</v>
      </c>
      <c r="AG180" s="237">
        <v>54538</v>
      </c>
      <c r="AH180" s="237">
        <v>168805</v>
      </c>
      <c r="AI180" s="272"/>
      <c r="AJ180" s="8">
        <v>0</v>
      </c>
      <c r="AK180" s="443">
        <f>AJ180/VPI!R180</f>
        <v>0</v>
      </c>
      <c r="AL180" s="445">
        <f t="shared" si="15"/>
        <v>26313</v>
      </c>
      <c r="AM180" s="443">
        <f>AL180/VPI!R180</f>
        <v>0.29785714995966123</v>
      </c>
      <c r="AN180" s="8">
        <v>26313</v>
      </c>
      <c r="AO180" s="272"/>
      <c r="AP180" s="529">
        <v>40.979310037978493</v>
      </c>
      <c r="AR180" s="546">
        <v>0</v>
      </c>
      <c r="AT180" s="239">
        <f t="shared" si="16"/>
        <v>5076116.51</v>
      </c>
      <c r="AU180" s="5">
        <f t="shared" si="17"/>
        <v>0</v>
      </c>
    </row>
    <row r="181" spans="1:47" x14ac:dyDescent="0.25">
      <c r="A181" s="192">
        <v>5710</v>
      </c>
      <c r="B181" s="447" t="s">
        <v>201</v>
      </c>
      <c r="C181" s="535">
        <v>1279873.33</v>
      </c>
      <c r="D181" s="535">
        <v>331736.81</v>
      </c>
      <c r="E181" s="535"/>
      <c r="F181" s="536"/>
      <c r="G181" s="535">
        <v>-386473.95</v>
      </c>
      <c r="H181" s="535">
        <v>735616.95</v>
      </c>
      <c r="I181" s="535">
        <v>110957.8</v>
      </c>
      <c r="J181" s="535">
        <v>13621.24</v>
      </c>
      <c r="K181" s="535">
        <v>-26200.55</v>
      </c>
      <c r="L181" s="535">
        <v>134068.20000000001</v>
      </c>
      <c r="M181" s="498">
        <f t="shared" si="12"/>
        <v>2193199.83</v>
      </c>
      <c r="N181" s="243">
        <v>46509.95</v>
      </c>
      <c r="O181" s="243"/>
      <c r="P181" s="243">
        <v>102602.5</v>
      </c>
      <c r="Q181" s="243">
        <v>11.45</v>
      </c>
      <c r="R181" s="243">
        <v>55699.25</v>
      </c>
      <c r="S181" s="535">
        <v>38346.949999999997</v>
      </c>
      <c r="T181" s="498">
        <f t="shared" si="13"/>
        <v>2436369.9300000006</v>
      </c>
      <c r="U181" s="239">
        <v>-10534.21</v>
      </c>
      <c r="V181" s="243"/>
      <c r="W181" s="243">
        <v>-8196.23</v>
      </c>
      <c r="X181" s="540">
        <v>51</v>
      </c>
      <c r="Y181" s="543">
        <v>1</v>
      </c>
      <c r="Z181" s="215">
        <v>508</v>
      </c>
      <c r="AA181" s="268"/>
      <c r="AB181" s="237">
        <v>0</v>
      </c>
      <c r="AC181" s="443">
        <f>AB181/VPI!R181</f>
        <v>0</v>
      </c>
      <c r="AD181" s="445">
        <f t="shared" si="14"/>
        <v>91428</v>
      </c>
      <c r="AE181" s="443">
        <f>AD181/VPI!R181</f>
        <v>2.1071806947977634</v>
      </c>
      <c r="AF181" s="237">
        <v>91428</v>
      </c>
      <c r="AG181" s="237">
        <v>22243</v>
      </c>
      <c r="AH181" s="237">
        <v>45887</v>
      </c>
      <c r="AI181" s="272"/>
      <c r="AJ181" s="8">
        <v>0</v>
      </c>
      <c r="AK181" s="443">
        <f>AJ181/VPI!R181</f>
        <v>0</v>
      </c>
      <c r="AL181" s="445">
        <f t="shared" si="15"/>
        <v>20653</v>
      </c>
      <c r="AM181" s="443">
        <f>AL181/VPI!R181</f>
        <v>0.47599863159708411</v>
      </c>
      <c r="AN181" s="8">
        <v>20653</v>
      </c>
      <c r="AO181" s="272"/>
      <c r="AP181" s="529">
        <v>39.984328554420749</v>
      </c>
      <c r="AR181" s="546">
        <v>0</v>
      </c>
      <c r="AT181" s="239">
        <f t="shared" si="16"/>
        <v>2193199.83</v>
      </c>
      <c r="AU181" s="5">
        <f t="shared" si="17"/>
        <v>0</v>
      </c>
    </row>
    <row r="182" spans="1:47" x14ac:dyDescent="0.25">
      <c r="A182" s="192">
        <v>5711</v>
      </c>
      <c r="B182" s="447" t="s">
        <v>202</v>
      </c>
      <c r="C182" s="535">
        <v>11949961.24</v>
      </c>
      <c r="D182" s="535">
        <v>2581634.71</v>
      </c>
      <c r="E182" s="535"/>
      <c r="F182" s="536"/>
      <c r="G182" s="535">
        <v>79953.350000000006</v>
      </c>
      <c r="H182" s="535">
        <v>10194.700000000001</v>
      </c>
      <c r="I182" s="535">
        <v>162941.45000000001</v>
      </c>
      <c r="J182" s="535">
        <v>150861.20000000001</v>
      </c>
      <c r="K182" s="535">
        <v>17437.5</v>
      </c>
      <c r="L182" s="535">
        <v>1241659.7</v>
      </c>
      <c r="M182" s="498">
        <f t="shared" si="12"/>
        <v>16194643.849999996</v>
      </c>
      <c r="N182" s="243">
        <v>25768.5</v>
      </c>
      <c r="O182" s="243">
        <v>56023.8</v>
      </c>
      <c r="P182" s="243">
        <v>1095794.3</v>
      </c>
      <c r="Q182" s="243">
        <v>-3967.2</v>
      </c>
      <c r="R182" s="243">
        <v>1039147.95</v>
      </c>
      <c r="S182" s="535">
        <v>9901.11</v>
      </c>
      <c r="T182" s="498">
        <f t="shared" si="13"/>
        <v>18417312.309999995</v>
      </c>
      <c r="U182" s="239">
        <v>4758.5200000000004</v>
      </c>
      <c r="V182" s="243"/>
      <c r="W182" s="243">
        <v>-30955.25</v>
      </c>
      <c r="X182" s="540">
        <v>55.5</v>
      </c>
      <c r="Y182" s="543">
        <v>1.3</v>
      </c>
      <c r="Z182" s="215">
        <v>3001</v>
      </c>
      <c r="AA182" s="268"/>
      <c r="AB182" s="237">
        <v>79553</v>
      </c>
      <c r="AC182" s="443">
        <f>AB182/VPI!R182</f>
        <v>0.27789745739241234</v>
      </c>
      <c r="AD182" s="445">
        <f t="shared" si="14"/>
        <v>468352</v>
      </c>
      <c r="AE182" s="443">
        <f>AD182/VPI!R182</f>
        <v>1.6360643843054457</v>
      </c>
      <c r="AF182" s="237">
        <v>547905</v>
      </c>
      <c r="AG182" s="237">
        <v>241371</v>
      </c>
      <c r="AH182" s="237">
        <v>202727</v>
      </c>
      <c r="AI182" s="272"/>
      <c r="AJ182" s="8">
        <v>0</v>
      </c>
      <c r="AK182" s="443">
        <f>AJ182/VPI!R182</f>
        <v>0</v>
      </c>
      <c r="AL182" s="445">
        <f t="shared" si="15"/>
        <v>2369</v>
      </c>
      <c r="AM182" s="443">
        <f>AL182/VPI!R182</f>
        <v>8.2754776886179646E-3</v>
      </c>
      <c r="AN182" s="8">
        <v>2369</v>
      </c>
      <c r="AO182" s="272"/>
      <c r="AP182" s="529">
        <v>40.981965869694918</v>
      </c>
      <c r="AR182" s="546">
        <v>0</v>
      </c>
      <c r="AT182" s="239">
        <f t="shared" si="16"/>
        <v>16194643.849999996</v>
      </c>
      <c r="AU182" s="5">
        <f t="shared" si="17"/>
        <v>0</v>
      </c>
    </row>
    <row r="183" spans="1:47" x14ac:dyDescent="0.25">
      <c r="A183" s="192">
        <v>5712</v>
      </c>
      <c r="B183" s="447" t="s">
        <v>203</v>
      </c>
      <c r="C183" s="535">
        <v>11157052.970000001</v>
      </c>
      <c r="D183" s="535">
        <v>4214779.21</v>
      </c>
      <c r="E183" s="535"/>
      <c r="F183" s="536"/>
      <c r="G183" s="535">
        <v>134589.29999999999</v>
      </c>
      <c r="H183" s="535">
        <v>36444.9</v>
      </c>
      <c r="I183" s="535">
        <v>1088137.19</v>
      </c>
      <c r="J183" s="535">
        <v>-86074.68</v>
      </c>
      <c r="K183" s="535">
        <v>25170.5</v>
      </c>
      <c r="L183" s="535">
        <v>1810541.7</v>
      </c>
      <c r="M183" s="498">
        <f t="shared" si="12"/>
        <v>18380641.09</v>
      </c>
      <c r="N183" s="243">
        <v>136878.75</v>
      </c>
      <c r="O183" s="243">
        <v>510250</v>
      </c>
      <c r="P183" s="243">
        <v>972593.2</v>
      </c>
      <c r="Q183" s="243">
        <v>2167.21</v>
      </c>
      <c r="R183" s="243">
        <v>570732.44999999995</v>
      </c>
      <c r="S183" s="535">
        <v>18784.96</v>
      </c>
      <c r="T183" s="498">
        <f t="shared" si="13"/>
        <v>20592047.66</v>
      </c>
      <c r="U183" s="239">
        <v>-56289.72</v>
      </c>
      <c r="V183" s="243"/>
      <c r="W183" s="243">
        <v>-53393.47</v>
      </c>
      <c r="X183" s="540">
        <v>53</v>
      </c>
      <c r="Y183" s="543">
        <v>1.5</v>
      </c>
      <c r="Z183" s="215">
        <v>3211</v>
      </c>
      <c r="AA183" s="268"/>
      <c r="AB183" s="237">
        <v>236417</v>
      </c>
      <c r="AC183" s="443">
        <f>AB183/VPI!R183</f>
        <v>0.70837971286799828</v>
      </c>
      <c r="AD183" s="445">
        <f t="shared" si="14"/>
        <v>507001</v>
      </c>
      <c r="AE183" s="443">
        <f>AD183/VPI!R183</f>
        <v>1.5191345072638094</v>
      </c>
      <c r="AF183" s="237">
        <v>743418</v>
      </c>
      <c r="AG183" s="237">
        <v>286858</v>
      </c>
      <c r="AH183" s="237">
        <v>214797</v>
      </c>
      <c r="AI183" s="272"/>
      <c r="AJ183" s="8">
        <v>0</v>
      </c>
      <c r="AK183" s="443">
        <f>AJ183/VPI!R183</f>
        <v>0</v>
      </c>
      <c r="AL183" s="445">
        <f t="shared" si="15"/>
        <v>0</v>
      </c>
      <c r="AM183" s="443">
        <f>AL183/VPI!R183</f>
        <v>0</v>
      </c>
      <c r="AN183" s="8">
        <v>0</v>
      </c>
      <c r="AO183" s="272"/>
      <c r="AP183" s="529">
        <v>46.068741410954964</v>
      </c>
      <c r="AR183" s="546">
        <v>0</v>
      </c>
      <c r="AT183" s="239">
        <f t="shared" si="16"/>
        <v>18380641.09</v>
      </c>
      <c r="AU183" s="5">
        <f t="shared" si="17"/>
        <v>0</v>
      </c>
    </row>
    <row r="184" spans="1:47" x14ac:dyDescent="0.25">
      <c r="A184" s="192">
        <v>5713</v>
      </c>
      <c r="B184" s="447" t="s">
        <v>559</v>
      </c>
      <c r="C184" s="535">
        <v>9731853.0800000001</v>
      </c>
      <c r="D184" s="535">
        <v>5268318.41</v>
      </c>
      <c r="E184" s="535"/>
      <c r="F184" s="536"/>
      <c r="G184" s="535">
        <v>39949.9</v>
      </c>
      <c r="H184" s="535">
        <v>9549.85</v>
      </c>
      <c r="I184" s="535">
        <v>535479.17000000004</v>
      </c>
      <c r="J184" s="535">
        <v>541679.1</v>
      </c>
      <c r="K184" s="535">
        <v>18938.05</v>
      </c>
      <c r="L184" s="535">
        <v>898983.85</v>
      </c>
      <c r="M184" s="498">
        <f t="shared" si="12"/>
        <v>17044751.41</v>
      </c>
      <c r="N184" s="243">
        <v>40096.699999999997</v>
      </c>
      <c r="O184" s="243">
        <v>1474721.4</v>
      </c>
      <c r="P184" s="243">
        <v>677094</v>
      </c>
      <c r="Q184" s="243">
        <v>3865.85</v>
      </c>
      <c r="R184" s="243">
        <v>1134337.6000000001</v>
      </c>
      <c r="S184" s="535">
        <v>5436.64</v>
      </c>
      <c r="T184" s="498">
        <f t="shared" si="13"/>
        <v>20380303.600000001</v>
      </c>
      <c r="U184" s="239">
        <v>-10790.21</v>
      </c>
      <c r="V184" s="243"/>
      <c r="W184" s="243">
        <v>-103164.71</v>
      </c>
      <c r="X184" s="540">
        <v>56</v>
      </c>
      <c r="Y184" s="543">
        <v>1</v>
      </c>
      <c r="Z184" s="215">
        <v>2373</v>
      </c>
      <c r="AA184" s="268"/>
      <c r="AB184" s="237">
        <v>30983</v>
      </c>
      <c r="AC184" s="443">
        <f>AB184/VPI!R184</f>
        <v>0.10242254204349401</v>
      </c>
      <c r="AD184" s="445">
        <f t="shared" si="14"/>
        <v>424896</v>
      </c>
      <c r="AE184" s="443">
        <f>AD184/VPI!R184</f>
        <v>1.4046066689511161</v>
      </c>
      <c r="AF184" s="237">
        <v>455879</v>
      </c>
      <c r="AG184" s="237">
        <v>114169</v>
      </c>
      <c r="AH184" s="237">
        <v>156032</v>
      </c>
      <c r="AI184" s="272"/>
      <c r="AJ184" s="8">
        <v>0</v>
      </c>
      <c r="AK184" s="443">
        <f>AJ184/VPI!R184</f>
        <v>0</v>
      </c>
      <c r="AL184" s="445">
        <f t="shared" si="15"/>
        <v>17848</v>
      </c>
      <c r="AM184" s="443">
        <f>AL184/VPI!R184</f>
        <v>5.9001308149381308E-2</v>
      </c>
      <c r="AN184" s="8">
        <v>17848</v>
      </c>
      <c r="AO184" s="272"/>
      <c r="AP184" s="529">
        <v>49.909846531988435</v>
      </c>
      <c r="AR184" s="546">
        <v>1</v>
      </c>
      <c r="AT184" s="239">
        <f t="shared" si="16"/>
        <v>17044751.41</v>
      </c>
      <c r="AU184" s="5">
        <f t="shared" si="17"/>
        <v>0</v>
      </c>
    </row>
    <row r="185" spans="1:47" x14ac:dyDescent="0.25">
      <c r="A185" s="192">
        <v>5714</v>
      </c>
      <c r="B185" s="447" t="s">
        <v>204</v>
      </c>
      <c r="C185" s="535">
        <v>3125593.81</v>
      </c>
      <c r="D185" s="535">
        <v>568137.09</v>
      </c>
      <c r="E185" s="535"/>
      <c r="F185" s="536"/>
      <c r="G185" s="535">
        <v>45794.8</v>
      </c>
      <c r="H185" s="535">
        <v>1315.65</v>
      </c>
      <c r="I185" s="535">
        <v>111001</v>
      </c>
      <c r="J185" s="535">
        <v>72501.87</v>
      </c>
      <c r="K185" s="535">
        <v>7238.3</v>
      </c>
      <c r="L185" s="535">
        <v>296056.65000000002</v>
      </c>
      <c r="M185" s="498">
        <f t="shared" si="12"/>
        <v>4227639.17</v>
      </c>
      <c r="N185" s="243">
        <v>144109.9</v>
      </c>
      <c r="O185" s="243">
        <v>3583.5</v>
      </c>
      <c r="P185" s="243">
        <v>410571.7</v>
      </c>
      <c r="Q185" s="243">
        <v>3088.67</v>
      </c>
      <c r="R185" s="243">
        <v>201409.35</v>
      </c>
      <c r="S185" s="535">
        <v>5174.22</v>
      </c>
      <c r="T185" s="498">
        <f t="shared" si="13"/>
        <v>4995576.51</v>
      </c>
      <c r="U185" s="239">
        <v>-7574.24</v>
      </c>
      <c r="V185" s="243"/>
      <c r="W185" s="243">
        <v>-3239.4</v>
      </c>
      <c r="X185" s="540">
        <v>68</v>
      </c>
      <c r="Y185" s="543">
        <v>1</v>
      </c>
      <c r="Z185" s="215">
        <v>1228</v>
      </c>
      <c r="AA185" s="268"/>
      <c r="AB185" s="237">
        <v>0</v>
      </c>
      <c r="AC185" s="443">
        <f>AB185/VPI!R185</f>
        <v>0</v>
      </c>
      <c r="AD185" s="445">
        <f t="shared" si="14"/>
        <v>0</v>
      </c>
      <c r="AE185" s="443">
        <f>AD185/VPI!R185</f>
        <v>0</v>
      </c>
      <c r="AF185" s="237">
        <v>0</v>
      </c>
      <c r="AG185" s="237">
        <v>0</v>
      </c>
      <c r="AH185" s="237">
        <v>0</v>
      </c>
      <c r="AI185" s="272"/>
      <c r="AJ185" s="8">
        <v>0</v>
      </c>
      <c r="AK185" s="443">
        <f>AJ185/VPI!R185</f>
        <v>0</v>
      </c>
      <c r="AL185" s="445">
        <f t="shared" si="15"/>
        <v>0</v>
      </c>
      <c r="AM185" s="443">
        <f>AL185/VPI!R185</f>
        <v>0</v>
      </c>
      <c r="AN185" s="8">
        <v>0</v>
      </c>
      <c r="AO185" s="272"/>
      <c r="AP185" s="529">
        <v>33.143405263935989</v>
      </c>
      <c r="AR185" s="546">
        <v>0</v>
      </c>
      <c r="AT185" s="239">
        <f t="shared" si="16"/>
        <v>4227639.17</v>
      </c>
      <c r="AU185" s="5">
        <f t="shared" si="17"/>
        <v>0</v>
      </c>
    </row>
    <row r="186" spans="1:47" x14ac:dyDescent="0.25">
      <c r="A186" s="192">
        <v>5715</v>
      </c>
      <c r="B186" s="447" t="s">
        <v>205</v>
      </c>
      <c r="C186" s="535">
        <v>3624742.75</v>
      </c>
      <c r="D186" s="535">
        <v>678519.88</v>
      </c>
      <c r="E186" s="535"/>
      <c r="F186" s="536"/>
      <c r="G186" s="535">
        <v>39191.1</v>
      </c>
      <c r="H186" s="535">
        <v>5460.7</v>
      </c>
      <c r="I186" s="535"/>
      <c r="J186" s="535">
        <v>38423.9</v>
      </c>
      <c r="K186" s="535">
        <v>2974.5</v>
      </c>
      <c r="L186" s="535">
        <v>283485.90000000002</v>
      </c>
      <c r="M186" s="498">
        <f t="shared" si="12"/>
        <v>4672798.7300000004</v>
      </c>
      <c r="N186" s="243">
        <v>115813.65</v>
      </c>
      <c r="O186" s="243"/>
      <c r="P186" s="243">
        <v>424957.5</v>
      </c>
      <c r="Q186" s="243">
        <v>1872.64</v>
      </c>
      <c r="R186" s="243">
        <v>431528.05</v>
      </c>
      <c r="S186" s="535">
        <v>4904.18</v>
      </c>
      <c r="T186" s="498">
        <f t="shared" si="13"/>
        <v>5651874.75</v>
      </c>
      <c r="U186" s="239">
        <v>-31477.46</v>
      </c>
      <c r="V186" s="243"/>
      <c r="W186" s="243">
        <v>-2172.73</v>
      </c>
      <c r="X186" s="540">
        <v>66</v>
      </c>
      <c r="Y186" s="543">
        <v>1</v>
      </c>
      <c r="Z186" s="215">
        <v>1146</v>
      </c>
      <c r="AA186" s="268"/>
      <c r="AB186" s="237">
        <v>0</v>
      </c>
      <c r="AC186" s="443">
        <f>AB186/VPI!R186</f>
        <v>0</v>
      </c>
      <c r="AD186" s="445">
        <f t="shared" si="14"/>
        <v>0</v>
      </c>
      <c r="AE186" s="443">
        <f>AD186/VPI!R186</f>
        <v>0</v>
      </c>
      <c r="AF186" s="237">
        <v>0</v>
      </c>
      <c r="AG186" s="237">
        <v>0</v>
      </c>
      <c r="AH186" s="237">
        <v>0</v>
      </c>
      <c r="AI186" s="272"/>
      <c r="AJ186" s="8">
        <v>0</v>
      </c>
      <c r="AK186" s="443">
        <f>AJ186/VPI!R186</f>
        <v>0</v>
      </c>
      <c r="AL186" s="445">
        <f t="shared" si="15"/>
        <v>0</v>
      </c>
      <c r="AM186" s="443">
        <f>AL186/VPI!R186</f>
        <v>0</v>
      </c>
      <c r="AN186" s="8">
        <v>0</v>
      </c>
      <c r="AO186" s="272"/>
      <c r="AP186" s="529">
        <v>36.91974046650629</v>
      </c>
      <c r="AR186" s="546">
        <v>0</v>
      </c>
      <c r="AT186" s="239">
        <f t="shared" si="16"/>
        <v>4672798.7300000004</v>
      </c>
      <c r="AU186" s="5">
        <f t="shared" si="17"/>
        <v>0</v>
      </c>
    </row>
    <row r="187" spans="1:47" x14ac:dyDescent="0.25">
      <c r="A187" s="192">
        <v>5716</v>
      </c>
      <c r="B187" s="447" t="s">
        <v>206</v>
      </c>
      <c r="C187" s="535">
        <v>4008259.29</v>
      </c>
      <c r="D187" s="535">
        <v>643318.18999999994</v>
      </c>
      <c r="E187" s="535"/>
      <c r="F187" s="536"/>
      <c r="G187" s="535">
        <v>5491211.5</v>
      </c>
      <c r="H187" s="535">
        <v>1180097.6499999999</v>
      </c>
      <c r="I187" s="535"/>
      <c r="J187" s="535">
        <v>300606.15000000002</v>
      </c>
      <c r="K187" s="535">
        <v>115376.75</v>
      </c>
      <c r="L187" s="535">
        <v>713756.25</v>
      </c>
      <c r="M187" s="498">
        <f t="shared" si="12"/>
        <v>12452625.780000001</v>
      </c>
      <c r="N187" s="243">
        <v>412218.95</v>
      </c>
      <c r="O187" s="243">
        <v>6939.6</v>
      </c>
      <c r="P187" s="243">
        <v>127321.35</v>
      </c>
      <c r="Q187" s="243">
        <v>5265.49</v>
      </c>
      <c r="R187" s="243">
        <v>64215.8</v>
      </c>
      <c r="S187" s="535">
        <v>732720.76</v>
      </c>
      <c r="T187" s="498">
        <f t="shared" si="13"/>
        <v>13801307.73</v>
      </c>
      <c r="U187" s="239">
        <v>-743221.16</v>
      </c>
      <c r="V187" s="243"/>
      <c r="W187" s="243">
        <v>-340941.98</v>
      </c>
      <c r="X187" s="540">
        <v>59.5</v>
      </c>
      <c r="Y187" s="543">
        <v>1</v>
      </c>
      <c r="Z187" s="215">
        <v>1736</v>
      </c>
      <c r="AA187" s="268"/>
      <c r="AB187" s="237">
        <v>0</v>
      </c>
      <c r="AC187" s="443">
        <f>AB187/VPI!R187</f>
        <v>0</v>
      </c>
      <c r="AD187" s="445">
        <f t="shared" si="14"/>
        <v>0</v>
      </c>
      <c r="AE187" s="443">
        <f>AD187/VPI!R187</f>
        <v>0</v>
      </c>
      <c r="AF187" s="237">
        <v>0</v>
      </c>
      <c r="AG187" s="237">
        <v>0</v>
      </c>
      <c r="AH187" s="237">
        <v>0</v>
      </c>
      <c r="AI187" s="272"/>
      <c r="AJ187" s="8">
        <v>0</v>
      </c>
      <c r="AK187" s="443">
        <f>AJ187/VPI!R187</f>
        <v>0</v>
      </c>
      <c r="AL187" s="445">
        <f t="shared" si="15"/>
        <v>0</v>
      </c>
      <c r="AM187" s="443">
        <f>AL187/VPI!R187</f>
        <v>0</v>
      </c>
      <c r="AN187" s="8">
        <v>0</v>
      </c>
      <c r="AO187" s="272"/>
      <c r="AP187" s="529">
        <v>50.735239042658975</v>
      </c>
      <c r="AR187" s="546">
        <v>0</v>
      </c>
      <c r="AT187" s="239">
        <f t="shared" si="16"/>
        <v>12452625.780000001</v>
      </c>
      <c r="AU187" s="5">
        <f t="shared" si="17"/>
        <v>0</v>
      </c>
    </row>
    <row r="188" spans="1:47" x14ac:dyDescent="0.25">
      <c r="A188" s="192">
        <v>5717</v>
      </c>
      <c r="B188" s="447" t="s">
        <v>207</v>
      </c>
      <c r="C188" s="535">
        <v>14415358.99</v>
      </c>
      <c r="D188" s="535">
        <v>5107414.2699999996</v>
      </c>
      <c r="E188" s="535"/>
      <c r="F188" s="536"/>
      <c r="G188" s="535">
        <v>148547.6</v>
      </c>
      <c r="H188" s="535">
        <v>31927.599999999999</v>
      </c>
      <c r="I188" s="535">
        <v>1014904.3</v>
      </c>
      <c r="J188" s="535">
        <v>262009.59</v>
      </c>
      <c r="K188" s="535">
        <v>51020</v>
      </c>
      <c r="L188" s="535">
        <v>1365887.4</v>
      </c>
      <c r="M188" s="498">
        <f t="shared" si="12"/>
        <v>22397069.75</v>
      </c>
      <c r="N188" s="243">
        <v>202572.75</v>
      </c>
      <c r="O188" s="243">
        <v>69451</v>
      </c>
      <c r="P188" s="243">
        <v>1000159.2</v>
      </c>
      <c r="Q188" s="243">
        <v>3672.1</v>
      </c>
      <c r="R188" s="243">
        <v>596113.35</v>
      </c>
      <c r="S188" s="535">
        <v>19821.89</v>
      </c>
      <c r="T188" s="498">
        <f t="shared" si="13"/>
        <v>24288860.040000003</v>
      </c>
      <c r="U188" s="239">
        <v>-56354.57</v>
      </c>
      <c r="V188" s="243"/>
      <c r="W188" s="243">
        <v>-93291.24</v>
      </c>
      <c r="X188" s="540">
        <v>57</v>
      </c>
      <c r="Y188" s="543">
        <v>1</v>
      </c>
      <c r="Z188" s="215">
        <v>3822</v>
      </c>
      <c r="AA188" s="268"/>
      <c r="AB188" s="237">
        <v>0</v>
      </c>
      <c r="AC188" s="443">
        <f>AB188/VPI!R188</f>
        <v>0</v>
      </c>
      <c r="AD188" s="445">
        <f t="shared" si="14"/>
        <v>0</v>
      </c>
      <c r="AE188" s="443">
        <f>AD188/VPI!R188</f>
        <v>0</v>
      </c>
      <c r="AF188" s="237">
        <v>0</v>
      </c>
      <c r="AG188" s="237">
        <v>0</v>
      </c>
      <c r="AH188" s="237">
        <v>0</v>
      </c>
      <c r="AI188" s="272"/>
      <c r="AJ188" s="8">
        <v>0</v>
      </c>
      <c r="AK188" s="443">
        <f>AJ188/VPI!R188</f>
        <v>0</v>
      </c>
      <c r="AL188" s="445">
        <f t="shared" si="15"/>
        <v>0</v>
      </c>
      <c r="AM188" s="443">
        <f>AL188/VPI!R188</f>
        <v>0</v>
      </c>
      <c r="AN188" s="8">
        <v>0</v>
      </c>
      <c r="AO188" s="272"/>
      <c r="AP188" s="529">
        <v>44.580240189298891</v>
      </c>
      <c r="AR188" s="546">
        <v>0</v>
      </c>
      <c r="AT188" s="239">
        <f t="shared" si="16"/>
        <v>22397069.75</v>
      </c>
      <c r="AU188" s="5">
        <f t="shared" si="17"/>
        <v>0</v>
      </c>
    </row>
    <row r="189" spans="1:47" x14ac:dyDescent="0.25">
      <c r="A189" s="192">
        <v>5718</v>
      </c>
      <c r="B189" s="447" t="s">
        <v>208</v>
      </c>
      <c r="C189" s="535">
        <v>7507829.5300000003</v>
      </c>
      <c r="D189" s="535">
        <v>1803726.88</v>
      </c>
      <c r="E189" s="535"/>
      <c r="F189" s="536"/>
      <c r="G189" s="535">
        <v>233403.3</v>
      </c>
      <c r="H189" s="535">
        <v>28232.799999999999</v>
      </c>
      <c r="I189" s="535">
        <v>204264.25</v>
      </c>
      <c r="J189" s="535">
        <v>52761.65</v>
      </c>
      <c r="K189" s="535">
        <v>43944.1</v>
      </c>
      <c r="L189" s="535">
        <v>708104.75</v>
      </c>
      <c r="M189" s="498">
        <f t="shared" si="12"/>
        <v>10582267.260000002</v>
      </c>
      <c r="N189" s="243">
        <v>221075.95</v>
      </c>
      <c r="O189" s="243">
        <v>106136.4</v>
      </c>
      <c r="P189" s="243">
        <v>585089.19999999995</v>
      </c>
      <c r="Q189" s="243">
        <v>5302.28</v>
      </c>
      <c r="R189" s="243">
        <v>543922.30000000005</v>
      </c>
      <c r="S189" s="535">
        <v>28735.91</v>
      </c>
      <c r="T189" s="498">
        <f t="shared" si="13"/>
        <v>12072529.300000001</v>
      </c>
      <c r="U189" s="239">
        <v>-33872.870000000003</v>
      </c>
      <c r="V189" s="243"/>
      <c r="W189" s="243">
        <v>-8228.6299999999992</v>
      </c>
      <c r="X189" s="540">
        <v>55</v>
      </c>
      <c r="Y189" s="543">
        <v>1</v>
      </c>
      <c r="Z189" s="215">
        <v>2022</v>
      </c>
      <c r="AA189" s="268"/>
      <c r="AB189" s="237">
        <v>0</v>
      </c>
      <c r="AC189" s="443">
        <f>AB189/VPI!R189</f>
        <v>0</v>
      </c>
      <c r="AD189" s="445">
        <f t="shared" si="14"/>
        <v>0</v>
      </c>
      <c r="AE189" s="443">
        <f>AD189/VPI!R189</f>
        <v>0</v>
      </c>
      <c r="AF189" s="237">
        <v>0</v>
      </c>
      <c r="AG189" s="237">
        <v>0</v>
      </c>
      <c r="AH189" s="237">
        <v>0</v>
      </c>
      <c r="AI189" s="272"/>
      <c r="AJ189" s="8">
        <v>0</v>
      </c>
      <c r="AK189" s="443">
        <f>AJ189/VPI!R189</f>
        <v>0</v>
      </c>
      <c r="AL189" s="445">
        <f t="shared" si="15"/>
        <v>0</v>
      </c>
      <c r="AM189" s="443">
        <f>AL189/VPI!R189</f>
        <v>0</v>
      </c>
      <c r="AN189" s="551">
        <v>0</v>
      </c>
      <c r="AO189" s="272"/>
      <c r="AP189" s="529">
        <v>47.487535040591908</v>
      </c>
      <c r="AR189" s="546">
        <v>0</v>
      </c>
      <c r="AT189" s="239">
        <f t="shared" si="16"/>
        <v>10582267.260000002</v>
      </c>
      <c r="AU189" s="5">
        <f t="shared" si="17"/>
        <v>0</v>
      </c>
    </row>
    <row r="190" spans="1:47" x14ac:dyDescent="0.25">
      <c r="A190" s="192">
        <v>5719</v>
      </c>
      <c r="B190" s="447" t="s">
        <v>209</v>
      </c>
      <c r="C190" s="535">
        <v>5281741.63</v>
      </c>
      <c r="D190" s="535">
        <v>3102358.23</v>
      </c>
      <c r="E190" s="535"/>
      <c r="F190" s="536"/>
      <c r="G190" s="535">
        <v>65129.75</v>
      </c>
      <c r="H190" s="535">
        <v>1421.85</v>
      </c>
      <c r="I190" s="535">
        <v>131790.54999999999</v>
      </c>
      <c r="J190" s="535">
        <v>65374.67</v>
      </c>
      <c r="K190" s="535">
        <v>11673.3</v>
      </c>
      <c r="L190" s="535">
        <v>255215.7</v>
      </c>
      <c r="M190" s="498">
        <f t="shared" si="12"/>
        <v>8914705.6799999997</v>
      </c>
      <c r="N190" s="243">
        <v>49842.05</v>
      </c>
      <c r="O190" s="243">
        <v>9290.4</v>
      </c>
      <c r="P190" s="243">
        <v>451399.6</v>
      </c>
      <c r="Q190" s="243"/>
      <c r="R190" s="243">
        <v>312599.34999999998</v>
      </c>
      <c r="S190" s="535">
        <v>7309.47</v>
      </c>
      <c r="T190" s="498">
        <f t="shared" si="13"/>
        <v>9745146.5500000007</v>
      </c>
      <c r="U190" s="239">
        <v>-7404.84</v>
      </c>
      <c r="V190" s="243"/>
      <c r="W190" s="243">
        <v>-7328.09</v>
      </c>
      <c r="X190" s="540">
        <v>60</v>
      </c>
      <c r="Y190" s="543">
        <v>0.6</v>
      </c>
      <c r="Z190" s="215">
        <v>1265</v>
      </c>
      <c r="AA190" s="268"/>
      <c r="AB190" s="237">
        <v>0</v>
      </c>
      <c r="AC190" s="443">
        <f>AB190/VPI!R190</f>
        <v>0</v>
      </c>
      <c r="AD190" s="445">
        <f t="shared" si="14"/>
        <v>0</v>
      </c>
      <c r="AE190" s="443">
        <f>AD190/VPI!R190</f>
        <v>0</v>
      </c>
      <c r="AF190" s="237">
        <v>0</v>
      </c>
      <c r="AG190" s="237">
        <v>0</v>
      </c>
      <c r="AH190" s="237">
        <v>0</v>
      </c>
      <c r="AI190" s="272"/>
      <c r="AJ190" s="8">
        <v>0</v>
      </c>
      <c r="AK190" s="443">
        <f>AJ190/VPI!R190</f>
        <v>0</v>
      </c>
      <c r="AL190" s="445">
        <f t="shared" si="15"/>
        <v>0</v>
      </c>
      <c r="AM190" s="443">
        <f>AL190/VPI!R190</f>
        <v>0</v>
      </c>
      <c r="AN190" s="8">
        <v>0</v>
      </c>
      <c r="AO190" s="272"/>
      <c r="AP190" s="529">
        <v>47.093203961525937</v>
      </c>
      <c r="AR190" s="546">
        <v>0</v>
      </c>
      <c r="AT190" s="239">
        <f t="shared" si="16"/>
        <v>8914705.6799999997</v>
      </c>
      <c r="AU190" s="5">
        <f t="shared" si="17"/>
        <v>0</v>
      </c>
    </row>
    <row r="191" spans="1:47" x14ac:dyDescent="0.25">
      <c r="A191" s="192">
        <v>5720</v>
      </c>
      <c r="B191" s="447" t="s">
        <v>210</v>
      </c>
      <c r="C191" s="535">
        <v>3360593.04</v>
      </c>
      <c r="D191" s="535">
        <v>880078.36</v>
      </c>
      <c r="E191" s="535"/>
      <c r="F191" s="536"/>
      <c r="G191" s="535">
        <v>-5053.05</v>
      </c>
      <c r="H191" s="535">
        <v>9839.65</v>
      </c>
      <c r="I191" s="535">
        <v>430543.2</v>
      </c>
      <c r="J191" s="535">
        <v>27421.4</v>
      </c>
      <c r="K191" s="535"/>
      <c r="L191" s="535">
        <v>289392.05</v>
      </c>
      <c r="M191" s="498">
        <f t="shared" si="12"/>
        <v>4992814.6500000013</v>
      </c>
      <c r="N191" s="243">
        <v>16468.349999999999</v>
      </c>
      <c r="O191" s="243"/>
      <c r="P191" s="243">
        <v>303627.40000000002</v>
      </c>
      <c r="Q191" s="243">
        <v>16691.669999999998</v>
      </c>
      <c r="R191" s="243">
        <v>229048.7</v>
      </c>
      <c r="S191" s="535">
        <v>525.72</v>
      </c>
      <c r="T191" s="498">
        <f t="shared" si="13"/>
        <v>5559176.4900000012</v>
      </c>
      <c r="U191" s="239">
        <v>-26363.84</v>
      </c>
      <c r="V191" s="243"/>
      <c r="W191" s="243">
        <v>-4920.6899999999996</v>
      </c>
      <c r="X191" s="540">
        <v>67</v>
      </c>
      <c r="Y191" s="543">
        <v>0.9</v>
      </c>
      <c r="Z191" s="215">
        <v>1010</v>
      </c>
      <c r="AA191" s="268"/>
      <c r="AB191" s="237">
        <v>97254</v>
      </c>
      <c r="AC191" s="443">
        <f>AB191/VPI!R191</f>
        <v>1.3003682297207191</v>
      </c>
      <c r="AD191" s="445">
        <f t="shared" si="14"/>
        <v>158820</v>
      </c>
      <c r="AE191" s="443">
        <f>AD191/VPI!R191</f>
        <v>2.1235577173611841</v>
      </c>
      <c r="AF191" s="237">
        <v>256074</v>
      </c>
      <c r="AG191" s="237">
        <v>75091</v>
      </c>
      <c r="AH191" s="237">
        <v>61282</v>
      </c>
      <c r="AI191" s="272"/>
      <c r="AJ191" s="8">
        <v>0</v>
      </c>
      <c r="AK191" s="443">
        <f>AJ191/VPI!R191</f>
        <v>0</v>
      </c>
      <c r="AL191" s="445">
        <f t="shared" si="15"/>
        <v>135853</v>
      </c>
      <c r="AM191" s="443">
        <f>AL191/VPI!R191</f>
        <v>1.8164695036939236</v>
      </c>
      <c r="AN191" s="8">
        <v>135853</v>
      </c>
      <c r="AO191" s="272"/>
      <c r="AP191" s="529">
        <v>44.507195285870729</v>
      </c>
      <c r="AR191" s="546">
        <v>0</v>
      </c>
      <c r="AT191" s="239">
        <f t="shared" si="16"/>
        <v>4992814.6500000013</v>
      </c>
      <c r="AU191" s="5">
        <f t="shared" si="17"/>
        <v>0</v>
      </c>
    </row>
    <row r="192" spans="1:47" x14ac:dyDescent="0.25">
      <c r="A192" s="192">
        <v>5721</v>
      </c>
      <c r="B192" s="447" t="s">
        <v>211</v>
      </c>
      <c r="C192" s="535">
        <v>25391683.48</v>
      </c>
      <c r="D192" s="535">
        <v>6426019.4800000004</v>
      </c>
      <c r="E192" s="535"/>
      <c r="F192" s="536"/>
      <c r="G192" s="535">
        <v>6298764.7999999998</v>
      </c>
      <c r="H192" s="535">
        <v>492362.9</v>
      </c>
      <c r="I192" s="535">
        <v>724657.05</v>
      </c>
      <c r="J192" s="535">
        <v>823754.6</v>
      </c>
      <c r="K192" s="535">
        <v>561432.44999999995</v>
      </c>
      <c r="L192" s="535">
        <v>2970191.8</v>
      </c>
      <c r="M192" s="498">
        <f t="shared" ref="M192:M254" si="18">SUM(C192:L192)</f>
        <v>43688866.559999995</v>
      </c>
      <c r="N192" s="243">
        <v>2270512.4</v>
      </c>
      <c r="O192" s="243">
        <v>234150.9</v>
      </c>
      <c r="P192" s="243">
        <v>1971826</v>
      </c>
      <c r="Q192" s="243">
        <v>63811.65</v>
      </c>
      <c r="R192" s="243">
        <v>1483161.4</v>
      </c>
      <c r="S192" s="535">
        <v>745880.62</v>
      </c>
      <c r="T192" s="498">
        <f t="shared" ref="T192:T254" si="19">SUM(M192:S192)</f>
        <v>50458209.529999986</v>
      </c>
      <c r="U192" s="239">
        <v>-387058.15</v>
      </c>
      <c r="V192" s="243"/>
      <c r="W192" s="243">
        <v>-30345.08</v>
      </c>
      <c r="X192" s="540">
        <v>61</v>
      </c>
      <c r="Y192" s="543">
        <v>1</v>
      </c>
      <c r="Z192" s="215">
        <v>13306</v>
      </c>
      <c r="AA192" s="268"/>
      <c r="AB192" s="237">
        <v>1414319</v>
      </c>
      <c r="AC192" s="443">
        <f>AB192/VPI!R192</f>
        <v>1.957150574337484</v>
      </c>
      <c r="AD192" s="445">
        <f t="shared" si="14"/>
        <v>1697988</v>
      </c>
      <c r="AE192" s="443">
        <f>AD192/VPI!R192</f>
        <v>2.3496949340411573</v>
      </c>
      <c r="AF192" s="237">
        <v>3112307</v>
      </c>
      <c r="AG192" s="237">
        <v>994815</v>
      </c>
      <c r="AH192" s="237">
        <v>53925</v>
      </c>
      <c r="AI192" s="272"/>
      <c r="AJ192" s="8">
        <v>0</v>
      </c>
      <c r="AK192" s="443">
        <f>AJ192/VPI!R192</f>
        <v>0</v>
      </c>
      <c r="AL192" s="445">
        <f t="shared" si="15"/>
        <v>30073</v>
      </c>
      <c r="AM192" s="443">
        <f>AL192/VPI!R192</f>
        <v>4.1615356381446589E-2</v>
      </c>
      <c r="AN192" s="8">
        <v>30073</v>
      </c>
      <c r="AO192" s="272"/>
      <c r="AP192" s="529">
        <v>25.629859306115055</v>
      </c>
      <c r="AR192" s="546">
        <v>0</v>
      </c>
      <c r="AT192" s="239">
        <f t="shared" si="16"/>
        <v>43688866.559999995</v>
      </c>
      <c r="AU192" s="5">
        <f t="shared" si="17"/>
        <v>0</v>
      </c>
    </row>
    <row r="193" spans="1:47" x14ac:dyDescent="0.25">
      <c r="A193" s="192">
        <v>5722</v>
      </c>
      <c r="B193" s="447" t="s">
        <v>212</v>
      </c>
      <c r="C193" s="535">
        <v>1036620.02</v>
      </c>
      <c r="D193" s="535">
        <v>238932.55</v>
      </c>
      <c r="E193" s="535"/>
      <c r="F193" s="536"/>
      <c r="G193" s="535">
        <v>5319.1</v>
      </c>
      <c r="H193" s="535">
        <v>4176.6499999999996</v>
      </c>
      <c r="I193" s="535"/>
      <c r="J193" s="535">
        <v>9244.85</v>
      </c>
      <c r="K193" s="535">
        <v>6180.6</v>
      </c>
      <c r="L193" s="535">
        <v>88762.05</v>
      </c>
      <c r="M193" s="498">
        <f t="shared" si="18"/>
        <v>1389235.8200000003</v>
      </c>
      <c r="N193" s="243">
        <v>13044.45</v>
      </c>
      <c r="O193" s="243"/>
      <c r="P193" s="243">
        <v>4746.8999999999996</v>
      </c>
      <c r="Q193" s="243">
        <v>1639.74</v>
      </c>
      <c r="R193" s="243">
        <v>12177.1</v>
      </c>
      <c r="S193" s="535">
        <v>1042.94</v>
      </c>
      <c r="T193" s="498">
        <f t="shared" si="19"/>
        <v>1421886.9500000002</v>
      </c>
      <c r="U193" s="239">
        <v>-6795.66</v>
      </c>
      <c r="V193" s="243"/>
      <c r="W193" s="243">
        <v>-1516.22</v>
      </c>
      <c r="X193" s="540">
        <v>62</v>
      </c>
      <c r="Y193" s="543">
        <v>1</v>
      </c>
      <c r="Z193" s="215">
        <v>401</v>
      </c>
      <c r="AA193" s="268"/>
      <c r="AB193" s="237">
        <v>0</v>
      </c>
      <c r="AC193" s="443">
        <f>AB193/VPI!R193</f>
        <v>0</v>
      </c>
      <c r="AD193" s="445">
        <f t="shared" si="14"/>
        <v>0</v>
      </c>
      <c r="AE193" s="443">
        <f>AD193/VPI!R193</f>
        <v>0</v>
      </c>
      <c r="AF193" s="237">
        <v>0</v>
      </c>
      <c r="AG193" s="237">
        <v>0</v>
      </c>
      <c r="AH193" s="237">
        <v>0</v>
      </c>
      <c r="AI193" s="272"/>
      <c r="AJ193" s="8">
        <v>0</v>
      </c>
      <c r="AK193" s="443">
        <f>AJ193/VPI!R193</f>
        <v>0</v>
      </c>
      <c r="AL193" s="445">
        <f t="shared" si="15"/>
        <v>0</v>
      </c>
      <c r="AM193" s="443">
        <f>AL193/VPI!R193</f>
        <v>0</v>
      </c>
      <c r="AN193" s="8">
        <v>0</v>
      </c>
      <c r="AO193" s="272"/>
      <c r="AP193" s="529">
        <v>36.398459826000582</v>
      </c>
      <c r="AR193" s="546">
        <v>0</v>
      </c>
      <c r="AT193" s="239">
        <f t="shared" si="16"/>
        <v>1389235.8200000003</v>
      </c>
      <c r="AU193" s="5">
        <f t="shared" si="17"/>
        <v>0</v>
      </c>
    </row>
    <row r="194" spans="1:47" x14ac:dyDescent="0.25">
      <c r="A194" s="192">
        <v>5723</v>
      </c>
      <c r="B194" s="447" t="s">
        <v>213</v>
      </c>
      <c r="C194" s="535">
        <v>8870351.4299999997</v>
      </c>
      <c r="D194" s="535">
        <v>2173703.41</v>
      </c>
      <c r="E194" s="535"/>
      <c r="F194" s="536"/>
      <c r="G194" s="535">
        <v>154959.65</v>
      </c>
      <c r="H194" s="535">
        <v>18528.400000000001</v>
      </c>
      <c r="I194" s="535">
        <v>611612.88</v>
      </c>
      <c r="J194" s="535">
        <v>69587.520000000004</v>
      </c>
      <c r="K194" s="535">
        <v>45951.85</v>
      </c>
      <c r="L194" s="535">
        <v>883436.8</v>
      </c>
      <c r="M194" s="498">
        <f t="shared" si="18"/>
        <v>12828131.940000001</v>
      </c>
      <c r="N194" s="243">
        <v>267148.3</v>
      </c>
      <c r="O194" s="243">
        <v>136241.60000000001</v>
      </c>
      <c r="P194" s="243">
        <v>1358053.1</v>
      </c>
      <c r="Q194" s="243">
        <v>2133.86</v>
      </c>
      <c r="R194" s="243">
        <v>1694542.35</v>
      </c>
      <c r="S194" s="535">
        <v>19054.47</v>
      </c>
      <c r="T194" s="498">
        <f t="shared" si="19"/>
        <v>16305305.620000001</v>
      </c>
      <c r="U194" s="239">
        <v>-28842.3</v>
      </c>
      <c r="V194" s="243"/>
      <c r="W194" s="243">
        <v>-30381.17</v>
      </c>
      <c r="X194" s="540">
        <v>52</v>
      </c>
      <c r="Y194" s="543">
        <v>1</v>
      </c>
      <c r="Z194" s="215">
        <v>2195</v>
      </c>
      <c r="AA194" s="268"/>
      <c r="AB194" s="237">
        <v>0</v>
      </c>
      <c r="AC194" s="443">
        <f>AB194/VPI!R194</f>
        <v>0</v>
      </c>
      <c r="AD194" s="445">
        <f t="shared" si="14"/>
        <v>0</v>
      </c>
      <c r="AE194" s="443">
        <f>AD194/VPI!R194</f>
        <v>0</v>
      </c>
      <c r="AF194" s="237">
        <v>0</v>
      </c>
      <c r="AG194" s="237">
        <v>0</v>
      </c>
      <c r="AH194" s="237">
        <v>0</v>
      </c>
      <c r="AI194" s="272"/>
      <c r="AJ194" s="8">
        <v>0</v>
      </c>
      <c r="AK194" s="443">
        <f>AJ194/VPI!R194</f>
        <v>0</v>
      </c>
      <c r="AL194" s="445">
        <f t="shared" si="15"/>
        <v>0</v>
      </c>
      <c r="AM194" s="443">
        <f>AL194/VPI!R194</f>
        <v>0</v>
      </c>
      <c r="AN194" s="8">
        <v>0</v>
      </c>
      <c r="AO194" s="272"/>
      <c r="AP194" s="529">
        <v>42.736202790849994</v>
      </c>
      <c r="AR194" s="546">
        <v>0</v>
      </c>
      <c r="AT194" s="239">
        <f t="shared" si="16"/>
        <v>12828131.940000001</v>
      </c>
      <c r="AU194" s="5">
        <f t="shared" si="17"/>
        <v>0</v>
      </c>
    </row>
    <row r="195" spans="1:47" x14ac:dyDescent="0.25">
      <c r="A195" s="192">
        <v>5724</v>
      </c>
      <c r="B195" s="447" t="s">
        <v>63</v>
      </c>
      <c r="C195" s="535">
        <v>59215357.869999997</v>
      </c>
      <c r="D195" s="535">
        <v>10725291.310000001</v>
      </c>
      <c r="E195" s="535"/>
      <c r="F195" s="536"/>
      <c r="G195" s="535">
        <v>7668966.0999999996</v>
      </c>
      <c r="H195" s="535">
        <v>772783.1</v>
      </c>
      <c r="I195" s="535">
        <v>1696649.13</v>
      </c>
      <c r="J195" s="535">
        <v>2858634.74</v>
      </c>
      <c r="K195" s="535">
        <v>871263.4</v>
      </c>
      <c r="L195" s="535">
        <v>8435196.8499999996</v>
      </c>
      <c r="M195" s="498">
        <f t="shared" si="18"/>
        <v>92244142.49999997</v>
      </c>
      <c r="N195" s="243">
        <v>5207617.95</v>
      </c>
      <c r="O195" s="243">
        <v>3136048.1</v>
      </c>
      <c r="P195" s="243">
        <v>4698565.8</v>
      </c>
      <c r="Q195" s="243">
        <v>209728.74</v>
      </c>
      <c r="R195" s="243">
        <v>2607909.7000000002</v>
      </c>
      <c r="S195" s="535">
        <v>927171.08</v>
      </c>
      <c r="T195" s="498">
        <f t="shared" si="19"/>
        <v>109031183.86999996</v>
      </c>
      <c r="U195" s="239">
        <v>-785292.09</v>
      </c>
      <c r="V195" s="243"/>
      <c r="W195" s="243">
        <v>-638722.21</v>
      </c>
      <c r="X195" s="540">
        <v>61</v>
      </c>
      <c r="Y195" s="543">
        <v>1.5</v>
      </c>
      <c r="Z195" s="215">
        <v>22124</v>
      </c>
      <c r="AA195" s="268"/>
      <c r="AB195" s="237">
        <v>3187771</v>
      </c>
      <c r="AC195" s="443">
        <f>AB195/VPI!R195</f>
        <v>2.181315675640509</v>
      </c>
      <c r="AD195" s="445">
        <f t="shared" si="14"/>
        <v>4694782</v>
      </c>
      <c r="AE195" s="443">
        <f>AD195/VPI!R195</f>
        <v>3.2125273648310686</v>
      </c>
      <c r="AF195" s="237">
        <v>7882553</v>
      </c>
      <c r="AG195" s="237">
        <v>4729208</v>
      </c>
      <c r="AH195" s="237">
        <v>165643</v>
      </c>
      <c r="AI195" s="272"/>
      <c r="AJ195" s="8">
        <v>14832</v>
      </c>
      <c r="AK195" s="443">
        <f>AJ195/VPI!R195</f>
        <v>1.0149183897180829E-2</v>
      </c>
      <c r="AL195" s="445">
        <f t="shared" si="15"/>
        <v>250455</v>
      </c>
      <c r="AM195" s="443">
        <f>AL195/VPI!R195</f>
        <v>0.17138038383012572</v>
      </c>
      <c r="AN195" s="8">
        <v>265287</v>
      </c>
      <c r="AO195" s="272"/>
      <c r="AP195" s="529">
        <v>32.0239380636013</v>
      </c>
      <c r="AR195" s="546">
        <v>1</v>
      </c>
      <c r="AT195" s="239">
        <f t="shared" si="16"/>
        <v>92244142.49999997</v>
      </c>
      <c r="AU195" s="5">
        <f t="shared" si="17"/>
        <v>0</v>
      </c>
    </row>
    <row r="196" spans="1:47" x14ac:dyDescent="0.25">
      <c r="A196" s="192">
        <v>5725</v>
      </c>
      <c r="B196" s="447" t="s">
        <v>64</v>
      </c>
      <c r="C196" s="535">
        <v>12558963.560000001</v>
      </c>
      <c r="D196" s="535">
        <v>3412445.7</v>
      </c>
      <c r="E196" s="535"/>
      <c r="F196" s="536"/>
      <c r="G196" s="535">
        <v>1853545.4</v>
      </c>
      <c r="H196" s="535">
        <v>22437.200000000001</v>
      </c>
      <c r="I196" s="535">
        <v>273222.59999999998</v>
      </c>
      <c r="J196" s="535">
        <v>35398.269999999997</v>
      </c>
      <c r="K196" s="535">
        <v>72188.800000000003</v>
      </c>
      <c r="L196" s="535">
        <v>1674767.95</v>
      </c>
      <c r="M196" s="498">
        <f t="shared" si="18"/>
        <v>19902969.48</v>
      </c>
      <c r="N196" s="243">
        <v>1315566.8999999999</v>
      </c>
      <c r="O196" s="243">
        <v>119069.2</v>
      </c>
      <c r="P196" s="243">
        <v>745850.1</v>
      </c>
      <c r="Q196" s="243">
        <v>9165.94</v>
      </c>
      <c r="R196" s="243">
        <v>445664.65</v>
      </c>
      <c r="S196" s="535">
        <v>206042.23</v>
      </c>
      <c r="T196" s="498">
        <f t="shared" si="19"/>
        <v>22744328.5</v>
      </c>
      <c r="U196" s="239">
        <v>-85048.31</v>
      </c>
      <c r="V196" s="243"/>
      <c r="W196" s="243">
        <v>-31517.41</v>
      </c>
      <c r="X196" s="540">
        <v>55</v>
      </c>
      <c r="Y196" s="543">
        <v>1.4</v>
      </c>
      <c r="Z196" s="215">
        <v>4060</v>
      </c>
      <c r="AA196" s="268"/>
      <c r="AB196" s="237">
        <v>177262</v>
      </c>
      <c r="AC196" s="443">
        <f>AB196/VPI!R196</f>
        <v>0.49937799855126552</v>
      </c>
      <c r="AD196" s="445">
        <f t="shared" si="14"/>
        <v>520963</v>
      </c>
      <c r="AE196" s="443">
        <f>AD196/VPI!R196</f>
        <v>1.4676437152873314</v>
      </c>
      <c r="AF196" s="237">
        <v>698225</v>
      </c>
      <c r="AG196" s="237">
        <v>1019399</v>
      </c>
      <c r="AH196" s="237">
        <v>86160</v>
      </c>
      <c r="AI196" s="272"/>
      <c r="AJ196" s="8">
        <v>0</v>
      </c>
      <c r="AK196" s="443">
        <f>AJ196/VPI!R196</f>
        <v>0</v>
      </c>
      <c r="AL196" s="445">
        <f t="shared" si="15"/>
        <v>29051</v>
      </c>
      <c r="AM196" s="443">
        <f>AL196/VPI!R196</f>
        <v>8.1841738420602356E-2</v>
      </c>
      <c r="AN196" s="8">
        <v>29051</v>
      </c>
      <c r="AO196" s="272"/>
      <c r="AP196" s="529">
        <v>38.613154700847261</v>
      </c>
      <c r="AR196" s="546">
        <v>1</v>
      </c>
      <c r="AT196" s="239">
        <f t="shared" si="16"/>
        <v>19902969.48</v>
      </c>
      <c r="AU196" s="5">
        <f t="shared" si="17"/>
        <v>0</v>
      </c>
    </row>
    <row r="197" spans="1:47" x14ac:dyDescent="0.25">
      <c r="A197" s="192">
        <v>5726</v>
      </c>
      <c r="B197" s="447" t="s">
        <v>268</v>
      </c>
      <c r="C197" s="535">
        <v>3463010.82</v>
      </c>
      <c r="D197" s="535">
        <v>782186.88</v>
      </c>
      <c r="E197" s="535"/>
      <c r="F197" s="536"/>
      <c r="G197" s="535">
        <v>39570.400000000001</v>
      </c>
      <c r="H197" s="535">
        <v>2876.35</v>
      </c>
      <c r="I197" s="535"/>
      <c r="J197" s="535">
        <v>-49286.12</v>
      </c>
      <c r="K197" s="535">
        <v>6470.65</v>
      </c>
      <c r="L197" s="535">
        <v>273832</v>
      </c>
      <c r="M197" s="498">
        <f t="shared" si="18"/>
        <v>4518660.9800000004</v>
      </c>
      <c r="N197" s="243">
        <v>42138.55</v>
      </c>
      <c r="O197" s="243"/>
      <c r="P197" s="243">
        <v>244670.95</v>
      </c>
      <c r="Q197" s="243"/>
      <c r="R197" s="243">
        <v>223588</v>
      </c>
      <c r="S197" s="535">
        <v>4661.99</v>
      </c>
      <c r="T197" s="498">
        <f t="shared" si="19"/>
        <v>5033720.4700000007</v>
      </c>
      <c r="U197" s="239">
        <v>-9014.5300000000007</v>
      </c>
      <c r="V197" s="243"/>
      <c r="W197" s="243">
        <v>-11000</v>
      </c>
      <c r="X197" s="540">
        <v>64</v>
      </c>
      <c r="Y197" s="543">
        <v>1</v>
      </c>
      <c r="Z197" s="215">
        <v>1165</v>
      </c>
      <c r="AA197" s="268"/>
      <c r="AB197" s="237">
        <v>0</v>
      </c>
      <c r="AC197" s="443">
        <f>AB197/VPI!R197</f>
        <v>0</v>
      </c>
      <c r="AD197" s="445">
        <f t="shared" si="14"/>
        <v>0</v>
      </c>
      <c r="AE197" s="443">
        <f>AD197/VPI!R197</f>
        <v>0</v>
      </c>
      <c r="AF197" s="237">
        <v>0</v>
      </c>
      <c r="AG197" s="237">
        <v>0</v>
      </c>
      <c r="AH197" s="237">
        <v>0</v>
      </c>
      <c r="AI197" s="272"/>
      <c r="AJ197" s="8">
        <v>0</v>
      </c>
      <c r="AK197" s="443">
        <f>AJ197/VPI!R197</f>
        <v>0</v>
      </c>
      <c r="AL197" s="445">
        <f t="shared" si="15"/>
        <v>0</v>
      </c>
      <c r="AM197" s="443">
        <f>AL197/VPI!R197</f>
        <v>0</v>
      </c>
      <c r="AN197" s="8">
        <v>0</v>
      </c>
      <c r="AO197" s="272"/>
      <c r="AP197" s="529">
        <v>38.483878170185541</v>
      </c>
      <c r="AR197" s="546">
        <v>0</v>
      </c>
      <c r="AT197" s="239">
        <f t="shared" si="16"/>
        <v>4518660.9800000004</v>
      </c>
      <c r="AU197" s="5">
        <f t="shared" si="17"/>
        <v>0</v>
      </c>
    </row>
    <row r="198" spans="1:47" x14ac:dyDescent="0.25">
      <c r="A198" s="192">
        <v>5727</v>
      </c>
      <c r="B198" s="447" t="s">
        <v>269</v>
      </c>
      <c r="C198" s="535">
        <v>5229657.21</v>
      </c>
      <c r="D198" s="535">
        <v>987107.66</v>
      </c>
      <c r="E198" s="535"/>
      <c r="F198" s="536"/>
      <c r="G198" s="535">
        <v>11026.65</v>
      </c>
      <c r="H198" s="535">
        <v>26498.35</v>
      </c>
      <c r="I198" s="535">
        <v>125706.95</v>
      </c>
      <c r="J198" s="535">
        <v>172741.08</v>
      </c>
      <c r="K198" s="535">
        <v>12866.65</v>
      </c>
      <c r="L198" s="535">
        <v>801885.55</v>
      </c>
      <c r="M198" s="498">
        <f t="shared" si="18"/>
        <v>7367490.1000000006</v>
      </c>
      <c r="N198" s="243">
        <v>182727.2</v>
      </c>
      <c r="O198" s="243">
        <v>198753.2</v>
      </c>
      <c r="P198" s="243">
        <v>722230.4</v>
      </c>
      <c r="Q198" s="243">
        <v>40135.339999999997</v>
      </c>
      <c r="R198" s="243">
        <v>442501.1</v>
      </c>
      <c r="S198" s="535">
        <v>4121.43</v>
      </c>
      <c r="T198" s="498">
        <f t="shared" si="19"/>
        <v>8957958.7699999996</v>
      </c>
      <c r="U198" s="239">
        <v>-131519.56</v>
      </c>
      <c r="V198" s="243"/>
      <c r="W198" s="243">
        <v>-5622.79</v>
      </c>
      <c r="X198" s="540">
        <v>66</v>
      </c>
      <c r="Y198" s="543">
        <v>1.5</v>
      </c>
      <c r="Z198" s="215">
        <v>2755</v>
      </c>
      <c r="AA198" s="268"/>
      <c r="AB198" s="237">
        <v>128111</v>
      </c>
      <c r="AC198" s="443">
        <f>AB198/VPI!R198</f>
        <v>1.2066437478015128</v>
      </c>
      <c r="AD198" s="445">
        <f t="shared" si="14"/>
        <v>935689</v>
      </c>
      <c r="AE198" s="443">
        <f>AD198/VPI!R198</f>
        <v>8.8130081080988329</v>
      </c>
      <c r="AF198" s="237">
        <v>1063800</v>
      </c>
      <c r="AG198" s="237">
        <v>204643</v>
      </c>
      <c r="AH198" s="237">
        <v>132142</v>
      </c>
      <c r="AI198" s="272"/>
      <c r="AJ198" s="8">
        <v>0</v>
      </c>
      <c r="AK198" s="443">
        <f>AJ198/VPI!R198</f>
        <v>0</v>
      </c>
      <c r="AL198" s="445">
        <f t="shared" si="15"/>
        <v>183430</v>
      </c>
      <c r="AM198" s="443">
        <f>AL198/VPI!R198</f>
        <v>1.7276788305393875</v>
      </c>
      <c r="AN198" s="8">
        <v>183430</v>
      </c>
      <c r="AO198" s="272"/>
      <c r="AP198" s="529">
        <v>27.64511226538114</v>
      </c>
      <c r="AR198" s="546">
        <v>0</v>
      </c>
      <c r="AT198" s="239">
        <f t="shared" si="16"/>
        <v>7367490.1000000006</v>
      </c>
      <c r="AU198" s="5">
        <f t="shared" si="17"/>
        <v>0</v>
      </c>
    </row>
    <row r="199" spans="1:47" x14ac:dyDescent="0.25">
      <c r="A199" s="192">
        <v>5728</v>
      </c>
      <c r="B199" s="447" t="s">
        <v>270</v>
      </c>
      <c r="C199" s="535">
        <v>1713412.53</v>
      </c>
      <c r="D199" s="535">
        <v>274303.61</v>
      </c>
      <c r="E199" s="535"/>
      <c r="F199" s="536"/>
      <c r="G199" s="535">
        <v>817335.5</v>
      </c>
      <c r="H199" s="535">
        <v>6927.6</v>
      </c>
      <c r="I199" s="535">
        <v>35307.15</v>
      </c>
      <c r="J199" s="535">
        <v>59682.92</v>
      </c>
      <c r="K199" s="535">
        <v>56802.45</v>
      </c>
      <c r="L199" s="535">
        <v>239718</v>
      </c>
      <c r="M199" s="498">
        <f t="shared" si="18"/>
        <v>3203489.7600000002</v>
      </c>
      <c r="N199" s="243">
        <v>172706.65</v>
      </c>
      <c r="O199" s="243"/>
      <c r="P199" s="243">
        <v>155631.04999999999</v>
      </c>
      <c r="Q199" s="243"/>
      <c r="R199" s="243">
        <v>94214.6</v>
      </c>
      <c r="S199" s="535">
        <v>90530.16</v>
      </c>
      <c r="T199" s="498">
        <f t="shared" si="19"/>
        <v>3716572.22</v>
      </c>
      <c r="U199" s="239">
        <v>-20737.400000000001</v>
      </c>
      <c r="V199" s="243"/>
      <c r="W199" s="243">
        <v>-442.63</v>
      </c>
      <c r="X199" s="540">
        <v>58</v>
      </c>
      <c r="Y199" s="543">
        <v>1</v>
      </c>
      <c r="Z199" s="215">
        <v>584</v>
      </c>
      <c r="AA199" s="268"/>
      <c r="AB199" s="237">
        <v>0</v>
      </c>
      <c r="AC199" s="443">
        <f>AB199/VPI!R199</f>
        <v>0</v>
      </c>
      <c r="AD199" s="445">
        <f t="shared" ref="AD199:AD262" si="20">AF199-AB199</f>
        <v>0</v>
      </c>
      <c r="AE199" s="443">
        <f>AD199/VPI!R199</f>
        <v>0</v>
      </c>
      <c r="AF199" s="237">
        <v>0</v>
      </c>
      <c r="AG199" s="237">
        <v>0</v>
      </c>
      <c r="AH199" s="237">
        <v>0</v>
      </c>
      <c r="AI199" s="272"/>
      <c r="AJ199" s="8">
        <v>0</v>
      </c>
      <c r="AK199" s="443">
        <f>AJ199/VPI!R199</f>
        <v>0</v>
      </c>
      <c r="AL199" s="445">
        <f t="shared" ref="AL199:AL262" si="21">AN199-AJ199</f>
        <v>0</v>
      </c>
      <c r="AM199" s="443">
        <f>AL199/VPI!R199</f>
        <v>0</v>
      </c>
      <c r="AN199" s="8">
        <v>0</v>
      </c>
      <c r="AO199" s="272"/>
      <c r="AP199" s="529">
        <v>43.04045191864035</v>
      </c>
      <c r="AR199" s="546">
        <v>0</v>
      </c>
      <c r="AT199" s="239">
        <f t="shared" ref="AT199:AT262" si="22">SUM(C199:L199)</f>
        <v>3203489.7600000002</v>
      </c>
      <c r="AU199" s="5">
        <f t="shared" ref="AU199:AU262" si="23">+AT199-M199</f>
        <v>0</v>
      </c>
    </row>
    <row r="200" spans="1:47" x14ac:dyDescent="0.25">
      <c r="A200" s="192">
        <v>5729</v>
      </c>
      <c r="B200" s="447" t="s">
        <v>271</v>
      </c>
      <c r="C200" s="535">
        <v>6904824.8399999999</v>
      </c>
      <c r="D200" s="535">
        <v>1748911.51</v>
      </c>
      <c r="E200" s="535"/>
      <c r="F200" s="536"/>
      <c r="G200" s="535">
        <v>238609.15</v>
      </c>
      <c r="H200" s="535">
        <v>98506.65</v>
      </c>
      <c r="I200" s="535">
        <v>175769.27</v>
      </c>
      <c r="J200" s="535">
        <v>44851.68</v>
      </c>
      <c r="K200" s="535">
        <v>4623.75</v>
      </c>
      <c r="L200" s="535">
        <v>900935.2</v>
      </c>
      <c r="M200" s="498">
        <f t="shared" si="18"/>
        <v>10117032.049999999</v>
      </c>
      <c r="N200" s="243">
        <v>17196.75</v>
      </c>
      <c r="O200" s="243">
        <v>3761.9</v>
      </c>
      <c r="P200" s="243">
        <v>755997.9</v>
      </c>
      <c r="Q200" s="243"/>
      <c r="R200" s="243">
        <v>494127.3</v>
      </c>
      <c r="S200" s="535">
        <v>37025.980000000003</v>
      </c>
      <c r="T200" s="498">
        <f t="shared" si="19"/>
        <v>11425141.880000001</v>
      </c>
      <c r="U200" s="239">
        <v>-56959.65</v>
      </c>
      <c r="V200" s="243"/>
      <c r="W200" s="243">
        <v>-15816.67</v>
      </c>
      <c r="X200" s="540">
        <v>60.5</v>
      </c>
      <c r="Y200" s="543">
        <v>1.5</v>
      </c>
      <c r="Z200" s="215">
        <v>1644</v>
      </c>
      <c r="AA200" s="268"/>
      <c r="AB200" s="237">
        <v>0</v>
      </c>
      <c r="AC200" s="443">
        <f>AB200/VPI!R200</f>
        <v>0</v>
      </c>
      <c r="AD200" s="445">
        <f t="shared" si="20"/>
        <v>0</v>
      </c>
      <c r="AE200" s="443">
        <f>AD200/VPI!R200</f>
        <v>0</v>
      </c>
      <c r="AF200" s="237">
        <v>0</v>
      </c>
      <c r="AG200" s="237">
        <v>0</v>
      </c>
      <c r="AH200" s="237">
        <v>0</v>
      </c>
      <c r="AI200" s="272"/>
      <c r="AJ200" s="8">
        <v>0</v>
      </c>
      <c r="AK200" s="443">
        <f>AJ200/VPI!R200</f>
        <v>0</v>
      </c>
      <c r="AL200" s="445">
        <f t="shared" si="21"/>
        <v>0</v>
      </c>
      <c r="AM200" s="443">
        <f>AL200/VPI!R200</f>
        <v>0</v>
      </c>
      <c r="AN200" s="8">
        <v>0</v>
      </c>
      <c r="AO200" s="272"/>
      <c r="AP200" s="529">
        <v>43.215234880943775</v>
      </c>
      <c r="AR200" s="546">
        <v>0</v>
      </c>
      <c r="AT200" s="239">
        <f t="shared" si="22"/>
        <v>10117032.049999999</v>
      </c>
      <c r="AU200" s="5">
        <f t="shared" si="23"/>
        <v>0</v>
      </c>
    </row>
    <row r="201" spans="1:47" x14ac:dyDescent="0.25">
      <c r="A201" s="192">
        <v>5730</v>
      </c>
      <c r="B201" s="447" t="s">
        <v>272</v>
      </c>
      <c r="C201" s="535">
        <v>5096159.6500000004</v>
      </c>
      <c r="D201" s="535">
        <v>1555840.11</v>
      </c>
      <c r="E201" s="535"/>
      <c r="F201" s="536"/>
      <c r="G201" s="535">
        <v>19194.349999999999</v>
      </c>
      <c r="H201" s="535">
        <v>2643.35</v>
      </c>
      <c r="I201" s="535">
        <v>-58921.7</v>
      </c>
      <c r="J201" s="535">
        <v>27005.279999999999</v>
      </c>
      <c r="K201" s="535">
        <v>7569.7</v>
      </c>
      <c r="L201" s="535">
        <v>415230.55</v>
      </c>
      <c r="M201" s="498">
        <f t="shared" si="18"/>
        <v>7064721.29</v>
      </c>
      <c r="N201" s="243">
        <v>18029.25</v>
      </c>
      <c r="O201" s="243"/>
      <c r="P201" s="243">
        <v>487547.55</v>
      </c>
      <c r="Q201" s="243">
        <v>1308.8399999999999</v>
      </c>
      <c r="R201" s="243">
        <v>1066158.05</v>
      </c>
      <c r="S201" s="535">
        <v>2398.4699999999998</v>
      </c>
      <c r="T201" s="498">
        <f t="shared" si="19"/>
        <v>8640163.4500000011</v>
      </c>
      <c r="U201" s="239">
        <v>-63456.639999999999</v>
      </c>
      <c r="V201" s="243"/>
      <c r="W201" s="243">
        <v>-108930.09</v>
      </c>
      <c r="X201" s="540">
        <v>55.5</v>
      </c>
      <c r="Y201" s="543">
        <v>0.9</v>
      </c>
      <c r="Z201" s="215">
        <v>1439</v>
      </c>
      <c r="AA201" s="268"/>
      <c r="AB201" s="237">
        <v>61403</v>
      </c>
      <c r="AC201" s="443">
        <f>AB201/VPI!R201</f>
        <v>0.49089294549276974</v>
      </c>
      <c r="AD201" s="445">
        <f t="shared" si="20"/>
        <v>189605</v>
      </c>
      <c r="AE201" s="443">
        <f>AD201/VPI!R201</f>
        <v>1.5158177439238574</v>
      </c>
      <c r="AF201" s="237">
        <v>251008</v>
      </c>
      <c r="AG201" s="237">
        <v>105244</v>
      </c>
      <c r="AH201" s="237">
        <v>81927</v>
      </c>
      <c r="AI201" s="272"/>
      <c r="AJ201" s="8">
        <v>0</v>
      </c>
      <c r="AK201" s="443">
        <f>AJ201/VPI!R201</f>
        <v>0</v>
      </c>
      <c r="AL201" s="445">
        <f t="shared" si="21"/>
        <v>44683</v>
      </c>
      <c r="AM201" s="443">
        <f>AL201/VPI!R201</f>
        <v>0.35722309143614206</v>
      </c>
      <c r="AN201" s="8">
        <v>44683</v>
      </c>
      <c r="AO201" s="272"/>
      <c r="AP201" s="529">
        <v>41.525228333526535</v>
      </c>
      <c r="AR201" s="546">
        <v>0</v>
      </c>
      <c r="AT201" s="239">
        <f t="shared" si="22"/>
        <v>7064721.29</v>
      </c>
      <c r="AU201" s="5">
        <f t="shared" si="23"/>
        <v>0</v>
      </c>
    </row>
    <row r="202" spans="1:47" x14ac:dyDescent="0.25">
      <c r="A202" s="192">
        <v>5731</v>
      </c>
      <c r="B202" s="447" t="s">
        <v>273</v>
      </c>
      <c r="C202" s="535">
        <v>4262686.24</v>
      </c>
      <c r="D202" s="535">
        <v>560405.1</v>
      </c>
      <c r="E202" s="535"/>
      <c r="F202" s="536"/>
      <c r="G202" s="535">
        <v>34539.199999999997</v>
      </c>
      <c r="H202" s="535">
        <v>5059.1000000000004</v>
      </c>
      <c r="I202" s="535"/>
      <c r="J202" s="535">
        <v>29711.61</v>
      </c>
      <c r="K202" s="535">
        <v>3522</v>
      </c>
      <c r="L202" s="535">
        <v>427013.6</v>
      </c>
      <c r="M202" s="498">
        <f t="shared" si="18"/>
        <v>5322936.8499999996</v>
      </c>
      <c r="N202" s="243">
        <v>62795.199999999997</v>
      </c>
      <c r="O202" s="243"/>
      <c r="P202" s="243">
        <v>156017.20000000001</v>
      </c>
      <c r="Q202" s="243">
        <v>-2264.94</v>
      </c>
      <c r="R202" s="243">
        <v>77501.2</v>
      </c>
      <c r="S202" s="535">
        <v>4349.1400000000003</v>
      </c>
      <c r="T202" s="498">
        <f t="shared" si="19"/>
        <v>5621334.6499999994</v>
      </c>
      <c r="U202" s="239">
        <v>-31223.040000000001</v>
      </c>
      <c r="V202" s="243"/>
      <c r="W202" s="243">
        <v>-1446.61</v>
      </c>
      <c r="X202" s="540">
        <v>74</v>
      </c>
      <c r="Y202" s="543">
        <v>1.5</v>
      </c>
      <c r="Z202" s="215">
        <v>1387</v>
      </c>
      <c r="AA202" s="268"/>
      <c r="AB202" s="237">
        <v>83478</v>
      </c>
      <c r="AC202" s="443">
        <f>AB202/VPI!R202</f>
        <v>1.1994865566890485</v>
      </c>
      <c r="AD202" s="445">
        <f t="shared" si="20"/>
        <v>486239</v>
      </c>
      <c r="AE202" s="443">
        <f>AD202/VPI!R202</f>
        <v>6.9867167857151138</v>
      </c>
      <c r="AF202" s="237">
        <v>569717</v>
      </c>
      <c r="AG202" s="237">
        <v>59694</v>
      </c>
      <c r="AH202" s="237">
        <v>133641</v>
      </c>
      <c r="AI202" s="272"/>
      <c r="AJ202" s="8">
        <v>0</v>
      </c>
      <c r="AK202" s="443">
        <f>AJ202/VPI!R202</f>
        <v>0</v>
      </c>
      <c r="AL202" s="445">
        <f t="shared" si="21"/>
        <v>-44602</v>
      </c>
      <c r="AM202" s="443">
        <f>AL202/VPI!R202</f>
        <v>-0.64088142266758841</v>
      </c>
      <c r="AN202" s="8">
        <v>-44602</v>
      </c>
      <c r="AO202" s="272"/>
      <c r="AP202" s="529">
        <v>32.411711079617653</v>
      </c>
      <c r="AR202" s="546">
        <v>0</v>
      </c>
      <c r="AT202" s="239">
        <f t="shared" si="22"/>
        <v>5322936.8499999996</v>
      </c>
      <c r="AU202" s="5">
        <f t="shared" si="23"/>
        <v>0</v>
      </c>
    </row>
    <row r="203" spans="1:47" x14ac:dyDescent="0.25">
      <c r="A203" s="192">
        <v>5732</v>
      </c>
      <c r="B203" s="447" t="s">
        <v>274</v>
      </c>
      <c r="C203" s="535">
        <v>4024331.02</v>
      </c>
      <c r="D203" s="535">
        <v>729824.08</v>
      </c>
      <c r="E203" s="535"/>
      <c r="F203" s="536"/>
      <c r="G203" s="535">
        <v>76710.05</v>
      </c>
      <c r="H203" s="535">
        <v>37762.300000000003</v>
      </c>
      <c r="I203" s="535">
        <v>192467.85</v>
      </c>
      <c r="J203" s="535">
        <v>24472.84</v>
      </c>
      <c r="K203" s="535">
        <v>6779.15</v>
      </c>
      <c r="L203" s="535">
        <v>380711.55</v>
      </c>
      <c r="M203" s="498">
        <f t="shared" si="18"/>
        <v>5473058.8399999989</v>
      </c>
      <c r="N203" s="243">
        <v>129498.6</v>
      </c>
      <c r="O203" s="243"/>
      <c r="P203" s="243">
        <v>143684.9</v>
      </c>
      <c r="Q203" s="243">
        <v>5102.84</v>
      </c>
      <c r="R203" s="243">
        <v>42977.05</v>
      </c>
      <c r="S203" s="535">
        <v>12572.68</v>
      </c>
      <c r="T203" s="498">
        <f t="shared" si="19"/>
        <v>5806894.9099999983</v>
      </c>
      <c r="U203" s="239">
        <v>-28501.95</v>
      </c>
      <c r="V203" s="243"/>
      <c r="W203" s="243">
        <v>-10729.12</v>
      </c>
      <c r="X203" s="540">
        <v>63</v>
      </c>
      <c r="Y203" s="543">
        <v>1</v>
      </c>
      <c r="Z203" s="215">
        <v>1157</v>
      </c>
      <c r="AA203" s="268"/>
      <c r="AB203" s="237">
        <v>100305</v>
      </c>
      <c r="AC203" s="443">
        <f>AB203/VPI!R203</f>
        <v>1.1591692536610394</v>
      </c>
      <c r="AD203" s="445">
        <f t="shared" si="20"/>
        <v>192917</v>
      </c>
      <c r="AE203" s="443">
        <f>AD203/VPI!R203</f>
        <v>2.2294347730275335</v>
      </c>
      <c r="AF203" s="237">
        <v>293222</v>
      </c>
      <c r="AG203" s="237">
        <v>56204</v>
      </c>
      <c r="AH203" s="237">
        <v>116173</v>
      </c>
      <c r="AI203" s="272"/>
      <c r="AJ203" s="8">
        <v>0</v>
      </c>
      <c r="AK203" s="443">
        <f>AJ203/VPI!R203</f>
        <v>0</v>
      </c>
      <c r="AL203" s="445">
        <f t="shared" si="21"/>
        <v>28689</v>
      </c>
      <c r="AM203" s="443">
        <f>AL203/VPI!R203</f>
        <v>0.3315428614553767</v>
      </c>
      <c r="AN203" s="8">
        <v>28689</v>
      </c>
      <c r="AO203" s="272"/>
      <c r="AP203" s="529">
        <v>39.233675646656813</v>
      </c>
      <c r="AR203" s="546">
        <v>0</v>
      </c>
      <c r="AT203" s="239">
        <f t="shared" si="22"/>
        <v>5473058.8399999989</v>
      </c>
      <c r="AU203" s="5">
        <f t="shared" si="23"/>
        <v>0</v>
      </c>
    </row>
    <row r="204" spans="1:47" x14ac:dyDescent="0.25">
      <c r="A204" s="192">
        <v>5741</v>
      </c>
      <c r="B204" s="447" t="s">
        <v>275</v>
      </c>
      <c r="C204" s="535">
        <v>535454.23</v>
      </c>
      <c r="D204" s="535">
        <v>143915.37</v>
      </c>
      <c r="E204" s="535"/>
      <c r="F204" s="536">
        <v>1450</v>
      </c>
      <c r="G204" s="535">
        <v>3969.9</v>
      </c>
      <c r="H204" s="535">
        <v>1544.9</v>
      </c>
      <c r="I204" s="535"/>
      <c r="J204" s="535">
        <v>46.88</v>
      </c>
      <c r="K204" s="535"/>
      <c r="L204" s="535">
        <v>49734.35</v>
      </c>
      <c r="M204" s="498">
        <f t="shared" si="18"/>
        <v>736115.63</v>
      </c>
      <c r="N204" s="243">
        <v>6322.15</v>
      </c>
      <c r="O204" s="243">
        <v>1828.8</v>
      </c>
      <c r="P204" s="243">
        <v>29084</v>
      </c>
      <c r="Q204" s="243">
        <v>3734.14</v>
      </c>
      <c r="R204" s="243">
        <v>27959.8</v>
      </c>
      <c r="S204" s="535">
        <v>605.70000000000005</v>
      </c>
      <c r="T204" s="498">
        <f t="shared" si="19"/>
        <v>805650.22000000009</v>
      </c>
      <c r="U204" s="239">
        <v>-4207.6899999999996</v>
      </c>
      <c r="V204" s="243"/>
      <c r="W204" s="243">
        <v>0</v>
      </c>
      <c r="X204" s="540">
        <v>81</v>
      </c>
      <c r="Y204" s="543">
        <v>1.2</v>
      </c>
      <c r="Z204" s="215">
        <v>254</v>
      </c>
      <c r="AA204" s="268"/>
      <c r="AB204" s="237">
        <v>48647</v>
      </c>
      <c r="AC204" s="443">
        <f>AB204/VPI!R204</f>
        <v>5.4129538979606009</v>
      </c>
      <c r="AD204" s="445">
        <f t="shared" si="20"/>
        <v>121713</v>
      </c>
      <c r="AE204" s="443">
        <f>AD204/VPI!R204</f>
        <v>13.543011034235999</v>
      </c>
      <c r="AF204" s="237">
        <v>170360</v>
      </c>
      <c r="AG204" s="237">
        <v>11275</v>
      </c>
      <c r="AH204" s="237">
        <v>26926</v>
      </c>
      <c r="AI204" s="272"/>
      <c r="AJ204" s="8">
        <v>0</v>
      </c>
      <c r="AK204" s="443">
        <f>AJ204/VPI!R204</f>
        <v>0</v>
      </c>
      <c r="AL204" s="445">
        <f t="shared" si="21"/>
        <v>17320</v>
      </c>
      <c r="AM204" s="443">
        <f>AL204/VPI!R204</f>
        <v>1.9271971861096802</v>
      </c>
      <c r="AN204" s="8">
        <v>17320</v>
      </c>
      <c r="AO204" s="272"/>
      <c r="AP204" s="529">
        <v>17.031514949293761</v>
      </c>
      <c r="AR204" s="546">
        <v>0</v>
      </c>
      <c r="AT204" s="239">
        <f t="shared" si="22"/>
        <v>736115.63</v>
      </c>
      <c r="AU204" s="5">
        <f t="shared" si="23"/>
        <v>0</v>
      </c>
    </row>
    <row r="205" spans="1:47" x14ac:dyDescent="0.25">
      <c r="A205" s="192">
        <v>5742</v>
      </c>
      <c r="B205" s="447" t="s">
        <v>276</v>
      </c>
      <c r="C205" s="535">
        <v>622066.72</v>
      </c>
      <c r="D205" s="535">
        <v>58469.09</v>
      </c>
      <c r="E205" s="535"/>
      <c r="F205" s="536"/>
      <c r="G205" s="535">
        <v>6904.15</v>
      </c>
      <c r="H205" s="535">
        <v>99.8</v>
      </c>
      <c r="I205" s="535"/>
      <c r="J205" s="535">
        <v>23813.74</v>
      </c>
      <c r="K205" s="535">
        <v>1672.3</v>
      </c>
      <c r="L205" s="535">
        <v>29323.45</v>
      </c>
      <c r="M205" s="498">
        <f t="shared" si="18"/>
        <v>742349.25</v>
      </c>
      <c r="N205" s="243">
        <v>2863.2</v>
      </c>
      <c r="O205" s="243">
        <v>2632.2</v>
      </c>
      <c r="P205" s="243">
        <v>173</v>
      </c>
      <c r="Q205" s="243">
        <v>196.51</v>
      </c>
      <c r="R205" s="243"/>
      <c r="S205" s="535">
        <v>769.26</v>
      </c>
      <c r="T205" s="498">
        <f t="shared" si="19"/>
        <v>748983.41999999993</v>
      </c>
      <c r="U205" s="239">
        <v>-497.2</v>
      </c>
      <c r="V205" s="243"/>
      <c r="W205" s="243">
        <v>0</v>
      </c>
      <c r="X205" s="540">
        <v>76</v>
      </c>
      <c r="Y205" s="543">
        <v>0.5</v>
      </c>
      <c r="Z205" s="215">
        <v>375</v>
      </c>
      <c r="AA205" s="268"/>
      <c r="AB205" s="237">
        <v>0</v>
      </c>
      <c r="AC205" s="443">
        <f>AB205/VPI!R205</f>
        <v>0</v>
      </c>
      <c r="AD205" s="445">
        <f t="shared" si="20"/>
        <v>76379</v>
      </c>
      <c r="AE205" s="443">
        <f>AD205/VPI!R205</f>
        <v>7.5178004667461957</v>
      </c>
      <c r="AF205" s="237">
        <v>76379</v>
      </c>
      <c r="AG205" s="237">
        <v>16604</v>
      </c>
      <c r="AH205" s="237">
        <v>46299</v>
      </c>
      <c r="AI205" s="272"/>
      <c r="AJ205" s="8">
        <v>0</v>
      </c>
      <c r="AK205" s="443">
        <f>AJ205/VPI!R205</f>
        <v>0</v>
      </c>
      <c r="AL205" s="445">
        <f t="shared" si="21"/>
        <v>21330</v>
      </c>
      <c r="AM205" s="443">
        <f>AL205/VPI!R205</f>
        <v>2.0994603746539799</v>
      </c>
      <c r="AN205" s="8">
        <v>21330</v>
      </c>
      <c r="AO205" s="272"/>
      <c r="AP205" s="529">
        <v>8.5589840935459289</v>
      </c>
      <c r="AR205" s="546">
        <v>0</v>
      </c>
      <c r="AT205" s="239">
        <f t="shared" si="22"/>
        <v>742349.25</v>
      </c>
      <c r="AU205" s="5">
        <f t="shared" si="23"/>
        <v>0</v>
      </c>
    </row>
    <row r="206" spans="1:47" x14ac:dyDescent="0.25">
      <c r="A206" s="192">
        <v>5743</v>
      </c>
      <c r="B206" s="447" t="s">
        <v>226</v>
      </c>
      <c r="C206" s="535">
        <v>1076504.31</v>
      </c>
      <c r="D206" s="535">
        <v>151597.47</v>
      </c>
      <c r="E206" s="535"/>
      <c r="F206" s="536"/>
      <c r="G206" s="535">
        <v>1767.05</v>
      </c>
      <c r="H206" s="535">
        <v>576.6</v>
      </c>
      <c r="I206" s="535"/>
      <c r="J206" s="535">
        <v>5680.32</v>
      </c>
      <c r="K206" s="535"/>
      <c r="L206" s="535">
        <v>70165.899999999994</v>
      </c>
      <c r="M206" s="498">
        <f t="shared" si="18"/>
        <v>1306291.6500000001</v>
      </c>
      <c r="N206" s="243">
        <v>20766.900000000001</v>
      </c>
      <c r="O206" s="243">
        <v>15172.7</v>
      </c>
      <c r="P206" s="243">
        <v>37230.65</v>
      </c>
      <c r="Q206" s="243">
        <v>1118.93</v>
      </c>
      <c r="R206" s="243">
        <v>29535.65</v>
      </c>
      <c r="S206" s="535">
        <v>257.41000000000003</v>
      </c>
      <c r="T206" s="498">
        <f t="shared" si="19"/>
        <v>1410373.8899999997</v>
      </c>
      <c r="U206" s="239">
        <v>-9332.67</v>
      </c>
      <c r="V206" s="243"/>
      <c r="W206" s="243">
        <v>-33.47</v>
      </c>
      <c r="X206" s="540">
        <v>71</v>
      </c>
      <c r="Y206" s="543">
        <v>0.8</v>
      </c>
      <c r="Z206" s="215">
        <v>665</v>
      </c>
      <c r="AA206" s="268"/>
      <c r="AB206" s="237">
        <v>52311</v>
      </c>
      <c r="AC206" s="443">
        <f>AB206/VPI!R206</f>
        <v>2.8225860400211396</v>
      </c>
      <c r="AD206" s="445">
        <f t="shared" si="20"/>
        <v>83626</v>
      </c>
      <c r="AE206" s="443">
        <f>AD206/VPI!R206</f>
        <v>4.5122742861502898</v>
      </c>
      <c r="AF206" s="237">
        <v>135937</v>
      </c>
      <c r="AG206" s="237">
        <v>70139</v>
      </c>
      <c r="AH206" s="237">
        <v>76133</v>
      </c>
      <c r="AI206" s="272"/>
      <c r="AJ206" s="8">
        <v>0</v>
      </c>
      <c r="AK206" s="443">
        <f>AJ206/VPI!R206</f>
        <v>0</v>
      </c>
      <c r="AL206" s="445">
        <f t="shared" si="21"/>
        <v>7592</v>
      </c>
      <c r="AM206" s="443">
        <f>AL206/VPI!R206</f>
        <v>0.40964755435454286</v>
      </c>
      <c r="AN206" s="8">
        <v>7592</v>
      </c>
      <c r="AO206" s="272"/>
      <c r="AP206" s="529">
        <v>22.829090334532456</v>
      </c>
      <c r="AR206" s="546">
        <v>0</v>
      </c>
      <c r="AT206" s="239">
        <f t="shared" si="22"/>
        <v>1306291.6500000001</v>
      </c>
      <c r="AU206" s="5">
        <f t="shared" si="23"/>
        <v>0</v>
      </c>
    </row>
    <row r="207" spans="1:47" x14ac:dyDescent="0.25">
      <c r="A207" s="192">
        <v>5744</v>
      </c>
      <c r="B207" s="447" t="s">
        <v>227</v>
      </c>
      <c r="C207" s="535">
        <v>1369282.65</v>
      </c>
      <c r="D207" s="535">
        <v>197213.08</v>
      </c>
      <c r="E207" s="535"/>
      <c r="F207" s="536"/>
      <c r="G207" s="535">
        <v>1217030.8</v>
      </c>
      <c r="H207" s="535">
        <v>4432</v>
      </c>
      <c r="I207" s="535"/>
      <c r="J207" s="535">
        <v>112176.62</v>
      </c>
      <c r="K207" s="535"/>
      <c r="L207" s="535">
        <v>190954.7</v>
      </c>
      <c r="M207" s="498">
        <f t="shared" si="18"/>
        <v>3091089.8500000006</v>
      </c>
      <c r="N207" s="243">
        <v>1852198.25</v>
      </c>
      <c r="O207" s="243">
        <v>3917.3</v>
      </c>
      <c r="P207" s="243">
        <v>62469</v>
      </c>
      <c r="Q207" s="243">
        <v>5587.23</v>
      </c>
      <c r="R207" s="243">
        <v>13951.55</v>
      </c>
      <c r="S207" s="535">
        <v>134155.25</v>
      </c>
      <c r="T207" s="498">
        <f t="shared" si="19"/>
        <v>5163368.4300000006</v>
      </c>
      <c r="U207" s="239">
        <v>-31713.72</v>
      </c>
      <c r="V207" s="243"/>
      <c r="W207" s="243">
        <v>-2366.9499999999998</v>
      </c>
      <c r="X207" s="540">
        <v>65</v>
      </c>
      <c r="Y207" s="543">
        <v>1</v>
      </c>
      <c r="Z207" s="215">
        <v>1173</v>
      </c>
      <c r="AA207" s="268"/>
      <c r="AB207" s="237">
        <v>201165</v>
      </c>
      <c r="AC207" s="443">
        <f>AB207/VPI!R207</f>
        <v>4.0903161680066198</v>
      </c>
      <c r="AD207" s="445">
        <f t="shared" si="20"/>
        <v>483060</v>
      </c>
      <c r="AE207" s="443">
        <f>AD207/VPI!R207</f>
        <v>9.8221267522545048</v>
      </c>
      <c r="AF207" s="237">
        <v>684225</v>
      </c>
      <c r="AG207" s="237">
        <v>50342</v>
      </c>
      <c r="AH207" s="237">
        <v>133444</v>
      </c>
      <c r="AI207" s="272"/>
      <c r="AJ207" s="8">
        <v>0</v>
      </c>
      <c r="AK207" s="443">
        <f>AJ207/VPI!R207</f>
        <v>0</v>
      </c>
      <c r="AL207" s="445">
        <f t="shared" si="21"/>
        <v>102658</v>
      </c>
      <c r="AM207" s="443">
        <f>AL207/VPI!R207</f>
        <v>2.0873595166913903</v>
      </c>
      <c r="AN207" s="8">
        <v>102658</v>
      </c>
      <c r="AO207" s="272"/>
      <c r="AP207" s="529">
        <v>35.631768766343939</v>
      </c>
      <c r="AR207" s="546">
        <v>0</v>
      </c>
      <c r="AT207" s="239">
        <f t="shared" si="22"/>
        <v>3091089.8500000006</v>
      </c>
      <c r="AU207" s="5">
        <f t="shared" si="23"/>
        <v>0</v>
      </c>
    </row>
    <row r="208" spans="1:47" x14ac:dyDescent="0.25">
      <c r="A208" s="192">
        <v>5745</v>
      </c>
      <c r="B208" s="447" t="s">
        <v>228</v>
      </c>
      <c r="C208" s="535">
        <v>1753077.87</v>
      </c>
      <c r="D208" s="535">
        <v>200085.15</v>
      </c>
      <c r="E208" s="535"/>
      <c r="F208" s="536"/>
      <c r="G208" s="535">
        <v>47579.95</v>
      </c>
      <c r="H208" s="535">
        <v>5176.55</v>
      </c>
      <c r="I208" s="535"/>
      <c r="J208" s="535">
        <v>41801.14</v>
      </c>
      <c r="K208" s="535"/>
      <c r="L208" s="535">
        <v>145737.60000000001</v>
      </c>
      <c r="M208" s="498">
        <f t="shared" si="18"/>
        <v>2193458.2599999998</v>
      </c>
      <c r="N208" s="243">
        <v>195912.2</v>
      </c>
      <c r="O208" s="243"/>
      <c r="P208" s="243">
        <v>93065.55</v>
      </c>
      <c r="Q208" s="243"/>
      <c r="R208" s="243">
        <v>129476.2</v>
      </c>
      <c r="S208" s="535">
        <v>5794.33</v>
      </c>
      <c r="T208" s="498">
        <f t="shared" si="19"/>
        <v>2617706.54</v>
      </c>
      <c r="U208" s="239">
        <v>-21357.94</v>
      </c>
      <c r="V208" s="243"/>
      <c r="W208" s="243">
        <v>-0.36</v>
      </c>
      <c r="X208" s="540">
        <v>76.5</v>
      </c>
      <c r="Y208" s="543">
        <v>1</v>
      </c>
      <c r="Z208" s="215">
        <v>1126</v>
      </c>
      <c r="AA208" s="268"/>
      <c r="AB208" s="237">
        <v>25126</v>
      </c>
      <c r="AC208" s="443">
        <f>AB208/VPI!R208</f>
        <v>0.88256762912032805</v>
      </c>
      <c r="AD208" s="445">
        <f t="shared" si="20"/>
        <v>245533</v>
      </c>
      <c r="AE208" s="443">
        <f>AD208/VPI!R208</f>
        <v>8.6245115689246798</v>
      </c>
      <c r="AF208" s="237">
        <v>270659</v>
      </c>
      <c r="AG208" s="237">
        <v>118258</v>
      </c>
      <c r="AH208" s="237">
        <v>99257</v>
      </c>
      <c r="AI208" s="272"/>
      <c r="AJ208" s="8">
        <v>0</v>
      </c>
      <c r="AK208" s="443">
        <f>AJ208/VPI!R208</f>
        <v>0</v>
      </c>
      <c r="AL208" s="445">
        <f t="shared" si="21"/>
        <v>350664</v>
      </c>
      <c r="AM208" s="443">
        <f>AL208/VPI!R208</f>
        <v>12.31730856872764</v>
      </c>
      <c r="AN208" s="8">
        <v>350664</v>
      </c>
      <c r="AO208" s="272"/>
      <c r="AP208" s="529">
        <v>12.276603431380584</v>
      </c>
      <c r="AR208" s="546">
        <v>0</v>
      </c>
      <c r="AT208" s="239">
        <f t="shared" si="22"/>
        <v>2193458.2599999998</v>
      </c>
      <c r="AU208" s="5">
        <f t="shared" si="23"/>
        <v>0</v>
      </c>
    </row>
    <row r="209" spans="1:47" x14ac:dyDescent="0.25">
      <c r="A209" s="192">
        <v>5746</v>
      </c>
      <c r="B209" s="447" t="s">
        <v>229</v>
      </c>
      <c r="C209" s="535">
        <v>1714622.69</v>
      </c>
      <c r="D209" s="535">
        <v>152859.97</v>
      </c>
      <c r="E209" s="535"/>
      <c r="F209" s="536"/>
      <c r="G209" s="535">
        <v>-39958.1</v>
      </c>
      <c r="H209" s="535">
        <v>2179.4</v>
      </c>
      <c r="I209" s="535"/>
      <c r="J209" s="535">
        <v>10301.08</v>
      </c>
      <c r="K209" s="535">
        <v>19594.75</v>
      </c>
      <c r="L209" s="535">
        <v>220801.75</v>
      </c>
      <c r="M209" s="498">
        <f t="shared" si="18"/>
        <v>2080401.5399999998</v>
      </c>
      <c r="N209" s="243">
        <v>7548.4</v>
      </c>
      <c r="O209" s="243">
        <v>14077.5</v>
      </c>
      <c r="P209" s="243">
        <v>197365.65</v>
      </c>
      <c r="Q209" s="243">
        <v>2409.41</v>
      </c>
      <c r="R209" s="243">
        <v>123899.5</v>
      </c>
      <c r="S209" s="535">
        <v>0</v>
      </c>
      <c r="T209" s="498">
        <f t="shared" si="19"/>
        <v>2425701.9999999995</v>
      </c>
      <c r="U209" s="239">
        <v>-31885.16</v>
      </c>
      <c r="V209" s="243">
        <v>-8895.35</v>
      </c>
      <c r="W209" s="243">
        <v>-158.13</v>
      </c>
      <c r="X209" s="540">
        <v>73</v>
      </c>
      <c r="Y209" s="543">
        <v>1.2</v>
      </c>
      <c r="Z209" s="215">
        <v>978</v>
      </c>
      <c r="AA209" s="268"/>
      <c r="AB209" s="237">
        <v>79205</v>
      </c>
      <c r="AC209" s="443">
        <f>AB209/VPI!R209</f>
        <v>2.8836694877454407</v>
      </c>
      <c r="AD209" s="445">
        <f t="shared" si="20"/>
        <v>129678</v>
      </c>
      <c r="AE209" s="443">
        <f>AD209/VPI!R209</f>
        <v>4.7212738063487567</v>
      </c>
      <c r="AF209" s="237">
        <v>208883</v>
      </c>
      <c r="AG209" s="237">
        <v>109448</v>
      </c>
      <c r="AH209" s="237">
        <v>137690</v>
      </c>
      <c r="AI209" s="272"/>
      <c r="AJ209" s="8">
        <v>0</v>
      </c>
      <c r="AK209" s="443">
        <f>AJ209/VPI!R209</f>
        <v>0</v>
      </c>
      <c r="AL209" s="445">
        <f t="shared" si="21"/>
        <v>44755</v>
      </c>
      <c r="AM209" s="443">
        <f>AL209/VPI!R209</f>
        <v>1.6294252625976542</v>
      </c>
      <c r="AN209" s="8">
        <v>44755</v>
      </c>
      <c r="AO209" s="272"/>
      <c r="AP209" s="529">
        <v>25.655951017930356</v>
      </c>
      <c r="AR209" s="546">
        <v>0</v>
      </c>
      <c r="AT209" s="239">
        <f t="shared" si="22"/>
        <v>2080401.5399999998</v>
      </c>
      <c r="AU209" s="5">
        <f t="shared" si="23"/>
        <v>0</v>
      </c>
    </row>
    <row r="210" spans="1:47" x14ac:dyDescent="0.25">
      <c r="A210" s="192">
        <v>5747</v>
      </c>
      <c r="B210" s="447" t="s">
        <v>230</v>
      </c>
      <c r="C210" s="535">
        <v>324499.26</v>
      </c>
      <c r="D210" s="535">
        <v>38146.730000000003</v>
      </c>
      <c r="E210" s="535"/>
      <c r="F210" s="536"/>
      <c r="G210" s="535">
        <v>5991.35</v>
      </c>
      <c r="H210" s="535">
        <v>299.45</v>
      </c>
      <c r="I210" s="535"/>
      <c r="J210" s="535">
        <v>4478.57</v>
      </c>
      <c r="K210" s="535"/>
      <c r="L210" s="535">
        <v>32519.1</v>
      </c>
      <c r="M210" s="498">
        <f t="shared" si="18"/>
        <v>405934.45999999996</v>
      </c>
      <c r="N210" s="243">
        <v>602.6</v>
      </c>
      <c r="O210" s="243"/>
      <c r="P210" s="243"/>
      <c r="Q210" s="243">
        <v>3859.6</v>
      </c>
      <c r="R210" s="243"/>
      <c r="S210" s="535">
        <v>690.93</v>
      </c>
      <c r="T210" s="498">
        <f t="shared" si="19"/>
        <v>411087.58999999991</v>
      </c>
      <c r="U210" s="239">
        <v>-9742.43</v>
      </c>
      <c r="V210" s="243"/>
      <c r="W210" s="243">
        <v>0</v>
      </c>
      <c r="X210" s="540">
        <v>69</v>
      </c>
      <c r="Y210" s="543">
        <v>1</v>
      </c>
      <c r="Z210" s="215">
        <v>206</v>
      </c>
      <c r="AA210" s="268"/>
      <c r="AB210" s="237">
        <v>27812</v>
      </c>
      <c r="AC210" s="443">
        <f>AB210/VPI!R210</f>
        <v>4.7886802939024005</v>
      </c>
      <c r="AD210" s="445">
        <f t="shared" si="20"/>
        <v>16379</v>
      </c>
      <c r="AE210" s="443">
        <f>AD210/VPI!R210</f>
        <v>2.8201421880421194</v>
      </c>
      <c r="AF210" s="237">
        <v>44191</v>
      </c>
      <c r="AG210" s="237">
        <v>9073</v>
      </c>
      <c r="AH210" s="237">
        <v>24463</v>
      </c>
      <c r="AI210" s="272"/>
      <c r="AJ210" s="8">
        <v>0</v>
      </c>
      <c r="AK210" s="443">
        <f>AJ210/VPI!R210</f>
        <v>0</v>
      </c>
      <c r="AL210" s="445">
        <f t="shared" si="21"/>
        <v>4296</v>
      </c>
      <c r="AM210" s="443">
        <f>AL210/VPI!R210</f>
        <v>0.73968684534031037</v>
      </c>
      <c r="AN210" s="8">
        <v>4296</v>
      </c>
      <c r="AO210" s="272"/>
      <c r="AP210" s="529">
        <v>20.274892507159141</v>
      </c>
      <c r="AR210" s="546">
        <v>0</v>
      </c>
      <c r="AT210" s="239">
        <f t="shared" si="22"/>
        <v>405934.45999999996</v>
      </c>
      <c r="AU210" s="5">
        <f t="shared" si="23"/>
        <v>0</v>
      </c>
    </row>
    <row r="211" spans="1:47" x14ac:dyDescent="0.25">
      <c r="A211" s="192">
        <v>5748</v>
      </c>
      <c r="B211" s="447" t="s">
        <v>231</v>
      </c>
      <c r="C211" s="535">
        <v>368760.84</v>
      </c>
      <c r="D211" s="535">
        <v>34221.660000000003</v>
      </c>
      <c r="E211" s="535"/>
      <c r="F211" s="536">
        <v>2050</v>
      </c>
      <c r="G211" s="535">
        <v>10160.950000000001</v>
      </c>
      <c r="H211" s="535">
        <v>-2.9</v>
      </c>
      <c r="I211" s="535"/>
      <c r="J211" s="535">
        <v>1492.63</v>
      </c>
      <c r="K211" s="535"/>
      <c r="L211" s="535">
        <v>22224.2</v>
      </c>
      <c r="M211" s="498">
        <f t="shared" si="18"/>
        <v>438907.38</v>
      </c>
      <c r="N211" s="243">
        <v>197.7</v>
      </c>
      <c r="O211" s="243">
        <v>858</v>
      </c>
      <c r="P211" s="243">
        <v>13978.25</v>
      </c>
      <c r="Q211" s="243">
        <v>18094.89</v>
      </c>
      <c r="R211" s="243">
        <v>18819.45</v>
      </c>
      <c r="S211" s="535">
        <v>1115.68</v>
      </c>
      <c r="T211" s="498">
        <f t="shared" si="19"/>
        <v>491971.35000000003</v>
      </c>
      <c r="U211" s="239">
        <v>-4594.04</v>
      </c>
      <c r="V211" s="243"/>
      <c r="W211" s="243">
        <v>0</v>
      </c>
      <c r="X211" s="540">
        <v>70.5</v>
      </c>
      <c r="Y211" s="543">
        <v>0.6</v>
      </c>
      <c r="Z211" s="215">
        <v>266</v>
      </c>
      <c r="AA211" s="268"/>
      <c r="AB211" s="237">
        <v>43353</v>
      </c>
      <c r="AC211" s="443">
        <f>AB211/VPI!R211</f>
        <v>6.5259986702112229</v>
      </c>
      <c r="AD211" s="445">
        <f t="shared" si="20"/>
        <v>19537</v>
      </c>
      <c r="AE211" s="443">
        <f>AD211/VPI!R211</f>
        <v>2.9409368675735625</v>
      </c>
      <c r="AF211" s="237">
        <v>62890</v>
      </c>
      <c r="AG211" s="237">
        <v>29509</v>
      </c>
      <c r="AH211" s="237">
        <v>37614</v>
      </c>
      <c r="AI211" s="272"/>
      <c r="AJ211" s="8">
        <v>0</v>
      </c>
      <c r="AK211" s="443">
        <f>AJ211/VPI!R211</f>
        <v>0</v>
      </c>
      <c r="AL211" s="445">
        <f t="shared" si="21"/>
        <v>4161</v>
      </c>
      <c r="AM211" s="443">
        <f>AL211/VPI!R211</f>
        <v>0.62636220023409905</v>
      </c>
      <c r="AN211" s="8">
        <v>4161</v>
      </c>
      <c r="AO211" s="272"/>
      <c r="AP211" s="529">
        <v>7.9105771478258662</v>
      </c>
      <c r="AR211" s="546">
        <v>0</v>
      </c>
      <c r="AT211" s="239">
        <f t="shared" si="22"/>
        <v>438907.38</v>
      </c>
      <c r="AU211" s="5">
        <f t="shared" si="23"/>
        <v>0</v>
      </c>
    </row>
    <row r="212" spans="1:47" x14ac:dyDescent="0.25">
      <c r="A212" s="192">
        <v>5749</v>
      </c>
      <c r="B212" s="447" t="s">
        <v>232</v>
      </c>
      <c r="C212" s="535">
        <v>8603836.6899999995</v>
      </c>
      <c r="D212" s="535">
        <v>794619.17</v>
      </c>
      <c r="E212" s="535"/>
      <c r="F212" s="536"/>
      <c r="G212" s="535">
        <v>372041.2</v>
      </c>
      <c r="H212" s="535">
        <v>22098.65</v>
      </c>
      <c r="I212" s="535"/>
      <c r="J212" s="535">
        <v>232464.93</v>
      </c>
      <c r="K212" s="535">
        <v>80561.05</v>
      </c>
      <c r="L212" s="535">
        <v>870017.45</v>
      </c>
      <c r="M212" s="498">
        <f t="shared" si="18"/>
        <v>10975639.139999999</v>
      </c>
      <c r="N212" s="243">
        <v>744756.9</v>
      </c>
      <c r="O212" s="243">
        <v>44456.6</v>
      </c>
      <c r="P212" s="243">
        <v>271360.95</v>
      </c>
      <c r="Q212" s="243">
        <v>83293.89</v>
      </c>
      <c r="R212" s="243">
        <v>189345.6</v>
      </c>
      <c r="S212" s="535">
        <v>43289.02</v>
      </c>
      <c r="T212" s="498">
        <f t="shared" si="19"/>
        <v>12352142.099999998</v>
      </c>
      <c r="U212" s="239">
        <v>-291029.56</v>
      </c>
      <c r="V212" s="243"/>
      <c r="W212" s="243">
        <v>-2172.1</v>
      </c>
      <c r="X212" s="540">
        <v>70.5</v>
      </c>
      <c r="Y212" s="543">
        <v>1</v>
      </c>
      <c r="Z212" s="215">
        <v>5366</v>
      </c>
      <c r="AA212" s="268"/>
      <c r="AB212" s="237">
        <v>340214</v>
      </c>
      <c r="AC212" s="443">
        <f>AB212/VPI!R212</f>
        <v>2.2189880428192996</v>
      </c>
      <c r="AD212" s="445">
        <f t="shared" si="20"/>
        <v>354234</v>
      </c>
      <c r="AE212" s="443">
        <f>AD212/VPI!R212</f>
        <v>2.3104311120649115</v>
      </c>
      <c r="AF212" s="237">
        <v>694448</v>
      </c>
      <c r="AG212" s="237">
        <v>575538</v>
      </c>
      <c r="AH212" s="237">
        <v>755929</v>
      </c>
      <c r="AI212" s="272"/>
      <c r="AJ212" s="8">
        <v>2488</v>
      </c>
      <c r="AK212" s="443">
        <f>AJ212/VPI!R212</f>
        <v>1.6227557509492313E-2</v>
      </c>
      <c r="AL212" s="445">
        <f t="shared" si="21"/>
        <v>196804</v>
      </c>
      <c r="AM212" s="443">
        <f>AL212/VPI!R212</f>
        <v>1.2836206704574458</v>
      </c>
      <c r="AN212" s="8">
        <v>199292</v>
      </c>
      <c r="AO212" s="272"/>
      <c r="AP212" s="529">
        <v>9.8772065892238778</v>
      </c>
      <c r="AR212" s="546">
        <v>0</v>
      </c>
      <c r="AT212" s="239">
        <f t="shared" si="22"/>
        <v>10975639.139999999</v>
      </c>
      <c r="AU212" s="5">
        <f t="shared" si="23"/>
        <v>0</v>
      </c>
    </row>
    <row r="213" spans="1:47" x14ac:dyDescent="0.25">
      <c r="A213" s="192">
        <v>5750</v>
      </c>
      <c r="B213" s="447" t="s">
        <v>233</v>
      </c>
      <c r="C213" s="535">
        <v>306542.07</v>
      </c>
      <c r="D213" s="535">
        <v>51636.97</v>
      </c>
      <c r="E213" s="535"/>
      <c r="F213" s="536">
        <v>1120</v>
      </c>
      <c r="G213" s="535">
        <v>350.6</v>
      </c>
      <c r="H213" s="535">
        <v>43.7</v>
      </c>
      <c r="I213" s="535"/>
      <c r="J213" s="535">
        <v>5624.75</v>
      </c>
      <c r="K213" s="535">
        <v>4.4000000000000004</v>
      </c>
      <c r="L213" s="535">
        <v>13383.5</v>
      </c>
      <c r="M213" s="498">
        <f t="shared" si="18"/>
        <v>378705.99000000005</v>
      </c>
      <c r="N213" s="243">
        <v>5002.05</v>
      </c>
      <c r="O213" s="243"/>
      <c r="P213" s="243">
        <v>13695</v>
      </c>
      <c r="Q213" s="243">
        <v>2161.48</v>
      </c>
      <c r="R213" s="243">
        <v>28417.7</v>
      </c>
      <c r="S213" s="535">
        <v>43.31</v>
      </c>
      <c r="T213" s="498">
        <f t="shared" si="19"/>
        <v>428025.53</v>
      </c>
      <c r="U213" s="239">
        <v>-3727.83</v>
      </c>
      <c r="V213" s="243"/>
      <c r="W213" s="243">
        <v>-524.70000000000005</v>
      </c>
      <c r="X213" s="540">
        <v>80</v>
      </c>
      <c r="Y213" s="543">
        <v>0.6</v>
      </c>
      <c r="Z213" s="215">
        <v>182</v>
      </c>
      <c r="AA213" s="268"/>
      <c r="AB213" s="237">
        <v>41206</v>
      </c>
      <c r="AC213" s="443">
        <f>AB213/VPI!R213</f>
        <v>8.5493931553866709</v>
      </c>
      <c r="AD213" s="445">
        <f t="shared" si="20"/>
        <v>22301</v>
      </c>
      <c r="AE213" s="443">
        <f>AD213/VPI!R213</f>
        <v>4.6269964752288049</v>
      </c>
      <c r="AF213" s="237">
        <v>63507</v>
      </c>
      <c r="AG213" s="237">
        <v>0</v>
      </c>
      <c r="AH213" s="237">
        <v>17081</v>
      </c>
      <c r="AI213" s="272"/>
      <c r="AJ213" s="8">
        <v>0</v>
      </c>
      <c r="AK213" s="443">
        <f>AJ213/VPI!R213</f>
        <v>0</v>
      </c>
      <c r="AL213" s="445">
        <f t="shared" si="21"/>
        <v>23780</v>
      </c>
      <c r="AM213" s="443">
        <f>AL213/VPI!R213</f>
        <v>4.9338584001139409</v>
      </c>
      <c r="AN213" s="8">
        <v>23780</v>
      </c>
      <c r="AO213" s="272"/>
      <c r="AP213" s="529">
        <v>19.398620195627174</v>
      </c>
      <c r="AR213" s="546">
        <v>0</v>
      </c>
      <c r="AT213" s="239">
        <f t="shared" si="22"/>
        <v>378705.99000000005</v>
      </c>
      <c r="AU213" s="5">
        <f t="shared" si="23"/>
        <v>0</v>
      </c>
    </row>
    <row r="214" spans="1:47" x14ac:dyDescent="0.25">
      <c r="A214" s="192">
        <v>5752</v>
      </c>
      <c r="B214" s="447" t="s">
        <v>280</v>
      </c>
      <c r="C214" s="535">
        <v>579823.44999999995</v>
      </c>
      <c r="D214" s="535">
        <v>97270.27</v>
      </c>
      <c r="E214" s="535"/>
      <c r="F214" s="536"/>
      <c r="G214" s="535">
        <v>3774.35</v>
      </c>
      <c r="H214" s="535">
        <v>89.65</v>
      </c>
      <c r="I214" s="535"/>
      <c r="J214" s="535">
        <v>6413.67</v>
      </c>
      <c r="K214" s="535">
        <v>833.4</v>
      </c>
      <c r="L214" s="535">
        <v>43015.6</v>
      </c>
      <c r="M214" s="498">
        <f t="shared" si="18"/>
        <v>731220.39</v>
      </c>
      <c r="N214" s="243">
        <v>30061.4</v>
      </c>
      <c r="O214" s="243">
        <v>18.3</v>
      </c>
      <c r="P214" s="243">
        <v>8360</v>
      </c>
      <c r="Q214" s="243">
        <v>751</v>
      </c>
      <c r="R214" s="243">
        <v>11980.3</v>
      </c>
      <c r="S214" s="535">
        <v>424.39</v>
      </c>
      <c r="T214" s="498">
        <f t="shared" si="19"/>
        <v>782815.78000000014</v>
      </c>
      <c r="U214" s="239">
        <v>-35190.639999999999</v>
      </c>
      <c r="V214" s="243"/>
      <c r="W214" s="243">
        <v>0</v>
      </c>
      <c r="X214" s="540">
        <v>74</v>
      </c>
      <c r="Y214" s="543">
        <v>0.7</v>
      </c>
      <c r="Z214" s="215">
        <v>390</v>
      </c>
      <c r="AA214" s="268"/>
      <c r="AB214" s="237">
        <v>25940</v>
      </c>
      <c r="AC214" s="443">
        <f>AB214/VPI!R214</f>
        <v>2.6822968737702695</v>
      </c>
      <c r="AD214" s="445">
        <f t="shared" si="20"/>
        <v>-125383</v>
      </c>
      <c r="AE214" s="443">
        <f>AD214/VPI!R214</f>
        <v>-12.965089781184954</v>
      </c>
      <c r="AF214" s="237">
        <v>-99443</v>
      </c>
      <c r="AG214" s="237">
        <v>43713</v>
      </c>
      <c r="AH214" s="237">
        <v>38066</v>
      </c>
      <c r="AI214" s="272"/>
      <c r="AJ214" s="8">
        <v>0</v>
      </c>
      <c r="AK214" s="443">
        <f>AJ214/VPI!R214</f>
        <v>0</v>
      </c>
      <c r="AL214" s="445">
        <f t="shared" si="21"/>
        <v>2879</v>
      </c>
      <c r="AM214" s="443">
        <f>AL214/VPI!R214</f>
        <v>0.2976997956663302</v>
      </c>
      <c r="AN214" s="8">
        <v>2879</v>
      </c>
      <c r="AO214" s="272"/>
      <c r="AP214" s="529">
        <v>11.42580397375235</v>
      </c>
      <c r="AR214" s="546">
        <v>0</v>
      </c>
      <c r="AT214" s="239">
        <f t="shared" si="22"/>
        <v>731220.39</v>
      </c>
      <c r="AU214" s="5">
        <f t="shared" si="23"/>
        <v>0</v>
      </c>
    </row>
    <row r="215" spans="1:47" x14ac:dyDescent="0.25">
      <c r="A215" s="192">
        <v>5754</v>
      </c>
      <c r="B215" s="447" t="s">
        <v>281</v>
      </c>
      <c r="C215" s="535">
        <v>606139.57999999996</v>
      </c>
      <c r="D215" s="535">
        <v>54048.51</v>
      </c>
      <c r="E215" s="535"/>
      <c r="F215" s="536"/>
      <c r="G215" s="535">
        <v>3252.95</v>
      </c>
      <c r="H215" s="535">
        <v>845.1</v>
      </c>
      <c r="I215" s="535"/>
      <c r="J215" s="535">
        <v>5914.62</v>
      </c>
      <c r="K215" s="535">
        <v>1588.5</v>
      </c>
      <c r="L215" s="535">
        <v>44038.1</v>
      </c>
      <c r="M215" s="498">
        <f t="shared" si="18"/>
        <v>715827.35999999987</v>
      </c>
      <c r="N215" s="243">
        <v>5292.65</v>
      </c>
      <c r="O215" s="243">
        <v>24984</v>
      </c>
      <c r="P215" s="243">
        <v>35200</v>
      </c>
      <c r="Q215" s="243">
        <v>789.6</v>
      </c>
      <c r="R215" s="243">
        <v>66840.149999999994</v>
      </c>
      <c r="S215" s="535">
        <v>450.09</v>
      </c>
      <c r="T215" s="498">
        <f t="shared" si="19"/>
        <v>849383.84999999986</v>
      </c>
      <c r="U215" s="239">
        <v>-259.32</v>
      </c>
      <c r="V215" s="243"/>
      <c r="W215" s="243">
        <v>0</v>
      </c>
      <c r="X215" s="540">
        <v>79</v>
      </c>
      <c r="Y215" s="543">
        <v>1</v>
      </c>
      <c r="Z215" s="215">
        <v>348</v>
      </c>
      <c r="AA215" s="268"/>
      <c r="AB215" s="237">
        <v>29669</v>
      </c>
      <c r="AC215" s="443">
        <f>AB215/VPI!R215</f>
        <v>3.2698461552583984</v>
      </c>
      <c r="AD215" s="445">
        <f t="shared" si="20"/>
        <v>42246</v>
      </c>
      <c r="AE215" s="443">
        <f>AD215/VPI!R215</f>
        <v>4.6559682050303781</v>
      </c>
      <c r="AF215" s="237">
        <v>71915</v>
      </c>
      <c r="AG215" s="237">
        <v>14799</v>
      </c>
      <c r="AH215" s="237">
        <v>36537</v>
      </c>
      <c r="AI215" s="272"/>
      <c r="AJ215" s="8">
        <v>0</v>
      </c>
      <c r="AK215" s="443">
        <f>AJ215/VPI!R215</f>
        <v>0</v>
      </c>
      <c r="AL215" s="445">
        <f t="shared" si="21"/>
        <v>10618</v>
      </c>
      <c r="AM215" s="443">
        <f>AL215/VPI!R215</f>
        <v>1.170218965133091</v>
      </c>
      <c r="AN215" s="8">
        <v>10618</v>
      </c>
      <c r="AO215" s="272"/>
      <c r="AP215" s="529">
        <v>6.9319534710881161</v>
      </c>
      <c r="AR215" s="546">
        <v>0</v>
      </c>
      <c r="AT215" s="239">
        <f t="shared" si="22"/>
        <v>715827.35999999987</v>
      </c>
      <c r="AU215" s="5">
        <f t="shared" si="23"/>
        <v>0</v>
      </c>
    </row>
    <row r="216" spans="1:47" x14ac:dyDescent="0.25">
      <c r="A216" s="192">
        <v>5755</v>
      </c>
      <c r="B216" s="447" t="s">
        <v>282</v>
      </c>
      <c r="C216" s="535">
        <v>696319.98</v>
      </c>
      <c r="D216" s="535">
        <v>75980.92</v>
      </c>
      <c r="E216" s="535"/>
      <c r="F216" s="536">
        <v>2230</v>
      </c>
      <c r="G216" s="535">
        <v>24644.6</v>
      </c>
      <c r="H216" s="535">
        <v>759.4</v>
      </c>
      <c r="I216" s="535"/>
      <c r="J216" s="535">
        <v>5448.27</v>
      </c>
      <c r="K216" s="535">
        <v>2533.1</v>
      </c>
      <c r="L216" s="535">
        <v>44649.7</v>
      </c>
      <c r="M216" s="498">
        <f t="shared" si="18"/>
        <v>852565.97</v>
      </c>
      <c r="N216" s="243">
        <v>53250.85</v>
      </c>
      <c r="O216" s="243">
        <v>12975</v>
      </c>
      <c r="P216" s="243">
        <v>21937.55</v>
      </c>
      <c r="Q216" s="243">
        <v>2102.0100000000002</v>
      </c>
      <c r="R216" s="243">
        <v>6450.15</v>
      </c>
      <c r="S216" s="535">
        <v>2790.17</v>
      </c>
      <c r="T216" s="498">
        <f t="shared" si="19"/>
        <v>952071.70000000007</v>
      </c>
      <c r="U216" s="239">
        <v>-33063.46</v>
      </c>
      <c r="V216" s="243"/>
      <c r="W216" s="243">
        <v>-0.05</v>
      </c>
      <c r="X216" s="540">
        <v>78.5</v>
      </c>
      <c r="Y216" s="543">
        <v>0.7</v>
      </c>
      <c r="Z216" s="215">
        <v>409</v>
      </c>
      <c r="AA216" s="268"/>
      <c r="AB216" s="237">
        <v>18575</v>
      </c>
      <c r="AC216" s="443">
        <f>AB216/VPI!R216</f>
        <v>1.7286132204276099</v>
      </c>
      <c r="AD216" s="445">
        <f t="shared" si="20"/>
        <v>322022</v>
      </c>
      <c r="AE216" s="443">
        <f>AD216/VPI!R216</f>
        <v>29.967778544739691</v>
      </c>
      <c r="AF216" s="237">
        <v>340597</v>
      </c>
      <c r="AG216" s="237">
        <v>19159</v>
      </c>
      <c r="AH216" s="237">
        <v>49667</v>
      </c>
      <c r="AI216" s="272"/>
      <c r="AJ216" s="8">
        <v>0</v>
      </c>
      <c r="AK216" s="443">
        <f>AJ216/VPI!R216</f>
        <v>0</v>
      </c>
      <c r="AL216" s="445">
        <f t="shared" si="21"/>
        <v>75028</v>
      </c>
      <c r="AM216" s="443">
        <f>AL216/VPI!R216</f>
        <v>6.9822014913724209</v>
      </c>
      <c r="AN216" s="8">
        <v>75028</v>
      </c>
      <c r="AO216" s="272"/>
      <c r="AP216" s="529">
        <v>13.571554595897521</v>
      </c>
      <c r="AR216" s="546">
        <v>0</v>
      </c>
      <c r="AT216" s="239">
        <f t="shared" si="22"/>
        <v>852565.97</v>
      </c>
      <c r="AU216" s="5">
        <f t="shared" si="23"/>
        <v>0</v>
      </c>
    </row>
    <row r="217" spans="1:47" x14ac:dyDescent="0.25">
      <c r="A217" s="192">
        <v>5756</v>
      </c>
      <c r="B217" s="447" t="s">
        <v>283</v>
      </c>
      <c r="C217" s="535">
        <v>961323.76</v>
      </c>
      <c r="D217" s="535">
        <v>198058.71</v>
      </c>
      <c r="E217" s="535"/>
      <c r="F217" s="536"/>
      <c r="G217" s="535">
        <v>30625.05</v>
      </c>
      <c r="H217" s="535">
        <v>295.75</v>
      </c>
      <c r="I217" s="535"/>
      <c r="J217" s="535">
        <v>14446.56</v>
      </c>
      <c r="K217" s="535">
        <v>-946.1</v>
      </c>
      <c r="L217" s="535">
        <v>87426.5</v>
      </c>
      <c r="M217" s="498">
        <f t="shared" si="18"/>
        <v>1291230.23</v>
      </c>
      <c r="N217" s="243">
        <v>20910.599999999999</v>
      </c>
      <c r="O217" s="243">
        <v>12210.2</v>
      </c>
      <c r="P217" s="243">
        <v>12655.5</v>
      </c>
      <c r="Q217" s="243"/>
      <c r="R217" s="243">
        <v>22526.1</v>
      </c>
      <c r="S217" s="535">
        <v>3396.08</v>
      </c>
      <c r="T217" s="498">
        <f t="shared" si="19"/>
        <v>1362928.7100000002</v>
      </c>
      <c r="U217" s="239">
        <v>-15200.07</v>
      </c>
      <c r="V217" s="243"/>
      <c r="W217" s="243">
        <v>-2286.56</v>
      </c>
      <c r="X217" s="540">
        <v>72</v>
      </c>
      <c r="Y217" s="543">
        <v>1</v>
      </c>
      <c r="Z217" s="215">
        <v>502</v>
      </c>
      <c r="AA217" s="268"/>
      <c r="AB217" s="237">
        <v>59848</v>
      </c>
      <c r="AC217" s="443">
        <f>AB217/VPI!R217</f>
        <v>3.3739896015132822</v>
      </c>
      <c r="AD217" s="445">
        <f t="shared" si="20"/>
        <v>39149</v>
      </c>
      <c r="AE217" s="443">
        <f>AD217/VPI!R217</f>
        <v>2.2070632086225688</v>
      </c>
      <c r="AF217" s="237">
        <v>98997</v>
      </c>
      <c r="AG217" s="237">
        <v>22886</v>
      </c>
      <c r="AH217" s="237">
        <v>66810</v>
      </c>
      <c r="AI217" s="272"/>
      <c r="AJ217" s="8">
        <v>0</v>
      </c>
      <c r="AK217" s="443">
        <f>AJ217/VPI!R217</f>
        <v>0</v>
      </c>
      <c r="AL217" s="445">
        <f t="shared" si="21"/>
        <v>15011</v>
      </c>
      <c r="AM217" s="443">
        <f>AL217/VPI!R217</f>
        <v>0.84625982335777095</v>
      </c>
      <c r="AN217" s="8">
        <v>15011</v>
      </c>
      <c r="AO217" s="272"/>
      <c r="AP217" s="529">
        <v>23.216501576589341</v>
      </c>
      <c r="AR217" s="546">
        <v>0</v>
      </c>
      <c r="AT217" s="239">
        <f t="shared" si="22"/>
        <v>1291230.23</v>
      </c>
      <c r="AU217" s="5">
        <f t="shared" si="23"/>
        <v>0</v>
      </c>
    </row>
    <row r="218" spans="1:47" x14ac:dyDescent="0.25">
      <c r="A218" s="192">
        <v>5757</v>
      </c>
      <c r="B218" s="447" t="s">
        <v>284</v>
      </c>
      <c r="C218" s="535">
        <v>11869208.09</v>
      </c>
      <c r="D218" s="535">
        <v>1126902.78</v>
      </c>
      <c r="E218" s="535"/>
      <c r="F218" s="536"/>
      <c r="G218" s="535">
        <v>1251859.45</v>
      </c>
      <c r="H218" s="535">
        <v>97048.4</v>
      </c>
      <c r="I218" s="535"/>
      <c r="J218" s="535">
        <v>503885.29</v>
      </c>
      <c r="K218" s="535">
        <v>102434.65</v>
      </c>
      <c r="L218" s="535">
        <v>1415717.55</v>
      </c>
      <c r="M218" s="498">
        <f t="shared" si="18"/>
        <v>16367056.209999999</v>
      </c>
      <c r="N218" s="243">
        <v>3266196.25</v>
      </c>
      <c r="O218" s="243">
        <v>20485.099999999999</v>
      </c>
      <c r="P218" s="243">
        <v>971488.65</v>
      </c>
      <c r="Q218" s="243">
        <v>102711.97</v>
      </c>
      <c r="R218" s="243">
        <v>379666.35</v>
      </c>
      <c r="S218" s="535">
        <v>148152.75</v>
      </c>
      <c r="T218" s="498">
        <f t="shared" si="19"/>
        <v>21255757.280000001</v>
      </c>
      <c r="U218" s="239">
        <v>-298002.68</v>
      </c>
      <c r="V218" s="243"/>
      <c r="W218" s="243">
        <v>-2591.52</v>
      </c>
      <c r="X218" s="540">
        <v>75.5</v>
      </c>
      <c r="Y218" s="543">
        <v>1</v>
      </c>
      <c r="Z218" s="215">
        <v>7570</v>
      </c>
      <c r="AA218" s="268"/>
      <c r="AB218" s="237">
        <v>726976</v>
      </c>
      <c r="AC218" s="443">
        <f>AB218/VPI!R218</f>
        <v>3.3637058881151667</v>
      </c>
      <c r="AD218" s="445">
        <f t="shared" si="20"/>
        <v>1804452</v>
      </c>
      <c r="AE218" s="443">
        <f>AD218/VPI!R218</f>
        <v>8.3491694598187411</v>
      </c>
      <c r="AF218" s="237">
        <v>2531428</v>
      </c>
      <c r="AG218" s="237">
        <v>976334</v>
      </c>
      <c r="AH218" s="237">
        <v>876025</v>
      </c>
      <c r="AI218" s="272"/>
      <c r="AJ218" s="8">
        <v>0</v>
      </c>
      <c r="AK218" s="443">
        <f>AJ218/VPI!R218</f>
        <v>0</v>
      </c>
      <c r="AL218" s="445">
        <f t="shared" si="21"/>
        <v>127080</v>
      </c>
      <c r="AM218" s="443">
        <f>AL218/VPI!R218</f>
        <v>0.58799705115667555</v>
      </c>
      <c r="AN218" s="8">
        <v>127080</v>
      </c>
      <c r="AO218" s="272"/>
      <c r="AP218" s="529">
        <v>11.864718986566379</v>
      </c>
      <c r="AR218" s="546">
        <v>0</v>
      </c>
      <c r="AT218" s="239">
        <f t="shared" si="22"/>
        <v>16367056.209999999</v>
      </c>
      <c r="AU218" s="5">
        <f t="shared" si="23"/>
        <v>0</v>
      </c>
    </row>
    <row r="219" spans="1:47" x14ac:dyDescent="0.25">
      <c r="A219" s="192">
        <v>5758</v>
      </c>
      <c r="B219" s="447" t="s">
        <v>192</v>
      </c>
      <c r="C219" s="535">
        <v>323160.71000000002</v>
      </c>
      <c r="D219" s="535">
        <v>35553.18</v>
      </c>
      <c r="E219" s="535"/>
      <c r="F219" s="536">
        <v>1100</v>
      </c>
      <c r="G219" s="535">
        <v>3847.05</v>
      </c>
      <c r="H219" s="535">
        <v>1002.6</v>
      </c>
      <c r="I219" s="535"/>
      <c r="J219" s="535">
        <v>6151.03</v>
      </c>
      <c r="K219" s="535"/>
      <c r="L219" s="535">
        <v>25473.15</v>
      </c>
      <c r="M219" s="498">
        <f t="shared" si="18"/>
        <v>396287.72000000003</v>
      </c>
      <c r="N219" s="243">
        <v>1860.55</v>
      </c>
      <c r="O219" s="243"/>
      <c r="P219" s="243">
        <v>12752.15</v>
      </c>
      <c r="Q219" s="243"/>
      <c r="R219" s="243">
        <v>29904.9</v>
      </c>
      <c r="S219" s="535">
        <v>532.64</v>
      </c>
      <c r="T219" s="498">
        <f t="shared" si="19"/>
        <v>441337.96000000008</v>
      </c>
      <c r="U219" s="239">
        <v>-3326.73</v>
      </c>
      <c r="V219" s="243"/>
      <c r="W219" s="243">
        <v>-275.73</v>
      </c>
      <c r="X219" s="540">
        <v>83</v>
      </c>
      <c r="Y219" s="543">
        <v>0.9</v>
      </c>
      <c r="Z219" s="215">
        <v>182</v>
      </c>
      <c r="AA219" s="268"/>
      <c r="AB219" s="237">
        <v>26670</v>
      </c>
      <c r="AC219" s="443">
        <f>AB219/VPI!R219</f>
        <v>5.5892432298337384</v>
      </c>
      <c r="AD219" s="445">
        <f t="shared" si="20"/>
        <v>36609</v>
      </c>
      <c r="AE219" s="443">
        <f>AD219/VPI!R219</f>
        <v>7.672163682076615</v>
      </c>
      <c r="AF219" s="237">
        <v>63279</v>
      </c>
      <c r="AG219" s="237">
        <v>7708</v>
      </c>
      <c r="AH219" s="237">
        <v>20507</v>
      </c>
      <c r="AI219" s="272"/>
      <c r="AJ219" s="8">
        <v>0</v>
      </c>
      <c r="AK219" s="443">
        <f>AJ219/VPI!R219</f>
        <v>0</v>
      </c>
      <c r="AL219" s="445">
        <f t="shared" si="21"/>
        <v>556</v>
      </c>
      <c r="AM219" s="443">
        <f>AL219/VPI!R219</f>
        <v>0.11652115619750875</v>
      </c>
      <c r="AN219" s="8">
        <v>556</v>
      </c>
      <c r="AO219" s="272"/>
      <c r="AP219" s="529">
        <v>7.5404688917729734</v>
      </c>
      <c r="AR219" s="546">
        <v>0</v>
      </c>
      <c r="AT219" s="239">
        <f t="shared" si="22"/>
        <v>396287.72000000003</v>
      </c>
      <c r="AU219" s="5">
        <f t="shared" si="23"/>
        <v>0</v>
      </c>
    </row>
    <row r="220" spans="1:47" x14ac:dyDescent="0.25">
      <c r="A220" s="192">
        <v>5759</v>
      </c>
      <c r="B220" s="447" t="s">
        <v>193</v>
      </c>
      <c r="C220" s="535">
        <v>389733.3</v>
      </c>
      <c r="D220" s="535">
        <v>42750.46</v>
      </c>
      <c r="E220" s="535"/>
      <c r="F220" s="536"/>
      <c r="G220" s="535">
        <v>1611.9</v>
      </c>
      <c r="H220" s="535">
        <v>230.8</v>
      </c>
      <c r="I220" s="535"/>
      <c r="J220" s="535">
        <v>3014.22</v>
      </c>
      <c r="K220" s="535">
        <v>242.95</v>
      </c>
      <c r="L220" s="535">
        <v>32043.7</v>
      </c>
      <c r="M220" s="498">
        <f t="shared" si="18"/>
        <v>469627.33</v>
      </c>
      <c r="N220" s="243">
        <v>4410.6499999999996</v>
      </c>
      <c r="O220" s="243"/>
      <c r="P220" s="243"/>
      <c r="Q220" s="243">
        <v>764.54</v>
      </c>
      <c r="R220" s="243"/>
      <c r="S220" s="535">
        <v>202.38</v>
      </c>
      <c r="T220" s="498">
        <f t="shared" si="19"/>
        <v>475004.9</v>
      </c>
      <c r="U220" s="239">
        <v>-1373.78</v>
      </c>
      <c r="V220" s="243"/>
      <c r="W220" s="243">
        <v>-172.25</v>
      </c>
      <c r="X220" s="540">
        <v>79.5</v>
      </c>
      <c r="Y220" s="543">
        <v>1</v>
      </c>
      <c r="Z220" s="215">
        <v>232</v>
      </c>
      <c r="AA220" s="268"/>
      <c r="AB220" s="237">
        <v>47488</v>
      </c>
      <c r="AC220" s="443">
        <f>AB220/VPI!R220</f>
        <v>8.0488441039175047</v>
      </c>
      <c r="AD220" s="445">
        <f t="shared" si="20"/>
        <v>38579</v>
      </c>
      <c r="AE220" s="443">
        <f>AD220/VPI!R220</f>
        <v>6.5388383735898206</v>
      </c>
      <c r="AF220" s="237">
        <v>86067</v>
      </c>
      <c r="AG220" s="237">
        <v>9602</v>
      </c>
      <c r="AH220" s="237">
        <v>32553</v>
      </c>
      <c r="AI220" s="272"/>
      <c r="AJ220" s="8">
        <v>0</v>
      </c>
      <c r="AK220" s="443">
        <f>AJ220/VPI!R220</f>
        <v>0</v>
      </c>
      <c r="AL220" s="445">
        <f t="shared" si="21"/>
        <v>22007</v>
      </c>
      <c r="AM220" s="443">
        <f>AL220/VPI!R220</f>
        <v>3.7300141550478547</v>
      </c>
      <c r="AN220" s="8">
        <v>22007</v>
      </c>
      <c r="AO220" s="272"/>
      <c r="AP220" s="529">
        <v>9.890505668120424</v>
      </c>
      <c r="AR220" s="546">
        <v>0</v>
      </c>
      <c r="AT220" s="239">
        <f t="shared" si="22"/>
        <v>469627.33</v>
      </c>
      <c r="AU220" s="5">
        <f t="shared" si="23"/>
        <v>0</v>
      </c>
    </row>
    <row r="221" spans="1:47" x14ac:dyDescent="0.25">
      <c r="A221" s="192">
        <v>5760</v>
      </c>
      <c r="B221" s="447" t="s">
        <v>194</v>
      </c>
      <c r="C221" s="535">
        <v>935916.11</v>
      </c>
      <c r="D221" s="535">
        <v>85725.41</v>
      </c>
      <c r="E221" s="535"/>
      <c r="F221" s="536"/>
      <c r="G221" s="535">
        <v>21548.95</v>
      </c>
      <c r="H221" s="535">
        <v>606.4</v>
      </c>
      <c r="I221" s="535"/>
      <c r="J221" s="535">
        <v>3150.73</v>
      </c>
      <c r="K221" s="535"/>
      <c r="L221" s="535">
        <v>123143</v>
      </c>
      <c r="M221" s="498">
        <f t="shared" si="18"/>
        <v>1170090.6000000001</v>
      </c>
      <c r="N221" s="243">
        <v>34603.35</v>
      </c>
      <c r="O221" s="243"/>
      <c r="P221" s="243">
        <v>53108</v>
      </c>
      <c r="Q221" s="243"/>
      <c r="R221" s="243">
        <v>38755.65</v>
      </c>
      <c r="S221" s="535">
        <v>2433.36</v>
      </c>
      <c r="T221" s="498">
        <f t="shared" si="19"/>
        <v>1298990.9600000002</v>
      </c>
      <c r="U221" s="239">
        <v>-21935.22</v>
      </c>
      <c r="V221" s="243"/>
      <c r="W221" s="243">
        <v>-1752.3</v>
      </c>
      <c r="X221" s="540">
        <v>76.5</v>
      </c>
      <c r="Y221" s="543">
        <v>1.5</v>
      </c>
      <c r="Z221" s="215">
        <v>512</v>
      </c>
      <c r="AA221" s="268"/>
      <c r="AB221" s="237">
        <v>4833</v>
      </c>
      <c r="AC221" s="443">
        <f>AB221/VPI!R221</f>
        <v>0.33374999720163262</v>
      </c>
      <c r="AD221" s="445">
        <f t="shared" si="20"/>
        <v>101787</v>
      </c>
      <c r="AE221" s="443">
        <f>AD221/VPI!R221</f>
        <v>7.029052548140406</v>
      </c>
      <c r="AF221" s="237">
        <v>106620</v>
      </c>
      <c r="AG221" s="237">
        <v>33891</v>
      </c>
      <c r="AH221" s="237">
        <v>53851</v>
      </c>
      <c r="AI221" s="272"/>
      <c r="AJ221" s="8">
        <v>0</v>
      </c>
      <c r="AK221" s="443">
        <f>AJ221/VPI!R221</f>
        <v>0</v>
      </c>
      <c r="AL221" s="445">
        <f t="shared" si="21"/>
        <v>106000</v>
      </c>
      <c r="AM221" s="443">
        <f>AL221/VPI!R221</f>
        <v>7.3199875239753904</v>
      </c>
      <c r="AN221" s="8">
        <v>106000</v>
      </c>
      <c r="AO221" s="272"/>
      <c r="AP221" s="529">
        <v>13.240837548519185</v>
      </c>
      <c r="AR221" s="546">
        <v>0</v>
      </c>
      <c r="AT221" s="239">
        <f t="shared" si="22"/>
        <v>1170090.6000000001</v>
      </c>
      <c r="AU221" s="5">
        <f t="shared" si="23"/>
        <v>0</v>
      </c>
    </row>
    <row r="222" spans="1:47" x14ac:dyDescent="0.25">
      <c r="A222" s="192">
        <v>5761</v>
      </c>
      <c r="B222" s="447" t="s">
        <v>121</v>
      </c>
      <c r="C222" s="535">
        <v>830262.44</v>
      </c>
      <c r="D222" s="535">
        <v>112378.57</v>
      </c>
      <c r="E222" s="535"/>
      <c r="F222" s="536"/>
      <c r="G222" s="535">
        <v>11935.25</v>
      </c>
      <c r="H222" s="535">
        <v>865.8</v>
      </c>
      <c r="I222" s="535"/>
      <c r="J222" s="535">
        <v>9440.07</v>
      </c>
      <c r="K222" s="535">
        <v>6593.8</v>
      </c>
      <c r="L222" s="535">
        <v>93252.3</v>
      </c>
      <c r="M222" s="498">
        <f t="shared" si="18"/>
        <v>1064728.23</v>
      </c>
      <c r="N222" s="243">
        <v>67027.600000000006</v>
      </c>
      <c r="O222" s="243"/>
      <c r="P222" s="243">
        <v>109791</v>
      </c>
      <c r="Q222" s="243">
        <v>2530.39</v>
      </c>
      <c r="R222" s="243">
        <v>40738.300000000003</v>
      </c>
      <c r="S222" s="535">
        <v>1405.96</v>
      </c>
      <c r="T222" s="498">
        <f t="shared" si="19"/>
        <v>1286221.48</v>
      </c>
      <c r="U222" s="239">
        <v>-14114.64</v>
      </c>
      <c r="V222" s="243"/>
      <c r="W222" s="243">
        <v>-83.6</v>
      </c>
      <c r="X222" s="540">
        <v>81</v>
      </c>
      <c r="Y222" s="543">
        <v>1.1000000000000001</v>
      </c>
      <c r="Z222" s="215">
        <v>551</v>
      </c>
      <c r="AA222" s="268"/>
      <c r="AB222" s="237">
        <v>5677</v>
      </c>
      <c r="AC222" s="443">
        <f>AB222/VPI!R222</f>
        <v>0.43961940550620016</v>
      </c>
      <c r="AD222" s="445">
        <f t="shared" si="20"/>
        <v>187182</v>
      </c>
      <c r="AE222" s="443">
        <f>AD222/VPI!R222</f>
        <v>14.495127631048362</v>
      </c>
      <c r="AF222" s="237">
        <v>192859</v>
      </c>
      <c r="AG222" s="237">
        <v>46246</v>
      </c>
      <c r="AH222" s="237">
        <v>57615</v>
      </c>
      <c r="AI222" s="272"/>
      <c r="AJ222" s="8">
        <v>0</v>
      </c>
      <c r="AK222" s="443">
        <f>AJ222/VPI!R222</f>
        <v>0</v>
      </c>
      <c r="AL222" s="445">
        <f t="shared" si="21"/>
        <v>47754</v>
      </c>
      <c r="AM222" s="443">
        <f>AL222/VPI!R222</f>
        <v>3.6980068857747193</v>
      </c>
      <c r="AN222" s="8">
        <v>47754</v>
      </c>
      <c r="AO222" s="272"/>
      <c r="AP222" s="529">
        <v>9.3262509680432686</v>
      </c>
      <c r="AR222" s="546">
        <v>0</v>
      </c>
      <c r="AT222" s="239">
        <f t="shared" si="22"/>
        <v>1064728.23</v>
      </c>
      <c r="AU222" s="5">
        <f t="shared" si="23"/>
        <v>0</v>
      </c>
    </row>
    <row r="223" spans="1:47" x14ac:dyDescent="0.25">
      <c r="A223" s="192">
        <v>5762</v>
      </c>
      <c r="B223" s="447" t="s">
        <v>122</v>
      </c>
      <c r="C223" s="535">
        <v>251807.82</v>
      </c>
      <c r="D223" s="535">
        <v>24192.82</v>
      </c>
      <c r="E223" s="535"/>
      <c r="F223" s="536"/>
      <c r="G223" s="535">
        <v>2443.35</v>
      </c>
      <c r="H223" s="535">
        <v>96.4</v>
      </c>
      <c r="I223" s="535"/>
      <c r="J223" s="535"/>
      <c r="K223" s="535">
        <v>191.55</v>
      </c>
      <c r="L223" s="535">
        <v>21321.15</v>
      </c>
      <c r="M223" s="498">
        <f t="shared" si="18"/>
        <v>300053.09000000003</v>
      </c>
      <c r="N223" s="243">
        <v>12165.4</v>
      </c>
      <c r="O223" s="243"/>
      <c r="P223" s="243"/>
      <c r="Q223" s="243"/>
      <c r="R223" s="243"/>
      <c r="S223" s="535">
        <v>278.95</v>
      </c>
      <c r="T223" s="498">
        <f t="shared" si="19"/>
        <v>312497.44000000006</v>
      </c>
      <c r="U223" s="239">
        <v>-69.739999999999995</v>
      </c>
      <c r="V223" s="243"/>
      <c r="W223" s="243">
        <v>0</v>
      </c>
      <c r="X223" s="540">
        <v>78</v>
      </c>
      <c r="Y223" s="543">
        <v>1</v>
      </c>
      <c r="Z223" s="215">
        <v>141</v>
      </c>
      <c r="AA223" s="268"/>
      <c r="AB223" s="237">
        <v>7741</v>
      </c>
      <c r="AC223" s="443">
        <f>AB223/VPI!R223</f>
        <v>2.0109018015248665</v>
      </c>
      <c r="AD223" s="445">
        <f t="shared" si="20"/>
        <v>32323</v>
      </c>
      <c r="AE223" s="443">
        <f>AD223/VPI!R223</f>
        <v>8.396638539037367</v>
      </c>
      <c r="AF223" s="237">
        <v>40064</v>
      </c>
      <c r="AG223" s="237">
        <v>6386</v>
      </c>
      <c r="AH223" s="237">
        <v>17559</v>
      </c>
      <c r="AI223" s="272"/>
      <c r="AJ223" s="8">
        <v>0</v>
      </c>
      <c r="AK223" s="443">
        <f>AJ223/VPI!R223</f>
        <v>0</v>
      </c>
      <c r="AL223" s="445">
        <f t="shared" si="21"/>
        <v>5886</v>
      </c>
      <c r="AM223" s="443">
        <f>AL223/VPI!R223</f>
        <v>1.5290231241151484</v>
      </c>
      <c r="AN223" s="8">
        <v>5886</v>
      </c>
      <c r="AO223" s="272"/>
      <c r="AP223" s="529">
        <v>10.151335234529446</v>
      </c>
      <c r="AR223" s="546">
        <v>0</v>
      </c>
      <c r="AT223" s="239">
        <f t="shared" si="22"/>
        <v>300053.09000000003</v>
      </c>
      <c r="AU223" s="5">
        <f t="shared" si="23"/>
        <v>0</v>
      </c>
    </row>
    <row r="224" spans="1:47" x14ac:dyDescent="0.25">
      <c r="A224" s="192">
        <v>5763</v>
      </c>
      <c r="B224" s="447" t="s">
        <v>123</v>
      </c>
      <c r="C224" s="535">
        <v>1243204.2</v>
      </c>
      <c r="D224" s="535">
        <v>155500.69</v>
      </c>
      <c r="E224" s="535"/>
      <c r="F224" s="536">
        <v>3270</v>
      </c>
      <c r="G224" s="535">
        <v>27123.25</v>
      </c>
      <c r="H224" s="535">
        <v>1277.25</v>
      </c>
      <c r="I224" s="535"/>
      <c r="J224" s="535">
        <v>17906.5</v>
      </c>
      <c r="K224" s="535">
        <v>4048.15</v>
      </c>
      <c r="L224" s="535">
        <v>90844.5</v>
      </c>
      <c r="M224" s="498">
        <f t="shared" si="18"/>
        <v>1543174.5399999998</v>
      </c>
      <c r="N224" s="243">
        <v>33568.9</v>
      </c>
      <c r="O224" s="243"/>
      <c r="P224" s="243">
        <v>16216.05</v>
      </c>
      <c r="Q224" s="243">
        <v>1584.64</v>
      </c>
      <c r="R224" s="243">
        <v>10651.8</v>
      </c>
      <c r="S224" s="535">
        <v>3119.28</v>
      </c>
      <c r="T224" s="498">
        <f t="shared" si="19"/>
        <v>1608315.2099999997</v>
      </c>
      <c r="U224" s="239">
        <v>-6356.74</v>
      </c>
      <c r="V224" s="243"/>
      <c r="W224" s="243">
        <v>-468.94</v>
      </c>
      <c r="X224" s="540">
        <v>68</v>
      </c>
      <c r="Y224" s="543">
        <v>1</v>
      </c>
      <c r="Z224" s="215">
        <v>614</v>
      </c>
      <c r="AA224" s="268"/>
      <c r="AB224" s="237">
        <v>21893</v>
      </c>
      <c r="AC224" s="443">
        <f>AB224/VPI!R224</f>
        <v>0.96604348619389924</v>
      </c>
      <c r="AD224" s="445">
        <f t="shared" si="20"/>
        <v>113801</v>
      </c>
      <c r="AE224" s="443">
        <f>AD224/VPI!R224</f>
        <v>5.0215463742909572</v>
      </c>
      <c r="AF224" s="237">
        <v>135694</v>
      </c>
      <c r="AG224" s="237">
        <v>40234</v>
      </c>
      <c r="AH224" s="237">
        <v>77747</v>
      </c>
      <c r="AI224" s="272"/>
      <c r="AJ224" s="8">
        <v>0</v>
      </c>
      <c r="AK224" s="443">
        <f>AJ224/VPI!R224</f>
        <v>0</v>
      </c>
      <c r="AL224" s="445">
        <f t="shared" si="21"/>
        <v>45576</v>
      </c>
      <c r="AM224" s="443">
        <f>AL224/VPI!R224</f>
        <v>2.0110719374582358</v>
      </c>
      <c r="AN224" s="8">
        <v>45576</v>
      </c>
      <c r="AO224" s="272"/>
      <c r="AP224" s="529">
        <v>24.471780899788222</v>
      </c>
      <c r="AR224" s="546">
        <v>0</v>
      </c>
      <c r="AT224" s="239">
        <f t="shared" si="22"/>
        <v>1543174.5399999998</v>
      </c>
      <c r="AU224" s="5">
        <f t="shared" si="23"/>
        <v>0</v>
      </c>
    </row>
    <row r="225" spans="1:47" x14ac:dyDescent="0.25">
      <c r="A225" s="192">
        <v>5764</v>
      </c>
      <c r="B225" s="447" t="s">
        <v>285</v>
      </c>
      <c r="C225" s="535">
        <v>4620859.66</v>
      </c>
      <c r="D225" s="535">
        <v>504803.39</v>
      </c>
      <c r="E225" s="535"/>
      <c r="F225" s="536"/>
      <c r="G225" s="535">
        <v>154009.15</v>
      </c>
      <c r="H225" s="535">
        <v>69183.649999999994</v>
      </c>
      <c r="I225" s="535"/>
      <c r="J225" s="535">
        <v>225664.27</v>
      </c>
      <c r="K225" s="535">
        <v>36099.75</v>
      </c>
      <c r="L225" s="535">
        <v>473941.1</v>
      </c>
      <c r="M225" s="498">
        <f t="shared" si="18"/>
        <v>6084560.9699999997</v>
      </c>
      <c r="N225" s="243">
        <v>2206248.75</v>
      </c>
      <c r="O225" s="243">
        <v>14462</v>
      </c>
      <c r="P225" s="243">
        <v>264458.65000000002</v>
      </c>
      <c r="Q225" s="243">
        <v>93962.65</v>
      </c>
      <c r="R225" s="243">
        <v>180308.7</v>
      </c>
      <c r="S225" s="535">
        <v>24513.63</v>
      </c>
      <c r="T225" s="498">
        <f t="shared" si="19"/>
        <v>8868515.3499999996</v>
      </c>
      <c r="U225" s="239">
        <v>-219535.31</v>
      </c>
      <c r="V225" s="243"/>
      <c r="W225" s="243">
        <v>-977.23</v>
      </c>
      <c r="X225" s="540">
        <v>71.5</v>
      </c>
      <c r="Y225" s="543">
        <v>1</v>
      </c>
      <c r="Z225" s="215">
        <v>3924</v>
      </c>
      <c r="AA225" s="268"/>
      <c r="AB225" s="237">
        <v>454011</v>
      </c>
      <c r="AC225" s="443">
        <f>AB225/VPI!R225</f>
        <v>5.4261015329763689</v>
      </c>
      <c r="AD225" s="445">
        <f t="shared" si="20"/>
        <v>1539811</v>
      </c>
      <c r="AE225" s="443">
        <f>AD225/VPI!R225</f>
        <v>18.403014084667277</v>
      </c>
      <c r="AF225" s="237">
        <v>1993822</v>
      </c>
      <c r="AG225" s="237">
        <v>426561</v>
      </c>
      <c r="AH225" s="237">
        <v>484460</v>
      </c>
      <c r="AI225" s="272"/>
      <c r="AJ225" s="8">
        <v>0</v>
      </c>
      <c r="AK225" s="443">
        <f>AJ225/VPI!R225</f>
        <v>0</v>
      </c>
      <c r="AL225" s="445">
        <f t="shared" si="21"/>
        <v>728541</v>
      </c>
      <c r="AM225" s="443">
        <f>AL225/VPI!R225</f>
        <v>8.7071402167263265</v>
      </c>
      <c r="AN225" s="8">
        <v>728541</v>
      </c>
      <c r="AO225" s="272"/>
      <c r="AP225" s="529">
        <v>6.2797899368949279</v>
      </c>
      <c r="AR225" s="546">
        <v>0</v>
      </c>
      <c r="AT225" s="239">
        <f t="shared" si="22"/>
        <v>6084560.9699999997</v>
      </c>
      <c r="AU225" s="5">
        <f t="shared" si="23"/>
        <v>0</v>
      </c>
    </row>
    <row r="226" spans="1:47" x14ac:dyDescent="0.25">
      <c r="A226" s="192">
        <v>5765</v>
      </c>
      <c r="B226" s="447" t="s">
        <v>286</v>
      </c>
      <c r="C226" s="535">
        <v>656390.6</v>
      </c>
      <c r="D226" s="535">
        <v>85574.49</v>
      </c>
      <c r="E226" s="535"/>
      <c r="F226" s="536"/>
      <c r="G226" s="535">
        <v>19373.099999999999</v>
      </c>
      <c r="H226" s="535">
        <v>859.7</v>
      </c>
      <c r="I226" s="535"/>
      <c r="J226" s="535">
        <v>9790.44</v>
      </c>
      <c r="K226" s="535"/>
      <c r="L226" s="535">
        <v>32613.9</v>
      </c>
      <c r="M226" s="498">
        <f t="shared" si="18"/>
        <v>804602.22999999986</v>
      </c>
      <c r="N226" s="243">
        <v>51234.400000000001</v>
      </c>
      <c r="O226" s="243">
        <v>1782</v>
      </c>
      <c r="P226" s="243">
        <v>42886.1</v>
      </c>
      <c r="Q226" s="243">
        <v>25491.74</v>
      </c>
      <c r="R226" s="243">
        <v>24421.15</v>
      </c>
      <c r="S226" s="535">
        <v>2222.1999999999998</v>
      </c>
      <c r="T226" s="498">
        <f t="shared" si="19"/>
        <v>952639.81999999983</v>
      </c>
      <c r="U226" s="239">
        <v>-32350.36</v>
      </c>
      <c r="V226" s="243"/>
      <c r="W226" s="243">
        <v>-11.32</v>
      </c>
      <c r="X226" s="540">
        <v>81</v>
      </c>
      <c r="Y226" s="543">
        <v>0.5</v>
      </c>
      <c r="Z226" s="215">
        <v>492</v>
      </c>
      <c r="AA226" s="268"/>
      <c r="AB226" s="237">
        <v>40628</v>
      </c>
      <c r="AC226" s="443">
        <f>AB226/VPI!R226</f>
        <v>3.9526698821702801</v>
      </c>
      <c r="AD226" s="445">
        <f t="shared" si="20"/>
        <v>135262</v>
      </c>
      <c r="AE226" s="443">
        <f>AD226/VPI!R226</f>
        <v>13.159545968349819</v>
      </c>
      <c r="AF226" s="237">
        <v>175890</v>
      </c>
      <c r="AG226" s="237">
        <v>22286</v>
      </c>
      <c r="AH226" s="237">
        <v>60773</v>
      </c>
      <c r="AI226" s="272"/>
      <c r="AJ226" s="8">
        <v>0</v>
      </c>
      <c r="AK226" s="443">
        <f>AJ226/VPI!R226</f>
        <v>0</v>
      </c>
      <c r="AL226" s="445">
        <f t="shared" si="21"/>
        <v>5276</v>
      </c>
      <c r="AM226" s="443">
        <f>AL226/VPI!R226</f>
        <v>0.51329837300212655</v>
      </c>
      <c r="AN226" s="8">
        <v>5276</v>
      </c>
      <c r="AO226" s="272"/>
      <c r="AP226" s="529">
        <v>6.0507811983227739</v>
      </c>
      <c r="AR226" s="546">
        <v>0</v>
      </c>
      <c r="AT226" s="239">
        <f t="shared" si="22"/>
        <v>804602.22999999986</v>
      </c>
      <c r="AU226" s="5">
        <f t="shared" si="23"/>
        <v>0</v>
      </c>
    </row>
    <row r="227" spans="1:47" x14ac:dyDescent="0.25">
      <c r="A227" s="192">
        <v>5766</v>
      </c>
      <c r="B227" s="447" t="s">
        <v>287</v>
      </c>
      <c r="C227" s="535">
        <v>915656.6</v>
      </c>
      <c r="D227" s="535">
        <v>130551.57</v>
      </c>
      <c r="E227" s="535"/>
      <c r="F227" s="536">
        <v>3770</v>
      </c>
      <c r="G227" s="535">
        <v>6922.1</v>
      </c>
      <c r="H227" s="535">
        <v>612.6</v>
      </c>
      <c r="I227" s="535"/>
      <c r="J227" s="535">
        <v>33734.78</v>
      </c>
      <c r="K227" s="535">
        <v>-3890.85</v>
      </c>
      <c r="L227" s="535">
        <v>59491</v>
      </c>
      <c r="M227" s="498">
        <f t="shared" si="18"/>
        <v>1146847.8</v>
      </c>
      <c r="N227" s="243">
        <v>29394.75</v>
      </c>
      <c r="O227" s="243"/>
      <c r="P227" s="243">
        <v>28165.7</v>
      </c>
      <c r="Q227" s="243">
        <v>638.48</v>
      </c>
      <c r="R227" s="243">
        <v>57992</v>
      </c>
      <c r="S227" s="535">
        <v>827.55</v>
      </c>
      <c r="T227" s="498">
        <f t="shared" si="19"/>
        <v>1263866.28</v>
      </c>
      <c r="U227" s="239">
        <v>-7221.79</v>
      </c>
      <c r="V227" s="243"/>
      <c r="W227" s="243">
        <v>-56.39</v>
      </c>
      <c r="X227" s="540">
        <v>75</v>
      </c>
      <c r="Y227" s="543">
        <v>0.7</v>
      </c>
      <c r="Z227" s="215">
        <v>591</v>
      </c>
      <c r="AA227" s="268"/>
      <c r="AB227" s="237">
        <v>14687</v>
      </c>
      <c r="AC227" s="443">
        <f>AB227/VPI!R227</f>
        <v>0.94427344950631464</v>
      </c>
      <c r="AD227" s="445">
        <f t="shared" si="20"/>
        <v>54376</v>
      </c>
      <c r="AE227" s="443">
        <f>AD227/VPI!R227</f>
        <v>3.4960041594849436</v>
      </c>
      <c r="AF227" s="237">
        <v>69063</v>
      </c>
      <c r="AG227" s="237">
        <v>64304</v>
      </c>
      <c r="AH227" s="237">
        <v>58723</v>
      </c>
      <c r="AI227" s="272"/>
      <c r="AJ227" s="8">
        <v>0</v>
      </c>
      <c r="AK227" s="443">
        <f>AJ227/VPI!R227</f>
        <v>0</v>
      </c>
      <c r="AL227" s="445">
        <f t="shared" si="21"/>
        <v>28970</v>
      </c>
      <c r="AM227" s="443">
        <f>AL227/VPI!R227</f>
        <v>1.8625724676379065</v>
      </c>
      <c r="AN227" s="8">
        <v>28970</v>
      </c>
      <c r="AO227" s="272"/>
      <c r="AP227" s="529">
        <v>14.729064815540836</v>
      </c>
      <c r="AR227" s="546">
        <v>0</v>
      </c>
      <c r="AT227" s="239">
        <f t="shared" si="22"/>
        <v>1146847.8</v>
      </c>
      <c r="AU227" s="5">
        <f t="shared" si="23"/>
        <v>0</v>
      </c>
    </row>
    <row r="228" spans="1:47" x14ac:dyDescent="0.25">
      <c r="A228" s="192">
        <v>5785</v>
      </c>
      <c r="B228" s="447" t="s">
        <v>239</v>
      </c>
      <c r="C228" s="535">
        <f>852658.63-1832.25</f>
        <v>850826.38</v>
      </c>
      <c r="D228" s="535">
        <v>156949.79999999999</v>
      </c>
      <c r="E228" s="535"/>
      <c r="F228" s="536"/>
      <c r="G228" s="535">
        <v>19642.8</v>
      </c>
      <c r="H228" s="535">
        <v>605.25</v>
      </c>
      <c r="I228" s="535"/>
      <c r="J228" s="535">
        <v>30363.09</v>
      </c>
      <c r="K228" s="535">
        <v>1577.1</v>
      </c>
      <c r="L228" s="535">
        <v>75819.350000000006</v>
      </c>
      <c r="M228" s="498">
        <f t="shared" si="18"/>
        <v>1135783.7700000003</v>
      </c>
      <c r="N228" s="243"/>
      <c r="O228" s="243">
        <v>-2728.8</v>
      </c>
      <c r="P228" s="243">
        <v>39548.5</v>
      </c>
      <c r="Q228" s="243">
        <v>6050.33</v>
      </c>
      <c r="R228" s="243">
        <v>39085.1</v>
      </c>
      <c r="S228" s="535">
        <v>2223.87</v>
      </c>
      <c r="T228" s="498">
        <f t="shared" si="19"/>
        <v>1219962.7700000005</v>
      </c>
      <c r="U228" s="239">
        <v>-20850.54</v>
      </c>
      <c r="V228" s="243"/>
      <c r="W228" s="243">
        <v>-621.45000000000005</v>
      </c>
      <c r="X228" s="540">
        <v>77</v>
      </c>
      <c r="Y228" s="543">
        <v>1</v>
      </c>
      <c r="Z228" s="215">
        <v>489</v>
      </c>
      <c r="AA228" s="268"/>
      <c r="AB228" s="237">
        <v>837</v>
      </c>
      <c r="AC228" s="443">
        <f>AB228/VPI!R228</f>
        <v>5.7411192682096386E-2</v>
      </c>
      <c r="AD228" s="445">
        <f t="shared" si="20"/>
        <v>94272</v>
      </c>
      <c r="AE228" s="443">
        <f>AD228/VPI!R228</f>
        <v>6.4662699600078737</v>
      </c>
      <c r="AF228" s="237">
        <v>95109</v>
      </c>
      <c r="AG228" s="237">
        <v>14640</v>
      </c>
      <c r="AH228" s="237">
        <v>66259</v>
      </c>
      <c r="AI228" s="272"/>
      <c r="AJ228" s="8">
        <v>0</v>
      </c>
      <c r="AK228" s="443">
        <f>AJ228/VPI!R228</f>
        <v>0</v>
      </c>
      <c r="AL228" s="445">
        <f t="shared" si="21"/>
        <v>37621</v>
      </c>
      <c r="AM228" s="443">
        <f>AL228/VPI!R228</f>
        <v>2.5804856390599142</v>
      </c>
      <c r="AN228" s="8">
        <v>37621</v>
      </c>
      <c r="AO228" s="272"/>
      <c r="AP228" s="529">
        <v>29.865358610724893</v>
      </c>
      <c r="AR228" s="546">
        <v>0</v>
      </c>
      <c r="AT228" s="239">
        <f t="shared" si="22"/>
        <v>1135783.7700000003</v>
      </c>
      <c r="AU228" s="5">
        <f t="shared" si="23"/>
        <v>0</v>
      </c>
    </row>
    <row r="229" spans="1:47" x14ac:dyDescent="0.25">
      <c r="A229" s="192">
        <v>5790</v>
      </c>
      <c r="B229" s="447" t="s">
        <v>240</v>
      </c>
      <c r="C229" s="535">
        <v>909350.15</v>
      </c>
      <c r="D229" s="535">
        <v>100614.88</v>
      </c>
      <c r="E229" s="535"/>
      <c r="F229" s="536"/>
      <c r="G229" s="535">
        <v>7465.15</v>
      </c>
      <c r="H229" s="535">
        <v>481.15</v>
      </c>
      <c r="I229" s="535"/>
      <c r="J229" s="535">
        <v>13334.81</v>
      </c>
      <c r="K229" s="535">
        <v>3472</v>
      </c>
      <c r="L229" s="535">
        <v>97410.7</v>
      </c>
      <c r="M229" s="498">
        <f t="shared" si="18"/>
        <v>1132128.8400000001</v>
      </c>
      <c r="N229" s="243">
        <v>5741.85</v>
      </c>
      <c r="O229" s="243"/>
      <c r="P229" s="243">
        <v>62894.35</v>
      </c>
      <c r="Q229" s="243"/>
      <c r="R229" s="243"/>
      <c r="S229" s="535">
        <v>872.76</v>
      </c>
      <c r="T229" s="498">
        <f t="shared" si="19"/>
        <v>1201637.8000000003</v>
      </c>
      <c r="U229" s="239">
        <v>-2396.16</v>
      </c>
      <c r="V229" s="243"/>
      <c r="W229" s="243">
        <v>-314.92</v>
      </c>
      <c r="X229" s="540">
        <v>74.5</v>
      </c>
      <c r="Y229" s="543">
        <v>1</v>
      </c>
      <c r="Z229" s="215">
        <v>547</v>
      </c>
      <c r="AA229" s="268"/>
      <c r="AB229" s="237">
        <v>29025</v>
      </c>
      <c r="AC229" s="443">
        <f>AB229/VPI!R229</f>
        <v>1.9131032789693749</v>
      </c>
      <c r="AD229" s="445">
        <f t="shared" si="20"/>
        <v>147401</v>
      </c>
      <c r="AE229" s="443">
        <f>AD229/VPI!R229</f>
        <v>9.7155326933114505</v>
      </c>
      <c r="AF229" s="237">
        <v>176426</v>
      </c>
      <c r="AG229" s="237">
        <v>17464</v>
      </c>
      <c r="AH229" s="237">
        <v>71977</v>
      </c>
      <c r="AI229" s="272"/>
      <c r="AJ229" s="8">
        <v>0</v>
      </c>
      <c r="AK229" s="443">
        <f>AJ229/VPI!R229</f>
        <v>0</v>
      </c>
      <c r="AL229" s="445">
        <f t="shared" si="21"/>
        <v>7815</v>
      </c>
      <c r="AM229" s="443">
        <f>AL229/VPI!R229</f>
        <v>0.51510429371733557</v>
      </c>
      <c r="AN229" s="8">
        <v>7815</v>
      </c>
      <c r="AO229" s="272"/>
      <c r="AP229" s="529">
        <v>12.119136041534537</v>
      </c>
      <c r="AR229" s="546">
        <v>0</v>
      </c>
      <c r="AT229" s="239">
        <f t="shared" si="22"/>
        <v>1132128.8400000001</v>
      </c>
      <c r="AU229" s="5">
        <f t="shared" si="23"/>
        <v>0</v>
      </c>
    </row>
    <row r="230" spans="1:47" x14ac:dyDescent="0.25">
      <c r="A230" s="192">
        <v>5792</v>
      </c>
      <c r="B230" s="447" t="s">
        <v>241</v>
      </c>
      <c r="C230" s="535">
        <v>1257925.3899999999</v>
      </c>
      <c r="D230" s="535">
        <v>122461.3</v>
      </c>
      <c r="E230" s="535"/>
      <c r="F230" s="536"/>
      <c r="G230" s="535">
        <v>-12748</v>
      </c>
      <c r="H230" s="535">
        <v>1814.8</v>
      </c>
      <c r="I230" s="535"/>
      <c r="J230" s="535">
        <v>26336.82</v>
      </c>
      <c r="K230" s="535">
        <v>2131.5</v>
      </c>
      <c r="L230" s="535">
        <v>121223.4</v>
      </c>
      <c r="M230" s="498">
        <f t="shared" si="18"/>
        <v>1519145.21</v>
      </c>
      <c r="N230" s="243">
        <v>681.3</v>
      </c>
      <c r="O230" s="243">
        <v>8751.4</v>
      </c>
      <c r="P230" s="243">
        <v>94919.1</v>
      </c>
      <c r="Q230" s="243">
        <v>5083.87</v>
      </c>
      <c r="R230" s="243">
        <v>70944.45</v>
      </c>
      <c r="S230" s="535">
        <v>0</v>
      </c>
      <c r="T230" s="498">
        <f t="shared" si="19"/>
        <v>1699525.33</v>
      </c>
      <c r="U230" s="239">
        <v>-1933.93</v>
      </c>
      <c r="V230" s="243"/>
      <c r="W230" s="243">
        <v>-46.19</v>
      </c>
      <c r="X230" s="540">
        <v>75.5</v>
      </c>
      <c r="Y230" s="543">
        <v>1</v>
      </c>
      <c r="Z230" s="215">
        <v>662</v>
      </c>
      <c r="AA230" s="268"/>
      <c r="AB230" s="237">
        <v>61999</v>
      </c>
      <c r="AC230" s="443">
        <f>AB230/VPI!R230</f>
        <v>3.0750058781449252</v>
      </c>
      <c r="AD230" s="445">
        <f t="shared" si="20"/>
        <v>172200</v>
      </c>
      <c r="AE230" s="443">
        <f>AD230/VPI!R230</f>
        <v>8.5407185957282561</v>
      </c>
      <c r="AF230" s="237">
        <v>234199</v>
      </c>
      <c r="AG230" s="237">
        <v>31795</v>
      </c>
      <c r="AH230" s="237">
        <v>89812</v>
      </c>
      <c r="AI230" s="272"/>
      <c r="AJ230" s="8">
        <v>0</v>
      </c>
      <c r="AK230" s="443">
        <f>AJ230/VPI!R230</f>
        <v>0</v>
      </c>
      <c r="AL230" s="445">
        <f t="shared" si="21"/>
        <v>-11349</v>
      </c>
      <c r="AM230" s="443">
        <f>AL230/VPI!R230</f>
        <v>-0.56288394508083606</v>
      </c>
      <c r="AN230" s="8">
        <v>-11349</v>
      </c>
      <c r="AO230" s="272"/>
      <c r="AP230" s="529">
        <v>16.327674377357035</v>
      </c>
      <c r="AR230" s="546">
        <v>0</v>
      </c>
      <c r="AT230" s="239">
        <f t="shared" si="22"/>
        <v>1519145.21</v>
      </c>
      <c r="AU230" s="5">
        <f t="shared" si="23"/>
        <v>0</v>
      </c>
    </row>
    <row r="231" spans="1:47" x14ac:dyDescent="0.25">
      <c r="A231" s="192">
        <v>5798</v>
      </c>
      <c r="B231" s="447" t="s">
        <v>242</v>
      </c>
      <c r="C231" s="535">
        <v>1049617.8700000001</v>
      </c>
      <c r="D231" s="535">
        <v>114948.42</v>
      </c>
      <c r="E231" s="535"/>
      <c r="F231" s="536"/>
      <c r="G231" s="535">
        <v>50562.1</v>
      </c>
      <c r="H231" s="535">
        <v>2223.6</v>
      </c>
      <c r="I231" s="535"/>
      <c r="J231" s="535">
        <v>40765.65</v>
      </c>
      <c r="K231" s="535">
        <v>10881.05</v>
      </c>
      <c r="L231" s="535">
        <v>88918.1</v>
      </c>
      <c r="M231" s="498">
        <f t="shared" si="18"/>
        <v>1357916.7900000003</v>
      </c>
      <c r="N231" s="243">
        <v>19232.099999999999</v>
      </c>
      <c r="O231" s="243"/>
      <c r="P231" s="243">
        <v>45540</v>
      </c>
      <c r="Q231" s="243">
        <v>3820.21</v>
      </c>
      <c r="R231" s="243">
        <v>80957</v>
      </c>
      <c r="S231" s="535">
        <v>5797.54</v>
      </c>
      <c r="T231" s="498">
        <f t="shared" si="19"/>
        <v>1513263.6400000004</v>
      </c>
      <c r="U231" s="239">
        <v>-15733.32</v>
      </c>
      <c r="V231" s="243"/>
      <c r="W231" s="243">
        <v>-9.9</v>
      </c>
      <c r="X231" s="540">
        <v>77.5</v>
      </c>
      <c r="Y231" s="543">
        <v>1</v>
      </c>
      <c r="Z231" s="215">
        <v>534</v>
      </c>
      <c r="AA231" s="268"/>
      <c r="AB231" s="237">
        <v>13392</v>
      </c>
      <c r="AC231" s="443">
        <f>AB231/VPI!R231</f>
        <v>0.76778122824460804</v>
      </c>
      <c r="AD231" s="445">
        <f t="shared" si="20"/>
        <v>93359</v>
      </c>
      <c r="AE231" s="443">
        <f>AD231/VPI!R231</f>
        <v>5.352396034026909</v>
      </c>
      <c r="AF231" s="237">
        <v>106751</v>
      </c>
      <c r="AG231" s="237">
        <v>17139</v>
      </c>
      <c r="AH231" s="237">
        <v>84653</v>
      </c>
      <c r="AI231" s="272"/>
      <c r="AJ231" s="8">
        <v>0</v>
      </c>
      <c r="AK231" s="443">
        <f>AJ231/VPI!R231</f>
        <v>0</v>
      </c>
      <c r="AL231" s="445">
        <f t="shared" si="21"/>
        <v>-4834</v>
      </c>
      <c r="AM231" s="443">
        <f>AL231/VPI!R231</f>
        <v>-0.27713966975316873</v>
      </c>
      <c r="AN231" s="8">
        <v>-4834</v>
      </c>
      <c r="AO231" s="272"/>
      <c r="AP231" s="529">
        <v>19.074304489898964</v>
      </c>
      <c r="AR231" s="546">
        <v>0</v>
      </c>
      <c r="AT231" s="239">
        <f t="shared" si="22"/>
        <v>1357916.7900000003</v>
      </c>
      <c r="AU231" s="5">
        <f t="shared" si="23"/>
        <v>0</v>
      </c>
    </row>
    <row r="232" spans="1:47" x14ac:dyDescent="0.25">
      <c r="A232" s="192">
        <v>5799</v>
      </c>
      <c r="B232" s="447" t="s">
        <v>243</v>
      </c>
      <c r="C232" s="535">
        <v>3879902.98</v>
      </c>
      <c r="D232" s="535">
        <v>569883.13</v>
      </c>
      <c r="E232" s="535"/>
      <c r="F232" s="536"/>
      <c r="G232" s="535">
        <v>46805.75</v>
      </c>
      <c r="H232" s="535">
        <v>2023.3</v>
      </c>
      <c r="I232" s="535"/>
      <c r="J232" s="535">
        <v>42510.8</v>
      </c>
      <c r="K232" s="535">
        <v>20358.650000000001</v>
      </c>
      <c r="L232" s="535">
        <v>416840.95</v>
      </c>
      <c r="M232" s="498">
        <f t="shared" si="18"/>
        <v>4978325.5600000005</v>
      </c>
      <c r="N232" s="243">
        <v>33537.599999999999</v>
      </c>
      <c r="O232" s="243">
        <v>55082.6</v>
      </c>
      <c r="P232" s="243">
        <v>185338.5</v>
      </c>
      <c r="Q232" s="243">
        <v>350.73</v>
      </c>
      <c r="R232" s="243">
        <v>237738.1</v>
      </c>
      <c r="S232" s="535">
        <v>5362.97</v>
      </c>
      <c r="T232" s="498">
        <f t="shared" si="19"/>
        <v>5495736.0599999996</v>
      </c>
      <c r="U232" s="239">
        <v>-33285.89</v>
      </c>
      <c r="V232" s="243"/>
      <c r="W232" s="243">
        <v>-566.70000000000005</v>
      </c>
      <c r="X232" s="540">
        <v>69</v>
      </c>
      <c r="Y232" s="543">
        <v>1</v>
      </c>
      <c r="Z232" s="215">
        <v>2107</v>
      </c>
      <c r="AA232" s="268"/>
      <c r="AB232" s="237">
        <v>238569</v>
      </c>
      <c r="AC232" s="443">
        <f>AB232/VPI!R232</f>
        <v>3.3253818688821277</v>
      </c>
      <c r="AD232" s="445">
        <f t="shared" si="20"/>
        <v>369001</v>
      </c>
      <c r="AE232" s="443">
        <f>AD232/VPI!R232</f>
        <v>5.1434563375768603</v>
      </c>
      <c r="AF232" s="237">
        <v>607570</v>
      </c>
      <c r="AG232" s="237">
        <v>101081</v>
      </c>
      <c r="AH232" s="237">
        <v>315474</v>
      </c>
      <c r="AI232" s="272"/>
      <c r="AJ232" s="8">
        <v>0</v>
      </c>
      <c r="AK232" s="443">
        <f>AJ232/VPI!R232</f>
        <v>0</v>
      </c>
      <c r="AL232" s="445">
        <f t="shared" si="21"/>
        <v>55862</v>
      </c>
      <c r="AM232" s="443">
        <f>AL232/VPI!R232</f>
        <v>0.77865306037034743</v>
      </c>
      <c r="AN232" s="8">
        <v>55862</v>
      </c>
      <c r="AO232" s="272"/>
      <c r="AP232" s="529">
        <v>23.580424361338224</v>
      </c>
      <c r="AR232" s="546">
        <v>0</v>
      </c>
      <c r="AT232" s="239">
        <f t="shared" si="22"/>
        <v>4978325.5600000005</v>
      </c>
      <c r="AU232" s="5">
        <f t="shared" si="23"/>
        <v>0</v>
      </c>
    </row>
    <row r="233" spans="1:47" x14ac:dyDescent="0.25">
      <c r="A233" s="192">
        <v>5803</v>
      </c>
      <c r="B233" s="447" t="s">
        <v>314</v>
      </c>
      <c r="C233" s="535">
        <v>1098597.54</v>
      </c>
      <c r="D233" s="535">
        <v>167197.06</v>
      </c>
      <c r="E233" s="535"/>
      <c r="F233" s="536"/>
      <c r="G233" s="535">
        <v>2876.7</v>
      </c>
      <c r="H233" s="535">
        <v>368.1</v>
      </c>
      <c r="I233" s="535"/>
      <c r="J233" s="535">
        <v>22871.35</v>
      </c>
      <c r="K233" s="535"/>
      <c r="L233" s="535">
        <v>103408.85</v>
      </c>
      <c r="M233" s="498">
        <f t="shared" si="18"/>
        <v>1395319.6000000003</v>
      </c>
      <c r="N233" s="243">
        <v>898.7</v>
      </c>
      <c r="O233" s="243">
        <v>-3273.2</v>
      </c>
      <c r="P233" s="243">
        <v>71500</v>
      </c>
      <c r="Q233" s="243">
        <v>29.96</v>
      </c>
      <c r="R233" s="243">
        <v>39305.199999999997</v>
      </c>
      <c r="S233" s="535">
        <v>356.38</v>
      </c>
      <c r="T233" s="498">
        <f t="shared" si="19"/>
        <v>1504136.6400000001</v>
      </c>
      <c r="U233" s="239">
        <v>-27436.33</v>
      </c>
      <c r="V233" s="243"/>
      <c r="W233" s="243">
        <v>-570.45000000000005</v>
      </c>
      <c r="X233" s="540">
        <v>76</v>
      </c>
      <c r="Y233" s="543">
        <v>1</v>
      </c>
      <c r="Z233" s="215">
        <v>631</v>
      </c>
      <c r="AA233" s="268"/>
      <c r="AB233" s="237">
        <v>19052</v>
      </c>
      <c r="AC233" s="443">
        <f>AB233/VPI!R233</f>
        <v>1.0586772605753445</v>
      </c>
      <c r="AD233" s="445">
        <f t="shared" si="20"/>
        <v>81481</v>
      </c>
      <c r="AE233" s="443">
        <f>AD233/VPI!R233</f>
        <v>4.5277179229970423</v>
      </c>
      <c r="AF233" s="237">
        <v>100533</v>
      </c>
      <c r="AG233" s="237">
        <v>20255</v>
      </c>
      <c r="AH233" s="237">
        <v>101465</v>
      </c>
      <c r="AI233" s="272"/>
      <c r="AJ233" s="8">
        <v>0</v>
      </c>
      <c r="AK233" s="443">
        <f>AJ233/VPI!R233</f>
        <v>0</v>
      </c>
      <c r="AL233" s="445">
        <f t="shared" si="21"/>
        <v>6057</v>
      </c>
      <c r="AM233" s="443">
        <f>AL233/VPI!R233</f>
        <v>0.33657401675965054</v>
      </c>
      <c r="AN233" s="8">
        <v>6057</v>
      </c>
      <c r="AO233" s="272"/>
      <c r="AP233" s="529">
        <v>19.221294801667248</v>
      </c>
      <c r="AR233" s="546">
        <v>0</v>
      </c>
      <c r="AT233" s="239">
        <f t="shared" si="22"/>
        <v>1395319.6000000003</v>
      </c>
      <c r="AU233" s="5">
        <f t="shared" si="23"/>
        <v>0</v>
      </c>
    </row>
    <row r="234" spans="1:47" x14ac:dyDescent="0.25">
      <c r="A234" s="192">
        <v>5804</v>
      </c>
      <c r="B234" s="447" t="s">
        <v>347</v>
      </c>
      <c r="C234" s="535">
        <v>2633702.9500000002</v>
      </c>
      <c r="D234" s="535">
        <v>400236.97</v>
      </c>
      <c r="E234" s="535"/>
      <c r="F234" s="536"/>
      <c r="G234" s="535">
        <v>26017.7</v>
      </c>
      <c r="H234" s="535">
        <v>1652.15</v>
      </c>
      <c r="I234" s="535"/>
      <c r="J234" s="535">
        <v>54059.41</v>
      </c>
      <c r="K234" s="535">
        <v>3278.5</v>
      </c>
      <c r="L234" s="535">
        <v>274777.40000000002</v>
      </c>
      <c r="M234" s="498">
        <f t="shared" si="18"/>
        <v>3393725.08</v>
      </c>
      <c r="N234" s="243">
        <v>15774.9</v>
      </c>
      <c r="O234" s="243">
        <v>40418.400000000001</v>
      </c>
      <c r="P234" s="243">
        <v>79980</v>
      </c>
      <c r="Q234" s="243">
        <v>6872.94</v>
      </c>
      <c r="R234" s="243">
        <v>41713.65</v>
      </c>
      <c r="S234" s="535">
        <v>3039.03</v>
      </c>
      <c r="T234" s="498">
        <f t="shared" si="19"/>
        <v>3581523.9999999995</v>
      </c>
      <c r="U234" s="239">
        <v>-99710.62</v>
      </c>
      <c r="V234" s="243"/>
      <c r="W234" s="243">
        <v>-784.42</v>
      </c>
      <c r="X234" s="540">
        <v>70.5</v>
      </c>
      <c r="Y234" s="543">
        <v>1</v>
      </c>
      <c r="Z234" s="215">
        <v>1603</v>
      </c>
      <c r="AA234" s="268"/>
      <c r="AB234" s="237">
        <v>60028</v>
      </c>
      <c r="AC234" s="443">
        <f>AB234/VPI!R234</f>
        <v>1.2811965053842782</v>
      </c>
      <c r="AD234" s="445">
        <f t="shared" si="20"/>
        <v>687863</v>
      </c>
      <c r="AE234" s="443">
        <f>AD234/VPI!R234</f>
        <v>14.681276600638798</v>
      </c>
      <c r="AF234" s="237">
        <v>747891</v>
      </c>
      <c r="AG234" s="237">
        <v>52001</v>
      </c>
      <c r="AH234" s="237">
        <v>140880</v>
      </c>
      <c r="AI234" s="272"/>
      <c r="AJ234" s="8">
        <v>0</v>
      </c>
      <c r="AK234" s="443">
        <f>AJ234/VPI!R234</f>
        <v>0</v>
      </c>
      <c r="AL234" s="445">
        <f t="shared" si="21"/>
        <v>189436</v>
      </c>
      <c r="AM234" s="443">
        <f>AL234/VPI!R234</f>
        <v>4.0431921968743936</v>
      </c>
      <c r="AN234" s="8">
        <v>189436</v>
      </c>
      <c r="AO234" s="272"/>
      <c r="AP234" s="529">
        <v>19.264549135353793</v>
      </c>
      <c r="AR234" s="546">
        <v>0</v>
      </c>
      <c r="AT234" s="239">
        <f t="shared" si="22"/>
        <v>3393725.08</v>
      </c>
      <c r="AU234" s="5">
        <f t="shared" si="23"/>
        <v>0</v>
      </c>
    </row>
    <row r="235" spans="1:47" s="239" customFormat="1" x14ac:dyDescent="0.25">
      <c r="A235" s="192">
        <v>5805</v>
      </c>
      <c r="B235" s="447" t="s">
        <v>349</v>
      </c>
      <c r="C235" s="535">
        <v>9035970.3300000001</v>
      </c>
      <c r="D235" s="535">
        <v>1206538.4100000001</v>
      </c>
      <c r="E235" s="535">
        <v>0</v>
      </c>
      <c r="F235" s="535">
        <v>0</v>
      </c>
      <c r="G235" s="535">
        <v>638627.05000000005</v>
      </c>
      <c r="H235" s="535">
        <v>56152.800000000003</v>
      </c>
      <c r="I235" s="535">
        <v>37768.199999999997</v>
      </c>
      <c r="J235" s="535">
        <v>196998.5</v>
      </c>
      <c r="K235" s="535">
        <v>87060.1</v>
      </c>
      <c r="L235" s="535">
        <v>1170754.45</v>
      </c>
      <c r="M235" s="498">
        <f t="shared" si="18"/>
        <v>12429869.84</v>
      </c>
      <c r="N235" s="535">
        <v>100890.6</v>
      </c>
      <c r="O235" s="535">
        <v>-81995.3</v>
      </c>
      <c r="P235" s="535">
        <v>429088.05</v>
      </c>
      <c r="Q235" s="535">
        <v>55475.61</v>
      </c>
      <c r="R235" s="535">
        <v>260951.75</v>
      </c>
      <c r="S235" s="535">
        <v>76308.81</v>
      </c>
      <c r="T235" s="498">
        <f t="shared" si="19"/>
        <v>13270589.359999999</v>
      </c>
      <c r="U235" s="535">
        <v>-305203.15999999997</v>
      </c>
      <c r="V235" s="535">
        <v>0</v>
      </c>
      <c r="W235" s="535">
        <v>-1444.1799999999998</v>
      </c>
      <c r="X235" s="535">
        <v>69.19</v>
      </c>
      <c r="Y235" s="535">
        <v>1.1100000000000001</v>
      </c>
      <c r="Z235" s="215">
        <v>6100</v>
      </c>
      <c r="AA235" s="535"/>
      <c r="AB235" s="559">
        <v>332699</v>
      </c>
      <c r="AC235" s="443">
        <f>AB235/VPI!R235</f>
        <v>1.8963234173071659</v>
      </c>
      <c r="AD235" s="445">
        <f t="shared" si="20"/>
        <v>1073466</v>
      </c>
      <c r="AE235" s="443">
        <f>AD235/VPI!R235</f>
        <v>6.1185597596718182</v>
      </c>
      <c r="AF235" s="559">
        <v>1406165</v>
      </c>
      <c r="AG235" s="559">
        <v>478497</v>
      </c>
      <c r="AH235" s="559">
        <v>817338</v>
      </c>
      <c r="AI235" s="550"/>
      <c r="AJ235" s="535">
        <f>+AJ324</f>
        <v>0</v>
      </c>
      <c r="AK235" s="443">
        <f>AJ235/VPI!R235</f>
        <v>0</v>
      </c>
      <c r="AL235" s="445">
        <f t="shared" si="21"/>
        <v>26137</v>
      </c>
      <c r="AM235" s="443">
        <f>AL235/VPI!R235</f>
        <v>0.14897611702517108</v>
      </c>
      <c r="AN235" s="8">
        <v>26137</v>
      </c>
      <c r="AO235" s="550"/>
      <c r="AP235" s="529">
        <v>10.00369788428109</v>
      </c>
      <c r="AQ235" s="535"/>
      <c r="AR235" s="546">
        <v>0</v>
      </c>
      <c r="AT235" s="239">
        <f t="shared" si="22"/>
        <v>12429869.84</v>
      </c>
      <c r="AU235" s="5">
        <f t="shared" si="23"/>
        <v>0</v>
      </c>
    </row>
    <row r="236" spans="1:47" x14ac:dyDescent="0.25">
      <c r="A236" s="192">
        <v>5806</v>
      </c>
      <c r="B236" s="447" t="s">
        <v>374</v>
      </c>
      <c r="C236" s="535">
        <v>5886434.3899999997</v>
      </c>
      <c r="D236" s="535">
        <v>689127.9</v>
      </c>
      <c r="E236" s="535"/>
      <c r="F236" s="536"/>
      <c r="G236" s="535">
        <v>172289.5</v>
      </c>
      <c r="H236" s="535">
        <v>6521.75</v>
      </c>
      <c r="I236" s="535">
        <v>53357.25</v>
      </c>
      <c r="J236" s="535">
        <v>79955.679999999993</v>
      </c>
      <c r="K236" s="535">
        <v>25070.35</v>
      </c>
      <c r="L236" s="535">
        <v>530879.35</v>
      </c>
      <c r="M236" s="498">
        <f t="shared" si="18"/>
        <v>7443636.169999999</v>
      </c>
      <c r="N236" s="243">
        <v>31196.15</v>
      </c>
      <c r="O236" s="243">
        <v>130916.2</v>
      </c>
      <c r="P236" s="243">
        <v>484897.95</v>
      </c>
      <c r="Q236" s="243">
        <v>22479.03</v>
      </c>
      <c r="R236" s="243">
        <v>355717.5</v>
      </c>
      <c r="S236" s="535">
        <v>19639.13</v>
      </c>
      <c r="T236" s="498">
        <f t="shared" si="19"/>
        <v>8488482.1300000008</v>
      </c>
      <c r="U236" s="239">
        <v>-33808.839999999997</v>
      </c>
      <c r="V236" s="243"/>
      <c r="W236" s="243">
        <v>-883.54</v>
      </c>
      <c r="X236" s="540">
        <v>73</v>
      </c>
      <c r="Y236" s="543">
        <v>1</v>
      </c>
      <c r="Z236" s="215">
        <v>3095</v>
      </c>
      <c r="AA236" s="268"/>
      <c r="AB236" s="237">
        <v>276506</v>
      </c>
      <c r="AC236" s="443">
        <f>AB236/VPI!R236</f>
        <v>2.7090015001150274</v>
      </c>
      <c r="AD236" s="445">
        <f t="shared" si="20"/>
        <v>471667</v>
      </c>
      <c r="AE236" s="443">
        <f>AD236/VPI!R236</f>
        <v>4.6210447894611857</v>
      </c>
      <c r="AF236" s="237">
        <v>748173</v>
      </c>
      <c r="AG236" s="237">
        <v>144416</v>
      </c>
      <c r="AH236" s="237">
        <v>470536</v>
      </c>
      <c r="AI236" s="272"/>
      <c r="AJ236" s="8">
        <v>0</v>
      </c>
      <c r="AK236" s="443">
        <f>AJ236/VPI!R236</f>
        <v>0</v>
      </c>
      <c r="AL236" s="445">
        <f t="shared" si="21"/>
        <v>61641</v>
      </c>
      <c r="AM236" s="443">
        <f>AL236/VPI!R236</f>
        <v>0.6039129764583423</v>
      </c>
      <c r="AN236" s="8">
        <v>61641</v>
      </c>
      <c r="AO236" s="272"/>
      <c r="AP236" s="529">
        <v>17.155811150183524</v>
      </c>
      <c r="AR236" s="546">
        <v>0</v>
      </c>
      <c r="AT236" s="239">
        <f t="shared" si="22"/>
        <v>7443636.169999999</v>
      </c>
      <c r="AU236" s="5">
        <f t="shared" si="23"/>
        <v>0</v>
      </c>
    </row>
    <row r="237" spans="1:47" x14ac:dyDescent="0.25">
      <c r="A237" s="192">
        <v>5812</v>
      </c>
      <c r="B237" s="447" t="s">
        <v>315</v>
      </c>
      <c r="C237" s="535">
        <v>221083.5</v>
      </c>
      <c r="D237" s="535">
        <v>23548.09</v>
      </c>
      <c r="E237" s="535"/>
      <c r="F237" s="536"/>
      <c r="G237" s="535">
        <v>-2112.35</v>
      </c>
      <c r="H237" s="535">
        <v>628.4</v>
      </c>
      <c r="I237" s="535"/>
      <c r="J237" s="535">
        <v>526.65</v>
      </c>
      <c r="K237" s="535">
        <v>894.75</v>
      </c>
      <c r="L237" s="535">
        <v>14994.2</v>
      </c>
      <c r="M237" s="498">
        <f t="shared" si="18"/>
        <v>259563.24</v>
      </c>
      <c r="N237" s="243"/>
      <c r="O237" s="243">
        <v>926.3</v>
      </c>
      <c r="P237" s="243">
        <v>12760</v>
      </c>
      <c r="Q237" s="243">
        <v>381.99</v>
      </c>
      <c r="R237" s="243">
        <v>525</v>
      </c>
      <c r="S237" s="535">
        <v>0</v>
      </c>
      <c r="T237" s="498">
        <f t="shared" si="19"/>
        <v>274156.52999999997</v>
      </c>
      <c r="U237" s="239">
        <v>-5587.26</v>
      </c>
      <c r="V237" s="243"/>
      <c r="W237" s="243">
        <v>-53.85</v>
      </c>
      <c r="X237" s="540">
        <v>77</v>
      </c>
      <c r="Y237" s="543">
        <v>0.8</v>
      </c>
      <c r="Z237" s="215">
        <v>169</v>
      </c>
      <c r="AA237" s="268"/>
      <c r="AB237" s="237">
        <v>14747</v>
      </c>
      <c r="AC237" s="443">
        <f>AB237/VPI!R237</f>
        <v>4.4003381170208398</v>
      </c>
      <c r="AD237" s="445">
        <f t="shared" si="20"/>
        <v>16238</v>
      </c>
      <c r="AE237" s="443">
        <f>AD237/VPI!R237</f>
        <v>4.8452356644866343</v>
      </c>
      <c r="AF237" s="237">
        <v>30985</v>
      </c>
      <c r="AG237" s="237">
        <v>5243</v>
      </c>
      <c r="AH237" s="237">
        <v>17677</v>
      </c>
      <c r="AI237" s="272"/>
      <c r="AJ237" s="8">
        <v>67</v>
      </c>
      <c r="AK237" s="443">
        <f>AJ237/VPI!R237</f>
        <v>1.999204270973054E-2</v>
      </c>
      <c r="AL237" s="445">
        <f t="shared" si="21"/>
        <v>1029</v>
      </c>
      <c r="AM237" s="443">
        <f>AL237/VPI!R237</f>
        <v>0.30704196937780187</v>
      </c>
      <c r="AN237" s="8">
        <v>1096</v>
      </c>
      <c r="AO237" s="272"/>
      <c r="AP237" s="529">
        <v>-7.1193103241017264</v>
      </c>
      <c r="AR237" s="546">
        <v>0</v>
      </c>
      <c r="AT237" s="239">
        <f t="shared" si="22"/>
        <v>259563.24</v>
      </c>
      <c r="AU237" s="5">
        <f t="shared" si="23"/>
        <v>0</v>
      </c>
    </row>
    <row r="238" spans="1:47" x14ac:dyDescent="0.25">
      <c r="A238" s="192">
        <v>5813</v>
      </c>
      <c r="B238" s="447" t="s">
        <v>316</v>
      </c>
      <c r="C238" s="535">
        <v>821563.15</v>
      </c>
      <c r="D238" s="535">
        <v>103004.27</v>
      </c>
      <c r="E238" s="535"/>
      <c r="F238" s="536">
        <v>3210</v>
      </c>
      <c r="G238" s="535">
        <v>31643.200000000001</v>
      </c>
      <c r="H238" s="535">
        <v>585</v>
      </c>
      <c r="I238" s="535"/>
      <c r="J238" s="535">
        <v>16389.599999999999</v>
      </c>
      <c r="K238" s="535"/>
      <c r="L238" s="535">
        <v>114106.05</v>
      </c>
      <c r="M238" s="498">
        <f t="shared" si="18"/>
        <v>1090501.27</v>
      </c>
      <c r="N238" s="243"/>
      <c r="O238" s="243">
        <v>3090.9</v>
      </c>
      <c r="P238" s="243">
        <v>79172.3</v>
      </c>
      <c r="Q238" s="243">
        <v>147.9</v>
      </c>
      <c r="R238" s="243">
        <v>70066.399999999994</v>
      </c>
      <c r="S238" s="535">
        <v>3539.67</v>
      </c>
      <c r="T238" s="498">
        <f t="shared" si="19"/>
        <v>1246518.4399999997</v>
      </c>
      <c r="U238" s="239">
        <v>-28813.71</v>
      </c>
      <c r="V238" s="243"/>
      <c r="W238" s="243">
        <v>0</v>
      </c>
      <c r="X238" s="540">
        <v>68.5</v>
      </c>
      <c r="Y238" s="543">
        <v>1.2</v>
      </c>
      <c r="Z238" s="215">
        <v>506</v>
      </c>
      <c r="AA238" s="268"/>
      <c r="AB238" s="237">
        <v>191705</v>
      </c>
      <c r="AC238" s="443">
        <f>AB238/VPI!R238</f>
        <v>12.550006154445565</v>
      </c>
      <c r="AD238" s="445">
        <f t="shared" si="20"/>
        <v>321972</v>
      </c>
      <c r="AE238" s="443">
        <f>AD238/VPI!R238</f>
        <v>21.07796135499412</v>
      </c>
      <c r="AF238" s="237">
        <v>513677</v>
      </c>
      <c r="AG238" s="237">
        <v>27035</v>
      </c>
      <c r="AH238" s="237">
        <v>40745</v>
      </c>
      <c r="AI238" s="272"/>
      <c r="AJ238" s="8">
        <v>0</v>
      </c>
      <c r="AK238" s="443">
        <f>AJ238/VPI!R238</f>
        <v>0</v>
      </c>
      <c r="AL238" s="445">
        <f t="shared" si="21"/>
        <v>6159</v>
      </c>
      <c r="AM238" s="443">
        <f>AL238/VPI!R238</f>
        <v>0.40320016642878503</v>
      </c>
      <c r="AN238" s="8">
        <v>6159</v>
      </c>
      <c r="AO238" s="272"/>
      <c r="AP238" s="529">
        <v>21.971941520435372</v>
      </c>
      <c r="AR238" s="546">
        <v>0</v>
      </c>
      <c r="AT238" s="239">
        <f t="shared" si="22"/>
        <v>1090501.27</v>
      </c>
      <c r="AU238" s="5">
        <f t="shared" si="23"/>
        <v>0</v>
      </c>
    </row>
    <row r="239" spans="1:47" x14ac:dyDescent="0.25">
      <c r="A239" s="192">
        <v>5816</v>
      </c>
      <c r="B239" s="447" t="s">
        <v>5</v>
      </c>
      <c r="C239" s="535">
        <v>3392362.82</v>
      </c>
      <c r="D239" s="535">
        <v>363823.59</v>
      </c>
      <c r="E239" s="535"/>
      <c r="F239" s="536"/>
      <c r="G239" s="535">
        <v>173750</v>
      </c>
      <c r="H239" s="535">
        <v>32729.7</v>
      </c>
      <c r="I239" s="535"/>
      <c r="J239" s="535">
        <v>169156.29</v>
      </c>
      <c r="K239" s="535">
        <v>27650.1</v>
      </c>
      <c r="L239" s="535">
        <v>270763.8</v>
      </c>
      <c r="M239" s="498">
        <f t="shared" si="18"/>
        <v>4430236.3</v>
      </c>
      <c r="N239" s="243">
        <v>25265.5</v>
      </c>
      <c r="O239" s="243">
        <v>1269.9000000000001</v>
      </c>
      <c r="P239" s="243">
        <v>157913.5</v>
      </c>
      <c r="Q239" s="243">
        <v>52136.26</v>
      </c>
      <c r="R239" s="243">
        <v>96820.05</v>
      </c>
      <c r="S239" s="535">
        <v>22678</v>
      </c>
      <c r="T239" s="498">
        <f t="shared" si="19"/>
        <v>4786319.51</v>
      </c>
      <c r="U239" s="239">
        <v>-124649.64</v>
      </c>
      <c r="V239" s="243"/>
      <c r="W239" s="243">
        <v>-39.9</v>
      </c>
      <c r="X239" s="540">
        <v>68.5</v>
      </c>
      <c r="Y239" s="543">
        <v>0.7</v>
      </c>
      <c r="Z239" s="215">
        <v>2722</v>
      </c>
      <c r="AA239" s="268"/>
      <c r="AB239" s="237">
        <v>136743</v>
      </c>
      <c r="AC239" s="443">
        <f>AB239/VPI!R239</f>
        <v>2.0831976653549917</v>
      </c>
      <c r="AD239" s="445">
        <f t="shared" si="20"/>
        <v>431706</v>
      </c>
      <c r="AE239" s="443">
        <f>AD239/VPI!R239</f>
        <v>6.5767822215377905</v>
      </c>
      <c r="AF239" s="237">
        <v>568449</v>
      </c>
      <c r="AG239" s="237">
        <v>244040</v>
      </c>
      <c r="AH239" s="237">
        <v>215447</v>
      </c>
      <c r="AI239" s="272"/>
      <c r="AJ239" s="8">
        <v>0</v>
      </c>
      <c r="AK239" s="443">
        <f>AJ239/VPI!R239</f>
        <v>0</v>
      </c>
      <c r="AL239" s="445">
        <f t="shared" si="21"/>
        <v>8787</v>
      </c>
      <c r="AM239" s="443">
        <f>AL239/VPI!R239</f>
        <v>0.13386467962143811</v>
      </c>
      <c r="AN239" s="8">
        <v>8787</v>
      </c>
      <c r="AO239" s="272"/>
      <c r="AP239" s="529">
        <v>5.3834256837167684</v>
      </c>
      <c r="AR239" s="546">
        <v>0</v>
      </c>
      <c r="AT239" s="239">
        <f t="shared" si="22"/>
        <v>4430236.3</v>
      </c>
      <c r="AU239" s="5">
        <f t="shared" si="23"/>
        <v>0</v>
      </c>
    </row>
    <row r="240" spans="1:47" x14ac:dyDescent="0.25">
      <c r="A240" s="192">
        <v>5817</v>
      </c>
      <c r="B240" s="447" t="s">
        <v>6</v>
      </c>
      <c r="C240" s="535">
        <v>1480896.57</v>
      </c>
      <c r="D240" s="535">
        <v>152734.93</v>
      </c>
      <c r="E240" s="535"/>
      <c r="F240" s="536">
        <v>5910</v>
      </c>
      <c r="G240" s="535">
        <v>32065.35</v>
      </c>
      <c r="H240" s="535">
        <v>1897.5</v>
      </c>
      <c r="I240" s="535"/>
      <c r="J240" s="535">
        <v>34806.870000000003</v>
      </c>
      <c r="K240" s="535">
        <v>4344.6499999999996</v>
      </c>
      <c r="L240" s="535">
        <v>129917.15</v>
      </c>
      <c r="M240" s="498">
        <f t="shared" si="18"/>
        <v>1842573.02</v>
      </c>
      <c r="N240" s="243">
        <v>7672.05</v>
      </c>
      <c r="O240" s="243"/>
      <c r="P240" s="243">
        <v>30975.95</v>
      </c>
      <c r="Q240" s="243"/>
      <c r="R240" s="243">
        <v>10179.85</v>
      </c>
      <c r="S240" s="535">
        <v>3730.2</v>
      </c>
      <c r="T240" s="498">
        <f t="shared" si="19"/>
        <v>1895131.07</v>
      </c>
      <c r="U240" s="239">
        <v>-36557.29</v>
      </c>
      <c r="V240" s="243"/>
      <c r="W240" s="243">
        <v>-64.3</v>
      </c>
      <c r="X240" s="540">
        <v>73.5</v>
      </c>
      <c r="Y240" s="543">
        <v>1</v>
      </c>
      <c r="Z240" s="215">
        <v>987</v>
      </c>
      <c r="AA240" s="268"/>
      <c r="AB240" s="237">
        <v>103007</v>
      </c>
      <c r="AC240" s="443">
        <f>AB240/VPI!R240</f>
        <v>4.1836168166220489</v>
      </c>
      <c r="AD240" s="445">
        <f t="shared" si="20"/>
        <v>149156</v>
      </c>
      <c r="AE240" s="443">
        <f>AD240/VPI!R240</f>
        <v>6.0579528566027392</v>
      </c>
      <c r="AF240" s="237">
        <v>252163</v>
      </c>
      <c r="AG240" s="237">
        <v>35209</v>
      </c>
      <c r="AH240" s="237">
        <v>83732</v>
      </c>
      <c r="AI240" s="272"/>
      <c r="AJ240" s="8">
        <v>0</v>
      </c>
      <c r="AK240" s="443">
        <f>AJ240/VPI!R240</f>
        <v>0</v>
      </c>
      <c r="AL240" s="445">
        <f t="shared" si="21"/>
        <v>61296</v>
      </c>
      <c r="AM240" s="443">
        <f>AL240/VPI!R240</f>
        <v>2.4895296085864564</v>
      </c>
      <c r="AN240" s="8">
        <v>61296</v>
      </c>
      <c r="AO240" s="272"/>
      <c r="AP240" s="529">
        <v>6.9998555124745492</v>
      </c>
      <c r="AR240" s="546">
        <v>0</v>
      </c>
      <c r="AT240" s="239">
        <f t="shared" si="22"/>
        <v>1842573.02</v>
      </c>
      <c r="AU240" s="5">
        <f t="shared" si="23"/>
        <v>0</v>
      </c>
    </row>
    <row r="241" spans="1:47" x14ac:dyDescent="0.25">
      <c r="A241" s="192">
        <v>5819</v>
      </c>
      <c r="B241" s="447" t="s">
        <v>7</v>
      </c>
      <c r="C241" s="535">
        <v>532187.02</v>
      </c>
      <c r="D241" s="535">
        <v>141364.38</v>
      </c>
      <c r="E241" s="535"/>
      <c r="F241" s="536"/>
      <c r="G241" s="535">
        <v>-29769.599999999999</v>
      </c>
      <c r="H241" s="535">
        <v>6808.6</v>
      </c>
      <c r="I241" s="535"/>
      <c r="J241" s="535">
        <v>21624.85</v>
      </c>
      <c r="K241" s="535">
        <v>1744.95</v>
      </c>
      <c r="L241" s="535">
        <v>92319.25</v>
      </c>
      <c r="M241" s="498">
        <f t="shared" si="18"/>
        <v>766279.45</v>
      </c>
      <c r="N241" s="243">
        <v>5222.3500000000004</v>
      </c>
      <c r="O241" s="243"/>
      <c r="P241" s="243">
        <v>44013.45</v>
      </c>
      <c r="Q241" s="243">
        <v>-733.37</v>
      </c>
      <c r="R241" s="243">
        <v>19216.5</v>
      </c>
      <c r="S241" s="535">
        <v>0</v>
      </c>
      <c r="T241" s="498">
        <f t="shared" si="19"/>
        <v>833998.37999999989</v>
      </c>
      <c r="U241" s="239">
        <v>-43903.92</v>
      </c>
      <c r="V241" s="243"/>
      <c r="W241" s="243">
        <v>-24695.9</v>
      </c>
      <c r="X241" s="540">
        <v>69</v>
      </c>
      <c r="Y241" s="543">
        <v>1</v>
      </c>
      <c r="Z241" s="215">
        <v>407</v>
      </c>
      <c r="AA241" s="268"/>
      <c r="AB241" s="237">
        <v>55024</v>
      </c>
      <c r="AC241" s="443">
        <f>AB241/VPI!R241</f>
        <v>5.4475591848358587</v>
      </c>
      <c r="AD241" s="445">
        <f t="shared" si="20"/>
        <v>99827</v>
      </c>
      <c r="AE241" s="443">
        <f>AD241/VPI!R241</f>
        <v>9.8832053421163355</v>
      </c>
      <c r="AF241" s="237">
        <v>154851</v>
      </c>
      <c r="AG241" s="237">
        <v>36046</v>
      </c>
      <c r="AH241" s="237">
        <v>66655</v>
      </c>
      <c r="AI241" s="272"/>
      <c r="AJ241" s="8">
        <v>0</v>
      </c>
      <c r="AK241" s="443">
        <f>AJ241/VPI!R241</f>
        <v>0</v>
      </c>
      <c r="AL241" s="445">
        <f t="shared" si="21"/>
        <v>0</v>
      </c>
      <c r="AM241" s="443">
        <f>AL241/VPI!R241</f>
        <v>0</v>
      </c>
      <c r="AN241" s="8">
        <v>0</v>
      </c>
      <c r="AO241" s="272"/>
      <c r="AP241" s="529">
        <v>19.913427288900994</v>
      </c>
      <c r="AR241" s="546">
        <v>0</v>
      </c>
      <c r="AT241" s="239">
        <f t="shared" si="22"/>
        <v>766279.45</v>
      </c>
      <c r="AU241" s="5">
        <f t="shared" si="23"/>
        <v>0</v>
      </c>
    </row>
    <row r="242" spans="1:47" x14ac:dyDescent="0.25">
      <c r="A242" s="192">
        <v>5821</v>
      </c>
      <c r="B242" s="447" t="s">
        <v>8</v>
      </c>
      <c r="C242" s="535">
        <v>440903.67</v>
      </c>
      <c r="D242" s="535">
        <v>67536.23</v>
      </c>
      <c r="E242" s="535"/>
      <c r="F242" s="536">
        <v>2230</v>
      </c>
      <c r="G242" s="535">
        <v>5654.7</v>
      </c>
      <c r="H242" s="535">
        <v>361.6</v>
      </c>
      <c r="I242" s="535"/>
      <c r="J242" s="535">
        <v>21347.9</v>
      </c>
      <c r="K242" s="535">
        <v>1305</v>
      </c>
      <c r="L242" s="535">
        <v>52743.7</v>
      </c>
      <c r="M242" s="498">
        <f t="shared" si="18"/>
        <v>592082.79999999993</v>
      </c>
      <c r="N242" s="243"/>
      <c r="O242" s="243"/>
      <c r="P242" s="243">
        <v>8421.75</v>
      </c>
      <c r="Q242" s="243">
        <v>514.79999999999995</v>
      </c>
      <c r="R242" s="243">
        <v>16164</v>
      </c>
      <c r="S242" s="535">
        <v>660.78</v>
      </c>
      <c r="T242" s="498">
        <f t="shared" si="19"/>
        <v>617844.13</v>
      </c>
      <c r="U242" s="239">
        <v>-14061.66</v>
      </c>
      <c r="V242" s="243"/>
      <c r="W242" s="243">
        <v>0</v>
      </c>
      <c r="X242" s="540">
        <v>72</v>
      </c>
      <c r="Y242" s="543">
        <v>1</v>
      </c>
      <c r="Z242" s="215">
        <v>366</v>
      </c>
      <c r="AA242" s="268"/>
      <c r="AB242" s="237">
        <v>24788</v>
      </c>
      <c r="AC242" s="443">
        <f>AB242/VPI!R242</f>
        <v>3.0813986653791825</v>
      </c>
      <c r="AD242" s="445">
        <f t="shared" si="20"/>
        <v>32300</v>
      </c>
      <c r="AE242" s="443">
        <f>AD242/VPI!R242</f>
        <v>4.0152161082680164</v>
      </c>
      <c r="AF242" s="237">
        <v>57088</v>
      </c>
      <c r="AG242" s="237">
        <v>13999</v>
      </c>
      <c r="AH242" s="237">
        <v>29322</v>
      </c>
      <c r="AI242" s="272"/>
      <c r="AJ242" s="8">
        <v>0</v>
      </c>
      <c r="AK242" s="443">
        <f>AJ242/VPI!R242</f>
        <v>0</v>
      </c>
      <c r="AL242" s="445">
        <f t="shared" si="21"/>
        <v>0</v>
      </c>
      <c r="AM242" s="443">
        <f>AL242/VPI!R242</f>
        <v>0</v>
      </c>
      <c r="AN242" s="8">
        <v>0</v>
      </c>
      <c r="AO242" s="272"/>
      <c r="AP242" s="529">
        <v>5.99580873328319</v>
      </c>
      <c r="AR242" s="546">
        <v>0</v>
      </c>
      <c r="AT242" s="239">
        <f t="shared" si="22"/>
        <v>592082.79999999993</v>
      </c>
      <c r="AU242" s="5">
        <f t="shared" si="23"/>
        <v>0</v>
      </c>
    </row>
    <row r="243" spans="1:47" x14ac:dyDescent="0.25">
      <c r="A243" s="192">
        <v>5822</v>
      </c>
      <c r="B243" s="447" t="s">
        <v>9</v>
      </c>
      <c r="C243" s="535">
        <v>12829493.210000001</v>
      </c>
      <c r="D243" s="535">
        <v>1491509.8</v>
      </c>
      <c r="E243" s="535"/>
      <c r="F243" s="536"/>
      <c r="G243" s="535">
        <v>894146.35</v>
      </c>
      <c r="H243" s="535">
        <v>124496.95</v>
      </c>
      <c r="I243" s="535"/>
      <c r="J243" s="535">
        <v>684056.64</v>
      </c>
      <c r="K243" s="535">
        <v>209805.9</v>
      </c>
      <c r="L243" s="535">
        <v>1531986.75</v>
      </c>
      <c r="M243" s="498">
        <f t="shared" si="18"/>
        <v>17765495.600000001</v>
      </c>
      <c r="N243" s="243">
        <v>26658.9</v>
      </c>
      <c r="O243" s="243">
        <v>487838.2</v>
      </c>
      <c r="P243" s="243">
        <v>1137375.1000000001</v>
      </c>
      <c r="Q243" s="243">
        <v>169489.4</v>
      </c>
      <c r="R243" s="243">
        <v>639524.65</v>
      </c>
      <c r="S243" s="535">
        <v>111879.25</v>
      </c>
      <c r="T243" s="498">
        <f t="shared" si="19"/>
        <v>20338261.099999998</v>
      </c>
      <c r="U243" s="239">
        <v>-528323.68999999994</v>
      </c>
      <c r="V243" s="243"/>
      <c r="W243" s="243">
        <v>-3170.58</v>
      </c>
      <c r="X243" s="540">
        <v>73</v>
      </c>
      <c r="Y243" s="543">
        <v>1</v>
      </c>
      <c r="Z243" s="215">
        <v>10258</v>
      </c>
      <c r="AA243" s="268"/>
      <c r="AB243" s="237">
        <v>436992</v>
      </c>
      <c r="AC243" s="443">
        <f>AB243/VPI!R243</f>
        <v>1.8212813110100226</v>
      </c>
      <c r="AD243" s="445">
        <f t="shared" si="20"/>
        <v>1653635</v>
      </c>
      <c r="AE243" s="443">
        <f>AD243/VPI!R243</f>
        <v>6.8919671772756912</v>
      </c>
      <c r="AF243" s="237">
        <v>2090627</v>
      </c>
      <c r="AG243" s="237">
        <v>1277118</v>
      </c>
      <c r="AH243" s="237">
        <v>712804</v>
      </c>
      <c r="AI243" s="272"/>
      <c r="AJ243" s="8">
        <v>0</v>
      </c>
      <c r="AK243" s="443">
        <f>AJ243/VPI!R243</f>
        <v>0</v>
      </c>
      <c r="AL243" s="445">
        <f t="shared" si="21"/>
        <v>128143</v>
      </c>
      <c r="AM243" s="443">
        <f>AL243/VPI!R243</f>
        <v>0.53407030571900016</v>
      </c>
      <c r="AN243" s="8">
        <v>128143</v>
      </c>
      <c r="AO243" s="272"/>
      <c r="AP243" s="529">
        <v>-4.8865164263667458</v>
      </c>
      <c r="AR243" s="546">
        <v>0</v>
      </c>
      <c r="AT243" s="239">
        <f t="shared" si="22"/>
        <v>17765495.600000001</v>
      </c>
      <c r="AU243" s="5">
        <f t="shared" si="23"/>
        <v>0</v>
      </c>
    </row>
    <row r="244" spans="1:47" x14ac:dyDescent="0.25">
      <c r="A244" s="192">
        <v>5827</v>
      </c>
      <c r="B244" s="447" t="s">
        <v>10</v>
      </c>
      <c r="C244" s="535">
        <v>476185.3</v>
      </c>
      <c r="D244" s="535">
        <v>50197.19</v>
      </c>
      <c r="E244" s="535"/>
      <c r="F244" s="536">
        <v>1600</v>
      </c>
      <c r="G244" s="535">
        <v>5849.15</v>
      </c>
      <c r="H244" s="535">
        <v>1630.5</v>
      </c>
      <c r="I244" s="535"/>
      <c r="J244" s="535">
        <v>19238.439999999999</v>
      </c>
      <c r="K244" s="535">
        <v>1796.35</v>
      </c>
      <c r="L244" s="535">
        <v>41462.35</v>
      </c>
      <c r="M244" s="498">
        <f t="shared" si="18"/>
        <v>597959.27999999991</v>
      </c>
      <c r="N244" s="243"/>
      <c r="O244" s="243"/>
      <c r="P244" s="243">
        <v>109292.4</v>
      </c>
      <c r="Q244" s="243">
        <v>18140.900000000001</v>
      </c>
      <c r="R244" s="243">
        <v>6090.35</v>
      </c>
      <c r="S244" s="535">
        <v>821.51</v>
      </c>
      <c r="T244" s="498">
        <f t="shared" si="19"/>
        <v>732304.44</v>
      </c>
      <c r="U244" s="239">
        <v>-12646.72</v>
      </c>
      <c r="V244" s="243"/>
      <c r="W244" s="243">
        <v>0</v>
      </c>
      <c r="X244" s="540">
        <v>78</v>
      </c>
      <c r="Y244" s="543">
        <v>1</v>
      </c>
      <c r="Z244" s="215">
        <v>321</v>
      </c>
      <c r="AA244" s="268"/>
      <c r="AB244" s="237">
        <v>49149</v>
      </c>
      <c r="AC244" s="443">
        <f>AB244/VPI!R244</f>
        <v>6.3441681193579802</v>
      </c>
      <c r="AD244" s="445">
        <f t="shared" si="20"/>
        <v>32975</v>
      </c>
      <c r="AE244" s="443">
        <f>AD244/VPI!R244</f>
        <v>4.2564231975386964</v>
      </c>
      <c r="AF244" s="237">
        <v>82124</v>
      </c>
      <c r="AG244" s="237">
        <v>10996</v>
      </c>
      <c r="AH244" s="237">
        <v>14291</v>
      </c>
      <c r="AI244" s="272"/>
      <c r="AJ244" s="8">
        <v>0</v>
      </c>
      <c r="AK244" s="443">
        <f>AJ244/VPI!R244</f>
        <v>0</v>
      </c>
      <c r="AL244" s="445">
        <f t="shared" si="21"/>
        <v>7205</v>
      </c>
      <c r="AM244" s="443">
        <f>AL244/VPI!R244</f>
        <v>0.93002362815060835</v>
      </c>
      <c r="AN244" s="8">
        <v>7205</v>
      </c>
      <c r="AO244" s="272"/>
      <c r="AP244" s="529">
        <v>-0.9536367956347922</v>
      </c>
      <c r="AR244" s="546">
        <v>0</v>
      </c>
      <c r="AT244" s="239">
        <f t="shared" si="22"/>
        <v>597959.27999999991</v>
      </c>
      <c r="AU244" s="5">
        <f t="shared" si="23"/>
        <v>0</v>
      </c>
    </row>
    <row r="245" spans="1:47" x14ac:dyDescent="0.25">
      <c r="A245" s="192">
        <v>5828</v>
      </c>
      <c r="B245" s="447" t="s">
        <v>373</v>
      </c>
      <c r="C245" s="535">
        <v>197929.51</v>
      </c>
      <c r="D245" s="535">
        <v>25262.55</v>
      </c>
      <c r="E245" s="535"/>
      <c r="F245" s="536"/>
      <c r="G245" s="535">
        <v>271.75</v>
      </c>
      <c r="H245" s="535">
        <v>-20.45</v>
      </c>
      <c r="I245" s="535"/>
      <c r="J245" s="535">
        <v>72.45</v>
      </c>
      <c r="K245" s="535"/>
      <c r="L245" s="535">
        <v>24795.55</v>
      </c>
      <c r="M245" s="498">
        <f t="shared" si="18"/>
        <v>248311.36</v>
      </c>
      <c r="N245" s="243"/>
      <c r="O245" s="243"/>
      <c r="P245" s="243">
        <v>9900</v>
      </c>
      <c r="Q245" s="243"/>
      <c r="R245" s="243">
        <v>3774.05</v>
      </c>
      <c r="S245" s="535">
        <v>27.6</v>
      </c>
      <c r="T245" s="498">
        <f t="shared" si="19"/>
        <v>262013.00999999998</v>
      </c>
      <c r="U245" s="239">
        <v>-888.96</v>
      </c>
      <c r="V245" s="243"/>
      <c r="W245" s="243">
        <v>0</v>
      </c>
      <c r="X245" s="540">
        <v>82.5</v>
      </c>
      <c r="Y245" s="543">
        <v>1.5</v>
      </c>
      <c r="Z245" s="215">
        <v>110</v>
      </c>
      <c r="AA245" s="268"/>
      <c r="AB245" s="237">
        <v>19628</v>
      </c>
      <c r="AC245" s="443">
        <f>AB245/VPI!R245</f>
        <v>6.7701203720498144</v>
      </c>
      <c r="AD245" s="445">
        <f t="shared" si="20"/>
        <v>14965</v>
      </c>
      <c r="AE245" s="443">
        <f>AD245/VPI!R245</f>
        <v>5.161751139582508</v>
      </c>
      <c r="AF245" s="237">
        <v>34593</v>
      </c>
      <c r="AG245" s="237">
        <v>4151</v>
      </c>
      <c r="AH245" s="237">
        <v>14541</v>
      </c>
      <c r="AI245" s="272"/>
      <c r="AJ245" s="8">
        <v>0</v>
      </c>
      <c r="AK245" s="443">
        <f>AJ245/VPI!R245</f>
        <v>0</v>
      </c>
      <c r="AL245" s="445">
        <f t="shared" si="21"/>
        <v>2704</v>
      </c>
      <c r="AM245" s="443">
        <f>AL245/VPI!R245</f>
        <v>0.93266789718884746</v>
      </c>
      <c r="AN245" s="8">
        <v>2704</v>
      </c>
      <c r="AO245" s="272"/>
      <c r="AP245" s="529">
        <v>-7.7521484276498587</v>
      </c>
      <c r="AR245" s="546">
        <v>0</v>
      </c>
      <c r="AT245" s="239">
        <f t="shared" si="22"/>
        <v>248311.36</v>
      </c>
      <c r="AU245" s="5">
        <f t="shared" si="23"/>
        <v>0</v>
      </c>
    </row>
    <row r="246" spans="1:47" x14ac:dyDescent="0.25">
      <c r="A246" s="192">
        <v>5830</v>
      </c>
      <c r="B246" s="447" t="s">
        <v>11</v>
      </c>
      <c r="C246" s="535">
        <v>770136.67</v>
      </c>
      <c r="D246" s="535">
        <v>70242.47</v>
      </c>
      <c r="E246" s="535"/>
      <c r="F246" s="536"/>
      <c r="G246" s="535">
        <v>10820.95</v>
      </c>
      <c r="H246" s="535">
        <v>447.9</v>
      </c>
      <c r="I246" s="535"/>
      <c r="J246" s="535">
        <v>12123.73</v>
      </c>
      <c r="K246" s="535">
        <v>441.2</v>
      </c>
      <c r="L246" s="535">
        <v>61174.8</v>
      </c>
      <c r="M246" s="498">
        <f t="shared" si="18"/>
        <v>925387.72</v>
      </c>
      <c r="N246" s="243">
        <v>8196.65</v>
      </c>
      <c r="O246" s="243">
        <v>19364.3</v>
      </c>
      <c r="P246" s="243">
        <v>50741.35</v>
      </c>
      <c r="Q246" s="243">
        <v>9204.1</v>
      </c>
      <c r="R246" s="243">
        <v>54388.3</v>
      </c>
      <c r="S246" s="535">
        <v>1237.68</v>
      </c>
      <c r="T246" s="498">
        <f t="shared" si="19"/>
        <v>1068520.0999999999</v>
      </c>
      <c r="U246" s="239">
        <v>-5067.7700000000004</v>
      </c>
      <c r="V246" s="243"/>
      <c r="W246" s="243">
        <v>-51.36</v>
      </c>
      <c r="X246" s="540">
        <v>75</v>
      </c>
      <c r="Y246" s="543">
        <v>1</v>
      </c>
      <c r="Z246" s="215">
        <v>500</v>
      </c>
      <c r="AA246" s="268"/>
      <c r="AB246" s="237">
        <v>60315</v>
      </c>
      <c r="AC246" s="443">
        <f>AB246/VPI!R246</f>
        <v>4.8604003413005916</v>
      </c>
      <c r="AD246" s="445">
        <f t="shared" si="20"/>
        <v>90602</v>
      </c>
      <c r="AE246" s="443">
        <f>AD246/VPI!R246</f>
        <v>7.3010360892400925</v>
      </c>
      <c r="AF246" s="237">
        <v>150917</v>
      </c>
      <c r="AG246" s="237">
        <v>26052</v>
      </c>
      <c r="AH246" s="237">
        <v>79469</v>
      </c>
      <c r="AI246" s="272"/>
      <c r="AJ246" s="8">
        <v>20867</v>
      </c>
      <c r="AK246" s="443">
        <f>AJ246/VPI!R246</f>
        <v>1.6815381567092671</v>
      </c>
      <c r="AL246" s="445">
        <f t="shared" si="21"/>
        <v>8985</v>
      </c>
      <c r="AM246" s="443">
        <f>AL246/VPI!R246</f>
        <v>0.72404372157151309</v>
      </c>
      <c r="AN246" s="8">
        <v>29852</v>
      </c>
      <c r="AO246" s="272"/>
      <c r="AP246" s="529">
        <v>14.138837673491739</v>
      </c>
      <c r="AR246" s="546">
        <v>0</v>
      </c>
      <c r="AT246" s="239">
        <f t="shared" si="22"/>
        <v>925387.72</v>
      </c>
      <c r="AU246" s="5">
        <f t="shared" si="23"/>
        <v>0</v>
      </c>
    </row>
    <row r="247" spans="1:47" x14ac:dyDescent="0.25">
      <c r="A247" s="192">
        <v>5831</v>
      </c>
      <c r="B247" s="447" t="s">
        <v>348</v>
      </c>
      <c r="C247" s="535">
        <v>4289158.5</v>
      </c>
      <c r="D247" s="535">
        <v>665433.98</v>
      </c>
      <c r="E247" s="535"/>
      <c r="F247" s="536"/>
      <c r="G247" s="535">
        <v>122619.45</v>
      </c>
      <c r="H247" s="535">
        <v>29475.9</v>
      </c>
      <c r="I247" s="535"/>
      <c r="J247" s="535">
        <v>163886.23000000001</v>
      </c>
      <c r="K247" s="535">
        <v>24539.599999999999</v>
      </c>
      <c r="L247" s="535">
        <v>299642.90000000002</v>
      </c>
      <c r="M247" s="498">
        <f t="shared" si="18"/>
        <v>5594756.5600000015</v>
      </c>
      <c r="N247" s="243">
        <v>21377.35</v>
      </c>
      <c r="O247" s="243">
        <v>190844.4</v>
      </c>
      <c r="P247" s="243">
        <v>278818.25</v>
      </c>
      <c r="Q247" s="243">
        <v>41332.51</v>
      </c>
      <c r="R247" s="243">
        <v>382124.95</v>
      </c>
      <c r="S247" s="535">
        <v>16704.88</v>
      </c>
      <c r="T247" s="498">
        <f t="shared" si="19"/>
        <v>6525958.9000000013</v>
      </c>
      <c r="U247" s="239">
        <v>-137134.32</v>
      </c>
      <c r="V247" s="243"/>
      <c r="W247" s="243">
        <v>-591.34</v>
      </c>
      <c r="X247" s="540">
        <v>70.5</v>
      </c>
      <c r="Y247" s="543">
        <v>0.6</v>
      </c>
      <c r="Z247" s="215">
        <v>3349</v>
      </c>
      <c r="AA247" s="268"/>
      <c r="AB247" s="237">
        <v>473131</v>
      </c>
      <c r="AC247" s="443">
        <f>AB247/VPI!R247</f>
        <v>5.8366975389418201</v>
      </c>
      <c r="AD247" s="445">
        <f t="shared" si="20"/>
        <v>647184</v>
      </c>
      <c r="AE247" s="443">
        <f>AD247/VPI!R247</f>
        <v>7.9838718241724234</v>
      </c>
      <c r="AF247" s="237">
        <v>1120315</v>
      </c>
      <c r="AG247" s="237">
        <v>307029</v>
      </c>
      <c r="AH247" s="237">
        <v>517081</v>
      </c>
      <c r="AI247" s="272"/>
      <c r="AJ247" s="8">
        <v>0</v>
      </c>
      <c r="AK247" s="443">
        <f>AJ247/VPI!R247</f>
        <v>0</v>
      </c>
      <c r="AL247" s="445">
        <f t="shared" si="21"/>
        <v>34150</v>
      </c>
      <c r="AM247" s="443">
        <f>AL247/VPI!R247</f>
        <v>0.42128548109268499</v>
      </c>
      <c r="AN247" s="8">
        <v>34150</v>
      </c>
      <c r="AO247" s="272"/>
      <c r="AP247" s="529">
        <v>7.7218513986506832</v>
      </c>
      <c r="AR247" s="546">
        <v>0</v>
      </c>
      <c r="AT247" s="239">
        <f t="shared" si="22"/>
        <v>5594756.5600000015</v>
      </c>
      <c r="AU247" s="5">
        <f t="shared" si="23"/>
        <v>0</v>
      </c>
    </row>
    <row r="248" spans="1:47" x14ac:dyDescent="0.25">
      <c r="A248" s="192">
        <v>5841</v>
      </c>
      <c r="B248" s="447" t="s">
        <v>12</v>
      </c>
      <c r="C248" s="535">
        <v>5416937.2300000004</v>
      </c>
      <c r="D248" s="535">
        <v>1679946.55</v>
      </c>
      <c r="E248" s="535"/>
      <c r="F248" s="536"/>
      <c r="G248" s="535">
        <v>141500.65</v>
      </c>
      <c r="H248" s="535">
        <v>20399.7</v>
      </c>
      <c r="I248" s="535">
        <v>607555.07999999996</v>
      </c>
      <c r="J248" s="535">
        <v>395554.33</v>
      </c>
      <c r="K248" s="535">
        <v>23339.8</v>
      </c>
      <c r="L248" s="535">
        <v>1535980.65</v>
      </c>
      <c r="M248" s="498">
        <f t="shared" si="18"/>
        <v>9821213.9900000002</v>
      </c>
      <c r="N248" s="243">
        <v>4103.45</v>
      </c>
      <c r="O248" s="243">
        <v>443777</v>
      </c>
      <c r="P248" s="243">
        <v>796748.95</v>
      </c>
      <c r="Q248" s="243">
        <v>7461.84</v>
      </c>
      <c r="R248" s="243">
        <v>545825.94999999995</v>
      </c>
      <c r="S248" s="535">
        <v>17781.78</v>
      </c>
      <c r="T248" s="498">
        <f t="shared" si="19"/>
        <v>11636912.959999997</v>
      </c>
      <c r="U248" s="239">
        <v>-292514.46000000002</v>
      </c>
      <c r="V248" s="243"/>
      <c r="W248" s="243">
        <v>-7607.52</v>
      </c>
      <c r="X248" s="540">
        <v>81.5</v>
      </c>
      <c r="Y248" s="543">
        <v>1.5</v>
      </c>
      <c r="Z248" s="215">
        <v>3549</v>
      </c>
      <c r="AA248" s="268"/>
      <c r="AB248" s="237">
        <v>586432</v>
      </c>
      <c r="AC248" s="443">
        <f>AB248/VPI!R248</f>
        <v>5.2902809719598309</v>
      </c>
      <c r="AD248" s="445">
        <f t="shared" si="20"/>
        <v>2647873</v>
      </c>
      <c r="AE248" s="443">
        <f>AD248/VPI!R248</f>
        <v>23.886814068922217</v>
      </c>
      <c r="AF248" s="237">
        <v>3234305</v>
      </c>
      <c r="AG248" s="237">
        <v>380879</v>
      </c>
      <c r="AH248" s="237">
        <v>476972</v>
      </c>
      <c r="AI248" s="272"/>
      <c r="AJ248" s="8">
        <v>16791</v>
      </c>
      <c r="AK248" s="443">
        <f>AJ248/VPI!R248</f>
        <v>0.15147384146870826</v>
      </c>
      <c r="AL248" s="445">
        <f t="shared" si="21"/>
        <v>38461</v>
      </c>
      <c r="AM248" s="443">
        <f>AL248/VPI!R248</f>
        <v>0.34696179004990702</v>
      </c>
      <c r="AN248" s="8">
        <v>55252</v>
      </c>
      <c r="AO248" s="272"/>
      <c r="AP248" s="529">
        <v>18.601590250948785</v>
      </c>
      <c r="AR248" s="546">
        <v>0</v>
      </c>
      <c r="AT248" s="239">
        <f t="shared" si="22"/>
        <v>9821213.9900000002</v>
      </c>
      <c r="AU248" s="5">
        <f t="shared" si="23"/>
        <v>0</v>
      </c>
    </row>
    <row r="249" spans="1:47" x14ac:dyDescent="0.25">
      <c r="A249" s="192">
        <v>5842</v>
      </c>
      <c r="B249" s="447" t="s">
        <v>13</v>
      </c>
      <c r="C249" s="535">
        <v>799106.09</v>
      </c>
      <c r="D249" s="535">
        <v>203574.74</v>
      </c>
      <c r="E249" s="535"/>
      <c r="F249" s="536"/>
      <c r="G249" s="535">
        <v>72791.3</v>
      </c>
      <c r="H249" s="535">
        <v>3101.85</v>
      </c>
      <c r="I249" s="535">
        <v>20057.8</v>
      </c>
      <c r="J249" s="535">
        <v>10197.969999999999</v>
      </c>
      <c r="K249" s="535">
        <v>916.35</v>
      </c>
      <c r="L249" s="535">
        <v>143473.25</v>
      </c>
      <c r="M249" s="498">
        <f t="shared" si="18"/>
        <v>1253219.3500000001</v>
      </c>
      <c r="N249" s="243"/>
      <c r="O249" s="243">
        <v>27713.5</v>
      </c>
      <c r="P249" s="243">
        <v>26823.7</v>
      </c>
      <c r="Q249" s="243"/>
      <c r="R249" s="243">
        <v>32625.15</v>
      </c>
      <c r="S249" s="535">
        <v>8335.4599999999991</v>
      </c>
      <c r="T249" s="498">
        <f t="shared" si="19"/>
        <v>1348717.16</v>
      </c>
      <c r="U249" s="239">
        <v>-3160.77</v>
      </c>
      <c r="V249" s="243"/>
      <c r="W249" s="243">
        <v>-310.87</v>
      </c>
      <c r="X249" s="540">
        <v>81</v>
      </c>
      <c r="Y249" s="543">
        <v>1.5</v>
      </c>
      <c r="Z249" s="215">
        <v>534</v>
      </c>
      <c r="AA249" s="268"/>
      <c r="AB249" s="237">
        <v>20891</v>
      </c>
      <c r="AC249" s="443">
        <f>AB249/VPI!R249</f>
        <v>1.3981894329120683</v>
      </c>
      <c r="AD249" s="445">
        <f t="shared" si="20"/>
        <v>368717</v>
      </c>
      <c r="AE249" s="443">
        <f>AD249/VPI!R249</f>
        <v>24.677431101193775</v>
      </c>
      <c r="AF249" s="237">
        <v>389608</v>
      </c>
      <c r="AG249" s="237">
        <v>58538</v>
      </c>
      <c r="AH249" s="237">
        <v>110000</v>
      </c>
      <c r="AI249" s="272"/>
      <c r="AJ249" s="8">
        <v>0</v>
      </c>
      <c r="AK249" s="443">
        <f>AJ249/VPI!R249</f>
        <v>0</v>
      </c>
      <c r="AL249" s="445">
        <f t="shared" si="21"/>
        <v>24905</v>
      </c>
      <c r="AM249" s="443">
        <f>AL249/VPI!R249</f>
        <v>1.6668377687365403</v>
      </c>
      <c r="AN249" s="8">
        <v>24905</v>
      </c>
      <c r="AO249" s="272"/>
      <c r="AP249" s="529">
        <v>13.057592288684834</v>
      </c>
      <c r="AR249" s="546">
        <v>0</v>
      </c>
      <c r="AT249" s="239">
        <f t="shared" si="22"/>
        <v>1253219.3500000001</v>
      </c>
      <c r="AU249" s="5">
        <f t="shared" si="23"/>
        <v>0</v>
      </c>
    </row>
    <row r="250" spans="1:47" x14ac:dyDescent="0.25">
      <c r="A250" s="192">
        <v>5843</v>
      </c>
      <c r="B250" s="447" t="s">
        <v>14</v>
      </c>
      <c r="C250" s="535">
        <v>2530411.77</v>
      </c>
      <c r="D250" s="535">
        <v>2017292.41</v>
      </c>
      <c r="E250" s="535"/>
      <c r="F250" s="536"/>
      <c r="G250" s="535">
        <v>94731.85</v>
      </c>
      <c r="H250" s="535">
        <v>20258.849999999999</v>
      </c>
      <c r="I250" s="535">
        <v>1583236.52</v>
      </c>
      <c r="J250" s="535">
        <v>87280.53</v>
      </c>
      <c r="K250" s="535">
        <v>37320.050000000003</v>
      </c>
      <c r="L250" s="535">
        <v>1215783.6000000001</v>
      </c>
      <c r="M250" s="498">
        <f t="shared" si="18"/>
        <v>7586315.5799999982</v>
      </c>
      <c r="N250" s="243">
        <v>10483.35</v>
      </c>
      <c r="O250" s="243">
        <v>574714.4</v>
      </c>
      <c r="P250" s="243">
        <v>746902.4</v>
      </c>
      <c r="Q250" s="243">
        <v>22904.38</v>
      </c>
      <c r="R250" s="243">
        <v>995117.3</v>
      </c>
      <c r="S250" s="535">
        <v>12629.62</v>
      </c>
      <c r="T250" s="498">
        <f t="shared" si="19"/>
        <v>9949067.0299999993</v>
      </c>
      <c r="U250" s="239">
        <v>-12741.46</v>
      </c>
      <c r="V250" s="243"/>
      <c r="W250" s="243">
        <v>-19721.29</v>
      </c>
      <c r="X250" s="540">
        <v>74</v>
      </c>
      <c r="Y250" s="543">
        <v>1.5</v>
      </c>
      <c r="Z250" s="215">
        <v>862</v>
      </c>
      <c r="AA250" s="268"/>
      <c r="AB250" s="237">
        <v>85500</v>
      </c>
      <c r="AC250" s="443">
        <f>AB250/VPI!R250</f>
        <v>0.88069172587673694</v>
      </c>
      <c r="AD250" s="445">
        <f t="shared" si="20"/>
        <v>261504</v>
      </c>
      <c r="AE250" s="443">
        <f>AD250/VPI!R250</f>
        <v>2.6936188196920492</v>
      </c>
      <c r="AF250" s="237">
        <v>347004</v>
      </c>
      <c r="AG250" s="237">
        <v>94075</v>
      </c>
      <c r="AH250" s="237">
        <v>108680</v>
      </c>
      <c r="AI250" s="272"/>
      <c r="AJ250" s="8">
        <v>0</v>
      </c>
      <c r="AK250" s="443">
        <f>AJ250/VPI!R250</f>
        <v>0</v>
      </c>
      <c r="AL250" s="445">
        <f t="shared" si="21"/>
        <v>27452</v>
      </c>
      <c r="AM250" s="443">
        <f>AL250/VPI!R250</f>
        <v>0.28276899717857523</v>
      </c>
      <c r="AN250" s="8">
        <v>27452</v>
      </c>
      <c r="AO250" s="272"/>
      <c r="AP250" s="529">
        <v>55.044923284249904</v>
      </c>
      <c r="AR250" s="546">
        <v>0</v>
      </c>
      <c r="AT250" s="239">
        <f t="shared" si="22"/>
        <v>7586315.5799999982</v>
      </c>
      <c r="AU250" s="5">
        <f t="shared" si="23"/>
        <v>0</v>
      </c>
    </row>
    <row r="251" spans="1:47" x14ac:dyDescent="0.25">
      <c r="A251" s="192">
        <v>5851</v>
      </c>
      <c r="B251" s="447" t="s">
        <v>15</v>
      </c>
      <c r="C251" s="535">
        <v>930196.21</v>
      </c>
      <c r="D251" s="535">
        <v>183629.47</v>
      </c>
      <c r="E251" s="535"/>
      <c r="F251" s="536"/>
      <c r="G251" s="535">
        <v>69805.100000000006</v>
      </c>
      <c r="H251" s="535">
        <v>6883</v>
      </c>
      <c r="I251" s="535">
        <v>16716.099999999999</v>
      </c>
      <c r="J251" s="535">
        <v>43367.31</v>
      </c>
      <c r="K251" s="535">
        <v>23465</v>
      </c>
      <c r="L251" s="535">
        <v>243654.85</v>
      </c>
      <c r="M251" s="498">
        <f t="shared" si="18"/>
        <v>1517717.0400000003</v>
      </c>
      <c r="N251" s="243">
        <v>59074.75</v>
      </c>
      <c r="O251" s="243">
        <v>46126.7</v>
      </c>
      <c r="P251" s="243">
        <v>25826.55</v>
      </c>
      <c r="Q251" s="243">
        <v>1194.1500000000001</v>
      </c>
      <c r="R251" s="243"/>
      <c r="S251" s="535">
        <v>8422.7800000000007</v>
      </c>
      <c r="T251" s="498">
        <f t="shared" si="19"/>
        <v>1658361.9700000002</v>
      </c>
      <c r="U251" s="239">
        <v>-11973.54</v>
      </c>
      <c r="V251" s="243"/>
      <c r="W251" s="243">
        <v>-916.92</v>
      </c>
      <c r="X251" s="540">
        <v>60</v>
      </c>
      <c r="Y251" s="543">
        <v>1.1000000000000001</v>
      </c>
      <c r="Z251" s="215">
        <v>430</v>
      </c>
      <c r="AA251" s="268"/>
      <c r="AB251" s="237">
        <v>0</v>
      </c>
      <c r="AC251" s="443">
        <f>AB251/VPI!R251</f>
        <v>0</v>
      </c>
      <c r="AD251" s="445">
        <f t="shared" si="20"/>
        <v>153590</v>
      </c>
      <c r="AE251" s="443">
        <f>AD251/VPI!R251</f>
        <v>6.1753285536693765</v>
      </c>
      <c r="AF251" s="237">
        <v>153590</v>
      </c>
      <c r="AG251" s="237">
        <v>32265</v>
      </c>
      <c r="AH251" s="237">
        <v>36450</v>
      </c>
      <c r="AI251" s="272"/>
      <c r="AJ251" s="8">
        <v>0</v>
      </c>
      <c r="AK251" s="443">
        <f>AJ251/VPI!R251</f>
        <v>0</v>
      </c>
      <c r="AL251" s="445">
        <f t="shared" si="21"/>
        <v>6434</v>
      </c>
      <c r="AM251" s="443">
        <f>AL251/VPI!R251</f>
        <v>0.25868913284920092</v>
      </c>
      <c r="AN251" s="8">
        <v>6434</v>
      </c>
      <c r="AO251" s="272"/>
      <c r="AP251" s="529">
        <v>34.30018992017817</v>
      </c>
      <c r="AR251" s="546">
        <v>0</v>
      </c>
      <c r="AT251" s="239">
        <f t="shared" si="22"/>
        <v>1517717.0400000003</v>
      </c>
      <c r="AU251" s="5">
        <f t="shared" si="23"/>
        <v>0</v>
      </c>
    </row>
    <row r="252" spans="1:47" x14ac:dyDescent="0.25">
      <c r="A252" s="192">
        <v>5852</v>
      </c>
      <c r="B252" s="447" t="s">
        <v>16</v>
      </c>
      <c r="C252" s="535">
        <v>1309627.01</v>
      </c>
      <c r="D252" s="535">
        <v>456448.24</v>
      </c>
      <c r="E252" s="535"/>
      <c r="F252" s="536"/>
      <c r="G252" s="535">
        <v>5749.5</v>
      </c>
      <c r="H252" s="535">
        <v>2868.1</v>
      </c>
      <c r="I252" s="535">
        <v>221080.95</v>
      </c>
      <c r="J252" s="535">
        <v>39511.160000000003</v>
      </c>
      <c r="K252" s="535">
        <v>7060.35</v>
      </c>
      <c r="L252" s="535">
        <v>143108.9</v>
      </c>
      <c r="M252" s="498">
        <f t="shared" si="18"/>
        <v>2185454.21</v>
      </c>
      <c r="N252" s="243">
        <v>9375.5499999999993</v>
      </c>
      <c r="O252" s="243">
        <v>-3500</v>
      </c>
      <c r="P252" s="243">
        <v>162199.95000000001</v>
      </c>
      <c r="Q252" s="243">
        <v>9680</v>
      </c>
      <c r="R252" s="243">
        <v>176858.35</v>
      </c>
      <c r="S252" s="535">
        <v>946.49</v>
      </c>
      <c r="T252" s="498">
        <f t="shared" si="19"/>
        <v>2541014.5500000003</v>
      </c>
      <c r="U252" s="239">
        <v>-29844.94</v>
      </c>
      <c r="V252" s="243"/>
      <c r="W252" s="243">
        <v>-66495.509999999995</v>
      </c>
      <c r="X252" s="540">
        <v>62</v>
      </c>
      <c r="Y252" s="543">
        <v>0.75</v>
      </c>
      <c r="Z252" s="215">
        <v>515</v>
      </c>
      <c r="AA252" s="268"/>
      <c r="AB252" s="237">
        <v>0</v>
      </c>
      <c r="AC252" s="443">
        <f>AB252/VPI!R252</f>
        <v>0</v>
      </c>
      <c r="AD252" s="445">
        <f t="shared" si="20"/>
        <v>0</v>
      </c>
      <c r="AE252" s="443">
        <f>AD252/VPI!R252</f>
        <v>0</v>
      </c>
      <c r="AF252" s="237">
        <v>0</v>
      </c>
      <c r="AG252" s="237">
        <v>0</v>
      </c>
      <c r="AH252" s="237">
        <v>0</v>
      </c>
      <c r="AI252" s="272"/>
      <c r="AJ252" s="8">
        <v>0</v>
      </c>
      <c r="AK252" s="443">
        <f>AJ252/VPI!R252</f>
        <v>0</v>
      </c>
      <c r="AL252" s="445">
        <f t="shared" si="21"/>
        <v>0</v>
      </c>
      <c r="AM252" s="443">
        <f>AL252/VPI!R252</f>
        <v>0</v>
      </c>
      <c r="AN252" s="8">
        <v>0</v>
      </c>
      <c r="AO252" s="272"/>
      <c r="AP252" s="529">
        <v>42.298707381164121</v>
      </c>
      <c r="AR252" s="546">
        <v>0</v>
      </c>
      <c r="AT252" s="239">
        <f t="shared" si="22"/>
        <v>2185454.21</v>
      </c>
      <c r="AU252" s="5">
        <f t="shared" si="23"/>
        <v>0</v>
      </c>
    </row>
    <row r="253" spans="1:47" x14ac:dyDescent="0.25">
      <c r="A253" s="192">
        <v>5853</v>
      </c>
      <c r="B253" s="447" t="s">
        <v>17</v>
      </c>
      <c r="C253" s="535">
        <v>2154155.75</v>
      </c>
      <c r="D253" s="535">
        <v>427403.4</v>
      </c>
      <c r="E253" s="535"/>
      <c r="F253" s="536"/>
      <c r="G253" s="535">
        <v>36424.5</v>
      </c>
      <c r="H253" s="535">
        <v>5322</v>
      </c>
      <c r="I253" s="535">
        <v>305622.55</v>
      </c>
      <c r="J253" s="535">
        <v>22948.99</v>
      </c>
      <c r="K253" s="535">
        <v>12241.2</v>
      </c>
      <c r="L253" s="535">
        <v>216377.5</v>
      </c>
      <c r="M253" s="498">
        <f t="shared" si="18"/>
        <v>3180495.89</v>
      </c>
      <c r="N253" s="243">
        <v>82707.899999999994</v>
      </c>
      <c r="O253" s="243">
        <v>49723.4</v>
      </c>
      <c r="P253" s="243">
        <v>262434.90000000002</v>
      </c>
      <c r="Q253" s="243">
        <v>11620.92</v>
      </c>
      <c r="R253" s="243">
        <v>209867.1</v>
      </c>
      <c r="S253" s="535">
        <v>4585.09</v>
      </c>
      <c r="T253" s="498">
        <f t="shared" si="19"/>
        <v>3801435.1999999997</v>
      </c>
      <c r="U253" s="239">
        <v>-37360.03</v>
      </c>
      <c r="V253" s="243"/>
      <c r="W253" s="243">
        <v>-956.95</v>
      </c>
      <c r="X253" s="540">
        <v>71</v>
      </c>
      <c r="Y253" s="543">
        <v>1</v>
      </c>
      <c r="Z253" s="215">
        <v>773</v>
      </c>
      <c r="AA253" s="268"/>
      <c r="AB253" s="237">
        <v>52008</v>
      </c>
      <c r="AC253" s="443">
        <f>AB253/VPI!R253</f>
        <v>1.1691317219181758</v>
      </c>
      <c r="AD253" s="445">
        <f t="shared" si="20"/>
        <v>117796</v>
      </c>
      <c r="AE253" s="443">
        <f>AD253/VPI!R253</f>
        <v>2.6480356928755855</v>
      </c>
      <c r="AF253" s="237">
        <v>169804</v>
      </c>
      <c r="AG253" s="237">
        <v>45505</v>
      </c>
      <c r="AH253" s="237">
        <v>0</v>
      </c>
      <c r="AI253" s="272"/>
      <c r="AJ253" s="8">
        <v>0</v>
      </c>
      <c r="AK253" s="443">
        <f>AJ253/VPI!R253</f>
        <v>0</v>
      </c>
      <c r="AL253" s="445">
        <f t="shared" si="21"/>
        <v>54009</v>
      </c>
      <c r="AM253" s="443">
        <f>AL253/VPI!R253</f>
        <v>1.2141138895761954</v>
      </c>
      <c r="AN253" s="8">
        <v>54009</v>
      </c>
      <c r="AO253" s="272"/>
      <c r="AP253" s="529">
        <v>41.537845036188564</v>
      </c>
      <c r="AR253" s="546">
        <v>0</v>
      </c>
      <c r="AT253" s="239">
        <f t="shared" si="22"/>
        <v>3180495.89</v>
      </c>
      <c r="AU253" s="5">
        <f t="shared" si="23"/>
        <v>0</v>
      </c>
    </row>
    <row r="254" spans="1:47" x14ac:dyDescent="0.25">
      <c r="A254" s="192">
        <v>5854</v>
      </c>
      <c r="B254" s="447" t="s">
        <v>18</v>
      </c>
      <c r="C254" s="535">
        <v>964213.34</v>
      </c>
      <c r="D254" s="535">
        <v>153504.89000000001</v>
      </c>
      <c r="E254" s="535"/>
      <c r="F254" s="536"/>
      <c r="G254" s="535">
        <v>6546.75</v>
      </c>
      <c r="H254" s="535">
        <v>1896.35</v>
      </c>
      <c r="I254" s="535"/>
      <c r="J254" s="535">
        <v>16366.43</v>
      </c>
      <c r="K254" s="535">
        <v>2158.9</v>
      </c>
      <c r="L254" s="535">
        <v>114438.55</v>
      </c>
      <c r="M254" s="498">
        <f t="shared" si="18"/>
        <v>1259125.21</v>
      </c>
      <c r="N254" s="243">
        <v>42212.55</v>
      </c>
      <c r="O254" s="243"/>
      <c r="P254" s="243">
        <v>8626.4</v>
      </c>
      <c r="Q254" s="243"/>
      <c r="R254" s="243">
        <v>36756.15</v>
      </c>
      <c r="S254" s="535">
        <v>927.32</v>
      </c>
      <c r="T254" s="498">
        <f t="shared" si="19"/>
        <v>1347647.63</v>
      </c>
      <c r="U254" s="239">
        <v>-1105.19</v>
      </c>
      <c r="V254" s="243"/>
      <c r="W254" s="243">
        <v>-352.74</v>
      </c>
      <c r="X254" s="540">
        <v>80</v>
      </c>
      <c r="Y254" s="543">
        <v>1.5</v>
      </c>
      <c r="Z254" s="215">
        <v>416</v>
      </c>
      <c r="AA254" s="268"/>
      <c r="AB254" s="237">
        <v>0</v>
      </c>
      <c r="AC254" s="443">
        <f>AB254/VPI!R254</f>
        <v>0</v>
      </c>
      <c r="AD254" s="445">
        <f t="shared" si="20"/>
        <v>156504</v>
      </c>
      <c r="AE254" s="443">
        <f>AD254/VPI!R254</f>
        <v>10.258786712342959</v>
      </c>
      <c r="AF254" s="237">
        <v>156504</v>
      </c>
      <c r="AG254" s="237">
        <v>11770</v>
      </c>
      <c r="AH254" s="237">
        <v>38821</v>
      </c>
      <c r="AI254" s="272"/>
      <c r="AJ254" s="8">
        <v>0</v>
      </c>
      <c r="AK254" s="443">
        <f>AJ254/VPI!R254</f>
        <v>0</v>
      </c>
      <c r="AL254" s="445">
        <f t="shared" si="21"/>
        <v>37430</v>
      </c>
      <c r="AM254" s="443">
        <f>AL254/VPI!R254</f>
        <v>2.4535244252095598</v>
      </c>
      <c r="AN254" s="8">
        <v>37430</v>
      </c>
      <c r="AO254" s="272"/>
      <c r="AP254" s="529">
        <v>16.046874686359882</v>
      </c>
      <c r="AR254" s="546">
        <v>0</v>
      </c>
      <c r="AT254" s="239">
        <f t="shared" si="22"/>
        <v>1259125.21</v>
      </c>
      <c r="AU254" s="5">
        <f t="shared" si="23"/>
        <v>0</v>
      </c>
    </row>
    <row r="255" spans="1:47" x14ac:dyDescent="0.25">
      <c r="A255" s="192">
        <v>5855</v>
      </c>
      <c r="B255" s="447" t="s">
        <v>19</v>
      </c>
      <c r="C255" s="535">
        <v>2549648.9</v>
      </c>
      <c r="D255" s="535">
        <v>779317.08</v>
      </c>
      <c r="E255" s="535"/>
      <c r="F255" s="536"/>
      <c r="G255" s="535">
        <v>58963.85</v>
      </c>
      <c r="H255" s="535">
        <v>30413</v>
      </c>
      <c r="I255" s="535">
        <v>758620.05</v>
      </c>
      <c r="J255" s="535">
        <v>41220.51</v>
      </c>
      <c r="K255" s="535">
        <v>16418.5</v>
      </c>
      <c r="L255" s="535">
        <v>370645.7</v>
      </c>
      <c r="M255" s="498">
        <f t="shared" ref="M255:M305" si="24">SUM(C255:L255)</f>
        <v>4605247.59</v>
      </c>
      <c r="N255" s="243">
        <v>1358.65</v>
      </c>
      <c r="O255" s="243"/>
      <c r="P255" s="243">
        <v>480920</v>
      </c>
      <c r="Q255" s="243"/>
      <c r="R255" s="243">
        <v>186622.65</v>
      </c>
      <c r="S255" s="535">
        <v>9816.4</v>
      </c>
      <c r="T255" s="498">
        <f t="shared" ref="T255:T305" si="25">SUM(M255:S255)</f>
        <v>5283965.290000001</v>
      </c>
      <c r="U255" s="239">
        <v>-127.1</v>
      </c>
      <c r="V255" s="243"/>
      <c r="W255" s="243">
        <v>-24720.01</v>
      </c>
      <c r="X255" s="540">
        <v>49</v>
      </c>
      <c r="Y255" s="543">
        <v>1</v>
      </c>
      <c r="Z255" s="215">
        <v>634</v>
      </c>
      <c r="AA255" s="268"/>
      <c r="AB255" s="237">
        <v>0</v>
      </c>
      <c r="AC255" s="443">
        <f>AB255/VPI!R255</f>
        <v>0</v>
      </c>
      <c r="AD255" s="445">
        <f t="shared" si="20"/>
        <v>0</v>
      </c>
      <c r="AE255" s="443">
        <f>AD255/VPI!R255</f>
        <v>0</v>
      </c>
      <c r="AF255" s="237">
        <v>0</v>
      </c>
      <c r="AG255" s="237">
        <v>0</v>
      </c>
      <c r="AH255" s="237">
        <v>0</v>
      </c>
      <c r="AI255" s="272"/>
      <c r="AJ255" s="8">
        <v>0</v>
      </c>
      <c r="AK255" s="443">
        <f>AJ255/VPI!R255</f>
        <v>0</v>
      </c>
      <c r="AL255" s="445">
        <f t="shared" si="21"/>
        <v>0</v>
      </c>
      <c r="AM255" s="443">
        <f>AL255/VPI!R255</f>
        <v>0</v>
      </c>
      <c r="AN255" s="8">
        <v>0</v>
      </c>
      <c r="AO255" s="272"/>
      <c r="AP255" s="529">
        <v>50.760708764190007</v>
      </c>
      <c r="AR255" s="546">
        <v>0</v>
      </c>
      <c r="AT255" s="239">
        <f t="shared" si="22"/>
        <v>4605247.59</v>
      </c>
      <c r="AU255" s="5">
        <f t="shared" si="23"/>
        <v>0</v>
      </c>
    </row>
    <row r="256" spans="1:47" x14ac:dyDescent="0.25">
      <c r="A256" s="192">
        <v>5856</v>
      </c>
      <c r="B256" s="447" t="s">
        <v>20</v>
      </c>
      <c r="C256" s="535">
        <v>1970178.53</v>
      </c>
      <c r="D256" s="535">
        <v>311683.90000000002</v>
      </c>
      <c r="E256" s="535"/>
      <c r="F256" s="536"/>
      <c r="G256" s="535">
        <v>13507.15</v>
      </c>
      <c r="H256" s="535">
        <v>2463.85</v>
      </c>
      <c r="I256" s="535">
        <v>289067.8</v>
      </c>
      <c r="J256" s="535">
        <v>22811.4</v>
      </c>
      <c r="K256" s="535">
        <v>2840.1</v>
      </c>
      <c r="L256" s="535">
        <v>253354.75</v>
      </c>
      <c r="M256" s="498">
        <f t="shared" si="24"/>
        <v>2865907.48</v>
      </c>
      <c r="N256" s="243">
        <v>6571.75</v>
      </c>
      <c r="O256" s="243">
        <v>11110.6</v>
      </c>
      <c r="P256" s="243">
        <v>215233.5</v>
      </c>
      <c r="Q256" s="243">
        <v>221.8</v>
      </c>
      <c r="R256" s="243">
        <v>239416.85</v>
      </c>
      <c r="S256" s="535">
        <v>1754.12</v>
      </c>
      <c r="T256" s="498">
        <f t="shared" si="25"/>
        <v>3340216.1</v>
      </c>
      <c r="U256" s="239">
        <v>-11108.16</v>
      </c>
      <c r="V256" s="243"/>
      <c r="W256" s="243">
        <v>-1328.98</v>
      </c>
      <c r="X256" s="540">
        <v>66.5</v>
      </c>
      <c r="Y256" s="543">
        <v>1.3</v>
      </c>
      <c r="Z256" s="215">
        <v>753</v>
      </c>
      <c r="AA256" s="268"/>
      <c r="AB256" s="237">
        <v>41869</v>
      </c>
      <c r="AC256" s="443">
        <f>AB256/VPI!R256</f>
        <v>0.99546250590547369</v>
      </c>
      <c r="AD256" s="445">
        <f t="shared" si="20"/>
        <v>104173</v>
      </c>
      <c r="AE256" s="443">
        <f>AD256/VPI!R256</f>
        <v>2.4767803297831548</v>
      </c>
      <c r="AF256" s="237">
        <v>146042</v>
      </c>
      <c r="AG256" s="237">
        <v>23208</v>
      </c>
      <c r="AH256" s="237">
        <v>46314</v>
      </c>
      <c r="AI256" s="272"/>
      <c r="AJ256" s="8">
        <v>0</v>
      </c>
      <c r="AK256" s="443">
        <f>AJ256/VPI!R256</f>
        <v>0</v>
      </c>
      <c r="AL256" s="445">
        <f t="shared" si="21"/>
        <v>8770</v>
      </c>
      <c r="AM256" s="443">
        <f>AL256/VPI!R256</f>
        <v>0.20851241197045559</v>
      </c>
      <c r="AN256" s="8">
        <v>8770</v>
      </c>
      <c r="AO256" s="272"/>
      <c r="AP256" s="529">
        <v>35.678093483576937</v>
      </c>
      <c r="AR256" s="546">
        <v>0</v>
      </c>
      <c r="AT256" s="239">
        <f t="shared" si="22"/>
        <v>2865907.48</v>
      </c>
      <c r="AU256" s="5">
        <f t="shared" si="23"/>
        <v>0</v>
      </c>
    </row>
    <row r="257" spans="1:47" x14ac:dyDescent="0.25">
      <c r="A257" s="192">
        <v>5857</v>
      </c>
      <c r="B257" s="447" t="s">
        <v>21</v>
      </c>
      <c r="C257" s="535">
        <v>4569153.16</v>
      </c>
      <c r="D257" s="535">
        <v>690910.33</v>
      </c>
      <c r="E257" s="535"/>
      <c r="F257" s="536"/>
      <c r="G257" s="535">
        <v>19246.150000000001</v>
      </c>
      <c r="H257" s="535">
        <v>8907.1</v>
      </c>
      <c r="I257" s="535"/>
      <c r="J257" s="535">
        <v>35675.550000000003</v>
      </c>
      <c r="K257" s="535">
        <v>21221.55</v>
      </c>
      <c r="L257" s="535">
        <v>420306.65</v>
      </c>
      <c r="M257" s="498">
        <f t="shared" si="24"/>
        <v>5765420.4900000002</v>
      </c>
      <c r="N257" s="243">
        <v>86130.95</v>
      </c>
      <c r="O257" s="243"/>
      <c r="P257" s="243">
        <v>249526.39999999999</v>
      </c>
      <c r="Q257" s="243"/>
      <c r="R257" s="243">
        <v>190326.55</v>
      </c>
      <c r="S257" s="535">
        <v>3092.12</v>
      </c>
      <c r="T257" s="498">
        <f t="shared" si="25"/>
        <v>6294496.5100000007</v>
      </c>
      <c r="U257" s="239">
        <v>-35827.82</v>
      </c>
      <c r="V257" s="243"/>
      <c r="W257" s="243">
        <v>-888.64</v>
      </c>
      <c r="X257" s="540">
        <v>64.5</v>
      </c>
      <c r="Y257" s="543">
        <v>1</v>
      </c>
      <c r="Z257" s="215">
        <v>1438</v>
      </c>
      <c r="AA257" s="268"/>
      <c r="AB257" s="237">
        <v>0</v>
      </c>
      <c r="AC257" s="443">
        <f>AB257/VPI!R257</f>
        <v>0</v>
      </c>
      <c r="AD257" s="445">
        <f t="shared" si="20"/>
        <v>0</v>
      </c>
      <c r="AE257" s="443">
        <f>AD257/VPI!R257</f>
        <v>0</v>
      </c>
      <c r="AF257" s="237">
        <v>0</v>
      </c>
      <c r="AG257" s="237">
        <v>0</v>
      </c>
      <c r="AH257" s="237">
        <v>0</v>
      </c>
      <c r="AI257" s="272"/>
      <c r="AJ257" s="8">
        <v>0</v>
      </c>
      <c r="AK257" s="443">
        <f>AJ257/VPI!R257</f>
        <v>0</v>
      </c>
      <c r="AL257" s="445">
        <f t="shared" si="21"/>
        <v>0</v>
      </c>
      <c r="AM257" s="443">
        <f>AL257/VPI!R257</f>
        <v>0</v>
      </c>
      <c r="AN257" s="8">
        <v>0</v>
      </c>
      <c r="AO257" s="272"/>
      <c r="AP257" s="529">
        <v>34.928350491991061</v>
      </c>
      <c r="AR257" s="546">
        <v>0</v>
      </c>
      <c r="AT257" s="239">
        <f t="shared" si="22"/>
        <v>5765420.4900000002</v>
      </c>
      <c r="AU257" s="5">
        <f t="shared" si="23"/>
        <v>0</v>
      </c>
    </row>
    <row r="258" spans="1:47" x14ac:dyDescent="0.25">
      <c r="A258" s="192">
        <v>5858</v>
      </c>
      <c r="B258" s="447" t="s">
        <v>22</v>
      </c>
      <c r="C258" s="535">
        <v>1586703.57</v>
      </c>
      <c r="D258" s="535">
        <v>337318.48</v>
      </c>
      <c r="E258" s="535"/>
      <c r="F258" s="536"/>
      <c r="G258" s="535">
        <v>14113.95</v>
      </c>
      <c r="H258" s="535">
        <v>271.5</v>
      </c>
      <c r="I258" s="535">
        <v>26062.26</v>
      </c>
      <c r="J258" s="535">
        <v>134330.93</v>
      </c>
      <c r="K258" s="535">
        <v>1653.9</v>
      </c>
      <c r="L258" s="535">
        <v>237176.05</v>
      </c>
      <c r="M258" s="498">
        <f t="shared" si="24"/>
        <v>2337630.6399999997</v>
      </c>
      <c r="N258" s="243">
        <v>3971.45</v>
      </c>
      <c r="O258" s="243">
        <v>370.8</v>
      </c>
      <c r="P258" s="243">
        <v>99996.4</v>
      </c>
      <c r="Q258" s="243">
        <v>1921.53</v>
      </c>
      <c r="R258" s="243">
        <v>5618.45</v>
      </c>
      <c r="S258" s="535">
        <v>1579.97</v>
      </c>
      <c r="T258" s="498">
        <f t="shared" si="25"/>
        <v>2451089.2399999998</v>
      </c>
      <c r="U258" s="239">
        <v>-20864.740000000002</v>
      </c>
      <c r="V258" s="243"/>
      <c r="W258" s="243">
        <v>-3434.34</v>
      </c>
      <c r="X258" s="540">
        <v>58.5</v>
      </c>
      <c r="Y258" s="543">
        <v>1.5</v>
      </c>
      <c r="Z258" s="215">
        <v>630</v>
      </c>
      <c r="AA258" s="268"/>
      <c r="AB258" s="237">
        <v>0</v>
      </c>
      <c r="AC258" s="443">
        <f>AB258/VPI!R258</f>
        <v>0</v>
      </c>
      <c r="AD258" s="445">
        <f t="shared" si="20"/>
        <v>0</v>
      </c>
      <c r="AE258" s="443">
        <f>AD258/VPI!R258</f>
        <v>0</v>
      </c>
      <c r="AF258" s="237">
        <v>0</v>
      </c>
      <c r="AG258" s="237">
        <v>0</v>
      </c>
      <c r="AH258" s="237">
        <v>0</v>
      </c>
      <c r="AI258" s="272"/>
      <c r="AJ258" s="8">
        <v>0</v>
      </c>
      <c r="AK258" s="443">
        <f>AJ258/VPI!R258</f>
        <v>0</v>
      </c>
      <c r="AL258" s="445">
        <f t="shared" si="21"/>
        <v>0</v>
      </c>
      <c r="AM258" s="443">
        <f>AL258/VPI!R258</f>
        <v>0</v>
      </c>
      <c r="AN258" s="8">
        <v>0</v>
      </c>
      <c r="AO258" s="272"/>
      <c r="AP258" s="529">
        <v>37.571495566585376</v>
      </c>
      <c r="AR258" s="546">
        <v>0</v>
      </c>
      <c r="AT258" s="239">
        <f t="shared" si="22"/>
        <v>2337630.6399999997</v>
      </c>
      <c r="AU258" s="5">
        <f t="shared" si="23"/>
        <v>0</v>
      </c>
    </row>
    <row r="259" spans="1:47" x14ac:dyDescent="0.25">
      <c r="A259" s="192">
        <v>5859</v>
      </c>
      <c r="B259" s="447" t="s">
        <v>23</v>
      </c>
      <c r="C259" s="535">
        <v>7473642.4400000004</v>
      </c>
      <c r="D259" s="535">
        <v>1600183.12</v>
      </c>
      <c r="E259" s="535"/>
      <c r="F259" s="536"/>
      <c r="G259" s="535">
        <v>98135.45</v>
      </c>
      <c r="H259" s="535">
        <v>19883.7</v>
      </c>
      <c r="I259" s="535">
        <v>251427.3</v>
      </c>
      <c r="J259" s="535">
        <v>120596.17</v>
      </c>
      <c r="K259" s="535">
        <v>26616.5</v>
      </c>
      <c r="L259" s="535">
        <v>682773.4</v>
      </c>
      <c r="M259" s="498">
        <f t="shared" si="24"/>
        <v>10273258.08</v>
      </c>
      <c r="N259" s="243">
        <v>120212.6</v>
      </c>
      <c r="O259" s="243">
        <v>454080.9</v>
      </c>
      <c r="P259" s="243">
        <v>772469.4</v>
      </c>
      <c r="Q259" s="243">
        <v>1342.99</v>
      </c>
      <c r="R259" s="243">
        <v>444522.4</v>
      </c>
      <c r="S259" s="535">
        <v>12962.24</v>
      </c>
      <c r="T259" s="498">
        <f t="shared" si="25"/>
        <v>12078848.610000001</v>
      </c>
      <c r="U259" s="239">
        <v>-44391.3</v>
      </c>
      <c r="V259" s="243"/>
      <c r="W259" s="243">
        <v>-25732.32</v>
      </c>
      <c r="X259" s="540">
        <v>63.5</v>
      </c>
      <c r="Y259" s="543">
        <v>1</v>
      </c>
      <c r="Z259" s="215">
        <v>2739</v>
      </c>
      <c r="AA259" s="268"/>
      <c r="AB259" s="237">
        <v>48141</v>
      </c>
      <c r="AC259" s="443">
        <f>AB259/VPI!R259</f>
        <v>0.2991897767688218</v>
      </c>
      <c r="AD259" s="445">
        <f t="shared" si="20"/>
        <v>290684</v>
      </c>
      <c r="AE259" s="443">
        <f>AD259/VPI!R259</f>
        <v>1.8065615809864397</v>
      </c>
      <c r="AF259" s="237">
        <v>338825</v>
      </c>
      <c r="AG259" s="237">
        <v>116972</v>
      </c>
      <c r="AH259" s="237">
        <v>238695</v>
      </c>
      <c r="AI259" s="272"/>
      <c r="AJ259" s="8">
        <v>0</v>
      </c>
      <c r="AK259" s="443">
        <f>AJ259/VPI!R259</f>
        <v>0</v>
      </c>
      <c r="AL259" s="445">
        <f t="shared" si="21"/>
        <v>0</v>
      </c>
      <c r="AM259" s="443">
        <f>AL259/VPI!R259</f>
        <v>0</v>
      </c>
      <c r="AN259" s="8">
        <v>0</v>
      </c>
      <c r="AO259" s="272"/>
      <c r="AP259" s="529">
        <v>33.58155051872658</v>
      </c>
      <c r="AR259" s="546">
        <v>0</v>
      </c>
      <c r="AT259" s="239">
        <f t="shared" si="22"/>
        <v>10273258.08</v>
      </c>
      <c r="AU259" s="5">
        <f t="shared" si="23"/>
        <v>0</v>
      </c>
    </row>
    <row r="260" spans="1:47" x14ac:dyDescent="0.25">
      <c r="A260" s="192">
        <v>5860</v>
      </c>
      <c r="B260" s="447" t="s">
        <v>24</v>
      </c>
      <c r="C260" s="535">
        <v>4573281.91</v>
      </c>
      <c r="D260" s="535">
        <v>1795041.99</v>
      </c>
      <c r="E260" s="535"/>
      <c r="F260" s="536"/>
      <c r="G260" s="535">
        <v>57279.35</v>
      </c>
      <c r="H260" s="535">
        <v>11037.7</v>
      </c>
      <c r="I260" s="535">
        <v>286540.95</v>
      </c>
      <c r="J260" s="535">
        <v>53145.32</v>
      </c>
      <c r="K260" s="535">
        <v>4677.8999999999996</v>
      </c>
      <c r="L260" s="535">
        <v>705030.6</v>
      </c>
      <c r="M260" s="498">
        <f t="shared" si="24"/>
        <v>7486035.7200000007</v>
      </c>
      <c r="N260" s="243">
        <v>19166.650000000001</v>
      </c>
      <c r="O260" s="243">
        <v>51341.3</v>
      </c>
      <c r="P260" s="243">
        <v>554801.80000000005</v>
      </c>
      <c r="Q260" s="243">
        <v>43239.91</v>
      </c>
      <c r="R260" s="243">
        <v>406854.35</v>
      </c>
      <c r="S260" s="535">
        <v>7503.37</v>
      </c>
      <c r="T260" s="498">
        <f t="shared" si="25"/>
        <v>8568943.0999999996</v>
      </c>
      <c r="U260" s="239">
        <v>-57853.54</v>
      </c>
      <c r="V260" s="243"/>
      <c r="W260" s="243">
        <v>-48297.53</v>
      </c>
      <c r="X260" s="540">
        <v>58.5</v>
      </c>
      <c r="Y260" s="543">
        <v>1.3</v>
      </c>
      <c r="Z260" s="215">
        <v>1514</v>
      </c>
      <c r="AA260" s="268"/>
      <c r="AB260" s="237">
        <v>122176</v>
      </c>
      <c r="AC260" s="443">
        <f>AB260/VPI!R260</f>
        <v>0.98340207120081213</v>
      </c>
      <c r="AD260" s="445">
        <f t="shared" si="20"/>
        <v>87415</v>
      </c>
      <c r="AE260" s="443">
        <f>AD260/VPI!R260</f>
        <v>0.70360866335466044</v>
      </c>
      <c r="AF260" s="237">
        <v>209591</v>
      </c>
      <c r="AG260" s="237">
        <v>66510</v>
      </c>
      <c r="AH260" s="237">
        <v>126589</v>
      </c>
      <c r="AI260" s="272"/>
      <c r="AJ260" s="8">
        <v>0</v>
      </c>
      <c r="AK260" s="443">
        <f>AJ260/VPI!R260</f>
        <v>0</v>
      </c>
      <c r="AL260" s="445">
        <f t="shared" si="21"/>
        <v>5792</v>
      </c>
      <c r="AM260" s="443">
        <f>AL260/VPI!R260</f>
        <v>4.6620161049593239E-2</v>
      </c>
      <c r="AN260" s="8">
        <v>5792</v>
      </c>
      <c r="AO260" s="272"/>
      <c r="AP260" s="529">
        <v>40.236938191241357</v>
      </c>
      <c r="AR260" s="546">
        <v>0</v>
      </c>
      <c r="AT260" s="239">
        <f t="shared" si="22"/>
        <v>7486035.7200000007</v>
      </c>
      <c r="AU260" s="5">
        <f t="shared" si="23"/>
        <v>0</v>
      </c>
    </row>
    <row r="261" spans="1:47" x14ac:dyDescent="0.25">
      <c r="A261" s="192">
        <v>5861</v>
      </c>
      <c r="B261" s="447" t="s">
        <v>25</v>
      </c>
      <c r="C261" s="535">
        <v>15157130.33</v>
      </c>
      <c r="D261" s="535">
        <v>3136421.01</v>
      </c>
      <c r="E261" s="535"/>
      <c r="F261" s="536"/>
      <c r="G261" s="535">
        <f>11997753.8+14000000</f>
        <v>25997753.800000001</v>
      </c>
      <c r="H261" s="535">
        <v>2240010.5</v>
      </c>
      <c r="I261" s="535">
        <v>655911.5</v>
      </c>
      <c r="J261" s="535">
        <v>1326774.3799999999</v>
      </c>
      <c r="K261" s="535">
        <v>338690.9</v>
      </c>
      <c r="L261" s="535">
        <v>1864180.6</v>
      </c>
      <c r="M261" s="498">
        <f t="shared" si="24"/>
        <v>50716873.020000003</v>
      </c>
      <c r="N261" s="243">
        <v>223079.3</v>
      </c>
      <c r="O261" s="243">
        <f>1674898.2-1300000</f>
        <v>374898.19999999995</v>
      </c>
      <c r="P261" s="243">
        <v>1019635.55</v>
      </c>
      <c r="Q261" s="243">
        <v>32554.28</v>
      </c>
      <c r="R261" s="243">
        <v>797224.8</v>
      </c>
      <c r="S261" s="535">
        <v>1563756.87</v>
      </c>
      <c r="T261" s="498">
        <f t="shared" si="25"/>
        <v>54728022.019999996</v>
      </c>
      <c r="U261" s="239">
        <v>-332033.11</v>
      </c>
      <c r="V261" s="243"/>
      <c r="W261" s="243">
        <v>-61342.879999999997</v>
      </c>
      <c r="X261" s="540">
        <v>59.5</v>
      </c>
      <c r="Y261" s="543">
        <v>1</v>
      </c>
      <c r="Z261" s="215">
        <v>6291</v>
      </c>
      <c r="AA261" s="268"/>
      <c r="AB261" s="237">
        <v>0</v>
      </c>
      <c r="AC261" s="443">
        <f>AB261/VPI!R261</f>
        <v>0</v>
      </c>
      <c r="AD261" s="445">
        <f t="shared" si="20"/>
        <v>0</v>
      </c>
      <c r="AE261" s="443">
        <f>AD261/VPI!R261</f>
        <v>0</v>
      </c>
      <c r="AF261" s="237">
        <v>0</v>
      </c>
      <c r="AG261" s="237">
        <v>0</v>
      </c>
      <c r="AH261" s="237">
        <v>0</v>
      </c>
      <c r="AI261" s="272"/>
      <c r="AJ261" s="8">
        <v>0</v>
      </c>
      <c r="AK261" s="443">
        <f>AJ261/VPI!R261</f>
        <v>0</v>
      </c>
      <c r="AL261" s="445">
        <f t="shared" si="21"/>
        <v>0</v>
      </c>
      <c r="AM261" s="443">
        <f>AL261/VPI!R261</f>
        <v>0</v>
      </c>
      <c r="AN261" s="8">
        <v>0</v>
      </c>
      <c r="AO261" s="272"/>
      <c r="AP261" s="529">
        <v>43.859381291184029</v>
      </c>
      <c r="AR261" s="546">
        <v>0</v>
      </c>
      <c r="AT261" s="239">
        <f t="shared" si="22"/>
        <v>50716873.020000003</v>
      </c>
      <c r="AU261" s="5">
        <f t="shared" si="23"/>
        <v>0</v>
      </c>
    </row>
    <row r="262" spans="1:47" x14ac:dyDescent="0.25">
      <c r="A262" s="192">
        <v>5862</v>
      </c>
      <c r="B262" s="447" t="s">
        <v>26</v>
      </c>
      <c r="C262" s="535">
        <v>506676.15</v>
      </c>
      <c r="D262" s="535">
        <v>81039.5</v>
      </c>
      <c r="E262" s="535"/>
      <c r="F262" s="536"/>
      <c r="G262" s="535">
        <v>716</v>
      </c>
      <c r="H262" s="535">
        <v>1356.9</v>
      </c>
      <c r="I262" s="535"/>
      <c r="J262" s="535">
        <v>6624.19</v>
      </c>
      <c r="K262" s="535"/>
      <c r="L262" s="535">
        <v>50239.5</v>
      </c>
      <c r="M262" s="498">
        <f t="shared" si="24"/>
        <v>646652.24</v>
      </c>
      <c r="N262" s="243">
        <v>5530.15</v>
      </c>
      <c r="O262" s="243">
        <v>246.6</v>
      </c>
      <c r="P262" s="243">
        <v>15240.15</v>
      </c>
      <c r="Q262" s="243">
        <v>3331.82</v>
      </c>
      <c r="R262" s="243">
        <v>17265.55</v>
      </c>
      <c r="S262" s="535">
        <v>227.67</v>
      </c>
      <c r="T262" s="498">
        <f t="shared" si="25"/>
        <v>688494.18</v>
      </c>
      <c r="U262" s="239">
        <v>-26753.33</v>
      </c>
      <c r="V262" s="243"/>
      <c r="W262" s="243">
        <v>-74.75</v>
      </c>
      <c r="X262" s="540">
        <v>79</v>
      </c>
      <c r="Y262" s="543">
        <v>1</v>
      </c>
      <c r="Z262" s="215">
        <v>241</v>
      </c>
      <c r="AA262" s="268"/>
      <c r="AB262" s="237">
        <v>0</v>
      </c>
      <c r="AC262" s="443">
        <f>AB262/VPI!R262</f>
        <v>0</v>
      </c>
      <c r="AD262" s="445">
        <f t="shared" si="20"/>
        <v>29967</v>
      </c>
      <c r="AE262" s="443">
        <f>AD262/VPI!R262</f>
        <v>3.797650130862432</v>
      </c>
      <c r="AF262" s="237">
        <v>29967</v>
      </c>
      <c r="AG262" s="237">
        <v>12785</v>
      </c>
      <c r="AH262" s="237">
        <v>19683</v>
      </c>
      <c r="AI262" s="272"/>
      <c r="AJ262" s="8">
        <v>0</v>
      </c>
      <c r="AK262" s="443">
        <f>AJ262/VPI!R262</f>
        <v>0</v>
      </c>
      <c r="AL262" s="445">
        <f t="shared" si="21"/>
        <v>6317</v>
      </c>
      <c r="AM262" s="443">
        <f>AL262/VPI!R262</f>
        <v>0.80053912225641477</v>
      </c>
      <c r="AN262" s="8">
        <v>6317</v>
      </c>
      <c r="AO262" s="272"/>
      <c r="AP262" s="529">
        <v>21.792827755412283</v>
      </c>
      <c r="AR262" s="546">
        <v>0</v>
      </c>
      <c r="AT262" s="239">
        <f t="shared" si="22"/>
        <v>646652.24</v>
      </c>
      <c r="AU262" s="5">
        <f t="shared" si="23"/>
        <v>0</v>
      </c>
    </row>
    <row r="263" spans="1:47" x14ac:dyDescent="0.25">
      <c r="A263" s="192">
        <v>5863</v>
      </c>
      <c r="B263" s="447" t="s">
        <v>27</v>
      </c>
      <c r="C263" s="535">
        <v>1012397.44</v>
      </c>
      <c r="D263" s="535">
        <v>236796.75</v>
      </c>
      <c r="E263" s="239"/>
      <c r="F263" s="536"/>
      <c r="G263" s="535">
        <v>15457.3</v>
      </c>
      <c r="H263" s="535">
        <v>6979.8</v>
      </c>
      <c r="I263" s="535">
        <v>42873.3</v>
      </c>
      <c r="J263" s="535">
        <v>46887.76</v>
      </c>
      <c r="K263" s="535">
        <v>2189.4</v>
      </c>
      <c r="L263" s="535">
        <v>84223.2</v>
      </c>
      <c r="M263" s="498">
        <f t="shared" si="24"/>
        <v>1447804.95</v>
      </c>
      <c r="N263" s="243">
        <v>18683.7</v>
      </c>
      <c r="O263" s="243"/>
      <c r="P263" s="243">
        <v>112519.5</v>
      </c>
      <c r="Q263" s="243"/>
      <c r="R263" s="243">
        <v>85563.15</v>
      </c>
      <c r="S263" s="535">
        <v>2464.3000000000002</v>
      </c>
      <c r="T263" s="498">
        <f t="shared" si="25"/>
        <v>1667035.5999999999</v>
      </c>
      <c r="U263" s="239">
        <v>-13258.33</v>
      </c>
      <c r="V263" s="243"/>
      <c r="W263" s="243">
        <v>-1671.28</v>
      </c>
      <c r="X263" s="540">
        <v>67</v>
      </c>
      <c r="Y263" s="543">
        <v>1</v>
      </c>
      <c r="Z263" s="215">
        <v>369</v>
      </c>
      <c r="AA263" s="268"/>
      <c r="AB263" s="237">
        <v>0</v>
      </c>
      <c r="AC263" s="443">
        <f>AB263/VPI!R263</f>
        <v>0</v>
      </c>
      <c r="AD263" s="445">
        <f t="shared" ref="AD263:AD305" si="26">AF263-AB263</f>
        <v>0</v>
      </c>
      <c r="AE263" s="443">
        <f>AD263/VPI!R263</f>
        <v>0</v>
      </c>
      <c r="AF263" s="237">
        <v>0</v>
      </c>
      <c r="AG263" s="237">
        <v>0</v>
      </c>
      <c r="AH263" s="237">
        <v>0</v>
      </c>
      <c r="AI263" s="272"/>
      <c r="AJ263" s="8">
        <v>0</v>
      </c>
      <c r="AK263" s="443">
        <f>AJ263/VPI!R263</f>
        <v>0</v>
      </c>
      <c r="AL263" s="445">
        <f t="shared" ref="AL263:AL305" si="27">AN263-AJ263</f>
        <v>0</v>
      </c>
      <c r="AM263" s="443">
        <f>AL263/VPI!R263</f>
        <v>0</v>
      </c>
      <c r="AN263" s="8">
        <v>0</v>
      </c>
      <c r="AO263" s="272"/>
      <c r="AP263" s="529">
        <v>36.916331720150787</v>
      </c>
      <c r="AR263" s="546">
        <v>0</v>
      </c>
      <c r="AT263" s="239">
        <f t="shared" ref="AT263:AT305" si="28">SUM(C263:L263)</f>
        <v>1447804.95</v>
      </c>
      <c r="AU263" s="5">
        <f t="shared" ref="AU263:AU305" si="29">+AT263-M263</f>
        <v>0</v>
      </c>
    </row>
    <row r="264" spans="1:47" x14ac:dyDescent="0.25">
      <c r="A264" s="192">
        <v>5871</v>
      </c>
      <c r="B264" s="447" t="s">
        <v>28</v>
      </c>
      <c r="C264" s="535">
        <v>2987127.62</v>
      </c>
      <c r="D264" s="535">
        <v>588826.38</v>
      </c>
      <c r="E264" s="239"/>
      <c r="F264" s="536"/>
      <c r="G264" s="535">
        <v>116776.55</v>
      </c>
      <c r="H264" s="239">
        <v>17985.849999999999</v>
      </c>
      <c r="I264" s="535"/>
      <c r="J264" s="535">
        <v>75243.06</v>
      </c>
      <c r="K264" s="535">
        <v>1864.6</v>
      </c>
      <c r="L264" s="535">
        <v>276305.8</v>
      </c>
      <c r="M264" s="498">
        <f t="shared" si="24"/>
        <v>4064129.86</v>
      </c>
      <c r="N264" s="243">
        <v>774954</v>
      </c>
      <c r="O264" s="243">
        <v>156841.9</v>
      </c>
      <c r="P264" s="243">
        <v>171152.4</v>
      </c>
      <c r="Q264" s="243">
        <v>58010.5</v>
      </c>
      <c r="R264" s="243">
        <v>178978.75</v>
      </c>
      <c r="S264" s="535">
        <v>14801.17</v>
      </c>
      <c r="T264" s="498">
        <f t="shared" si="25"/>
        <v>5418868.5800000001</v>
      </c>
      <c r="U264" s="239">
        <v>-88551.23</v>
      </c>
      <c r="V264" s="243"/>
      <c r="W264" s="243">
        <v>-372.69</v>
      </c>
      <c r="X264" s="540">
        <v>77.650000000000006</v>
      </c>
      <c r="Y264" s="543">
        <v>1</v>
      </c>
      <c r="Z264" s="215">
        <v>1521</v>
      </c>
      <c r="AA264" s="268"/>
      <c r="AB264" s="237">
        <v>139647</v>
      </c>
      <c r="AC264" s="443">
        <f>AB264/VPI!R264</f>
        <v>2.6787407058735599</v>
      </c>
      <c r="AD264" s="445">
        <f t="shared" si="26"/>
        <v>462145</v>
      </c>
      <c r="AE264" s="443">
        <f>AD264/VPI!R264</f>
        <v>8.8649711308938706</v>
      </c>
      <c r="AF264" s="237">
        <v>601792</v>
      </c>
      <c r="AG264" s="237">
        <v>162190</v>
      </c>
      <c r="AH264" s="237">
        <v>208632</v>
      </c>
      <c r="AI264" s="272"/>
      <c r="AJ264" s="8">
        <v>0</v>
      </c>
      <c r="AK264" s="443">
        <f>AJ264/VPI!R264</f>
        <v>0</v>
      </c>
      <c r="AL264" s="445">
        <f t="shared" si="27"/>
        <v>-20924</v>
      </c>
      <c r="AM264" s="443">
        <f>AL264/VPI!R264</f>
        <v>-0.4013689555070884</v>
      </c>
      <c r="AN264" s="8">
        <v>-20924</v>
      </c>
      <c r="AO264" s="272"/>
      <c r="AP264" s="529">
        <v>26.218253042188497</v>
      </c>
      <c r="AR264" s="546">
        <v>0</v>
      </c>
      <c r="AT264" s="239">
        <f t="shared" si="28"/>
        <v>4064129.86</v>
      </c>
      <c r="AU264" s="5">
        <f t="shared" si="29"/>
        <v>0</v>
      </c>
    </row>
    <row r="265" spans="1:47" x14ac:dyDescent="0.25">
      <c r="A265" s="192">
        <v>5872</v>
      </c>
      <c r="B265" s="447" t="s">
        <v>184</v>
      </c>
      <c r="C265" s="535">
        <v>6587271.8899999997</v>
      </c>
      <c r="D265" s="535">
        <v>1008099.83</v>
      </c>
      <c r="E265" s="239"/>
      <c r="F265" s="536"/>
      <c r="G265" s="535">
        <v>3722298.05</v>
      </c>
      <c r="H265" s="535">
        <v>309927</v>
      </c>
      <c r="I265" s="535"/>
      <c r="J265" s="535">
        <v>466676.81</v>
      </c>
      <c r="K265" s="535">
        <v>55805.05</v>
      </c>
      <c r="L265" s="535">
        <v>778011.3</v>
      </c>
      <c r="M265" s="498">
        <f t="shared" si="24"/>
        <v>12928089.930000002</v>
      </c>
      <c r="N265" s="243">
        <v>6657622.0499999998</v>
      </c>
      <c r="O265" s="243">
        <v>916450.5</v>
      </c>
      <c r="P265" s="243">
        <v>421204.85</v>
      </c>
      <c r="Q265" s="243">
        <v>68523.38</v>
      </c>
      <c r="R265" s="243">
        <v>395737.2</v>
      </c>
      <c r="S265" s="535">
        <v>442865.85</v>
      </c>
      <c r="T265" s="498">
        <f t="shared" si="25"/>
        <v>21830493.760000002</v>
      </c>
      <c r="U265" s="239">
        <v>-106252.5</v>
      </c>
      <c r="V265" s="243"/>
      <c r="W265" s="243">
        <v>-6231.42</v>
      </c>
      <c r="X265" s="540">
        <v>66.989999999999995</v>
      </c>
      <c r="Y265" s="543">
        <v>1</v>
      </c>
      <c r="Z265" s="215">
        <v>4569</v>
      </c>
      <c r="AA265" s="268"/>
      <c r="AB265" s="237">
        <v>491048</v>
      </c>
      <c r="AC265" s="443">
        <f>AB265/VPI!R265</f>
        <v>2.4683212477833818</v>
      </c>
      <c r="AD265" s="445">
        <f t="shared" si="26"/>
        <v>2107411</v>
      </c>
      <c r="AE265" s="443">
        <f>AD265/VPI!R265</f>
        <v>10.593195266272186</v>
      </c>
      <c r="AF265" s="237">
        <v>2598459</v>
      </c>
      <c r="AG265" s="237">
        <v>506500</v>
      </c>
      <c r="AH265" s="237">
        <v>656352</v>
      </c>
      <c r="AI265" s="272"/>
      <c r="AJ265" s="8">
        <v>0</v>
      </c>
      <c r="AK265" s="443">
        <f>AJ265/VPI!R265</f>
        <v>0</v>
      </c>
      <c r="AL265" s="445">
        <f t="shared" si="27"/>
        <v>318668</v>
      </c>
      <c r="AM265" s="443">
        <f>AL265/VPI!R265</f>
        <v>1.6018291396943574</v>
      </c>
      <c r="AN265" s="8">
        <v>318668</v>
      </c>
      <c r="AO265" s="272"/>
      <c r="AP265" s="529">
        <v>44.378266306052289</v>
      </c>
      <c r="AR265" s="546">
        <v>0</v>
      </c>
      <c r="AT265" s="239">
        <f t="shared" si="28"/>
        <v>12928089.930000002</v>
      </c>
      <c r="AU265" s="5">
        <f t="shared" si="29"/>
        <v>0</v>
      </c>
    </row>
    <row r="266" spans="1:47" x14ac:dyDescent="0.25">
      <c r="A266" s="192">
        <v>5873</v>
      </c>
      <c r="B266" s="447" t="s">
        <v>185</v>
      </c>
      <c r="C266" s="535">
        <v>1401103.45</v>
      </c>
      <c r="D266" s="535">
        <v>332787.05</v>
      </c>
      <c r="E266" s="239"/>
      <c r="F266" s="536"/>
      <c r="G266" s="240">
        <v>236681.95</v>
      </c>
      <c r="H266" s="239">
        <v>6343.1</v>
      </c>
      <c r="I266" s="535"/>
      <c r="J266" s="535">
        <v>64565.08</v>
      </c>
      <c r="K266" s="535">
        <v>0</v>
      </c>
      <c r="L266" s="535">
        <v>118973.15</v>
      </c>
      <c r="M266" s="498">
        <f t="shared" si="24"/>
        <v>2160453.7800000003</v>
      </c>
      <c r="N266" s="243">
        <v>899203.4</v>
      </c>
      <c r="O266" s="243">
        <v>107400</v>
      </c>
      <c r="P266" s="243">
        <v>36203.15</v>
      </c>
      <c r="Q266" s="243">
        <v>9158.26</v>
      </c>
      <c r="R266" s="243">
        <v>62741.8</v>
      </c>
      <c r="S266" s="535">
        <v>26691.84</v>
      </c>
      <c r="T266" s="498">
        <f t="shared" si="25"/>
        <v>3301852.2299999995</v>
      </c>
      <c r="U266" s="239">
        <v>-23219.39</v>
      </c>
      <c r="V266" s="243"/>
      <c r="W266" s="243">
        <v>-402.41</v>
      </c>
      <c r="X266" s="540">
        <v>70</v>
      </c>
      <c r="Y266" s="543">
        <v>0.8</v>
      </c>
      <c r="Z266" s="215">
        <v>881</v>
      </c>
      <c r="AA266" s="268"/>
      <c r="AB266" s="237">
        <v>16464</v>
      </c>
      <c r="AC266" s="443">
        <f>AB266/VPI!R266</f>
        <v>0.52327766334629267</v>
      </c>
      <c r="AD266" s="445">
        <f t="shared" si="26"/>
        <v>811373</v>
      </c>
      <c r="AE266" s="443">
        <f>AD266/VPI!R266</f>
        <v>25.7879839372128</v>
      </c>
      <c r="AF266" s="237">
        <v>827837</v>
      </c>
      <c r="AG266" s="237">
        <v>97777</v>
      </c>
      <c r="AH266" s="237">
        <v>121370</v>
      </c>
      <c r="AI266" s="272"/>
      <c r="AJ266" s="8">
        <v>0</v>
      </c>
      <c r="AK266" s="443">
        <f>AJ266/VPI!R266</f>
        <v>0</v>
      </c>
      <c r="AL266" s="445">
        <f t="shared" si="27"/>
        <v>174111</v>
      </c>
      <c r="AM266" s="443">
        <f>AL266/VPI!R266</f>
        <v>5.533794779086878</v>
      </c>
      <c r="AN266" s="8">
        <v>174111</v>
      </c>
      <c r="AO266" s="272"/>
      <c r="AP266" s="529">
        <v>35.492340350790812</v>
      </c>
      <c r="AR266" s="546">
        <v>0</v>
      </c>
      <c r="AT266" s="239">
        <f t="shared" si="28"/>
        <v>2160453.7800000003</v>
      </c>
      <c r="AU266" s="5">
        <f t="shared" si="29"/>
        <v>0</v>
      </c>
    </row>
    <row r="267" spans="1:47" s="239" customFormat="1" x14ac:dyDescent="0.25">
      <c r="A267" s="192">
        <v>5882</v>
      </c>
      <c r="B267" s="447" t="s">
        <v>186</v>
      </c>
      <c r="C267" s="535">
        <v>8585962.7400000002</v>
      </c>
      <c r="D267" s="535">
        <v>2197702.2799999998</v>
      </c>
      <c r="E267" s="535"/>
      <c r="F267" s="536"/>
      <c r="G267" s="535">
        <v>160107.1</v>
      </c>
      <c r="H267" s="535">
        <v>22527.25</v>
      </c>
      <c r="I267" s="535">
        <v>577853.94999999995</v>
      </c>
      <c r="J267" s="535">
        <v>169623.76</v>
      </c>
      <c r="K267" s="535">
        <v>51194.35</v>
      </c>
      <c r="L267" s="535">
        <v>1005198.66</v>
      </c>
      <c r="M267" s="498">
        <f t="shared" si="24"/>
        <v>12770170.089999998</v>
      </c>
      <c r="N267" s="243">
        <v>7632.95</v>
      </c>
      <c r="O267" s="243">
        <v>429566.85</v>
      </c>
      <c r="P267" s="243">
        <v>619546.9</v>
      </c>
      <c r="Q267" s="243">
        <v>12390.21</v>
      </c>
      <c r="R267" s="243">
        <v>414741.65</v>
      </c>
      <c r="S267" s="535">
        <v>20059.03</v>
      </c>
      <c r="T267" s="498">
        <f t="shared" si="25"/>
        <v>14274107.679999998</v>
      </c>
      <c r="U267" s="239">
        <v>-57817.440000000002</v>
      </c>
      <c r="V267" s="243"/>
      <c r="W267" s="243">
        <v>-32860.769999999997</v>
      </c>
      <c r="X267" s="540">
        <v>68</v>
      </c>
      <c r="Y267" s="543">
        <v>1</v>
      </c>
      <c r="Z267" s="215">
        <v>3078</v>
      </c>
      <c r="AA267" s="268"/>
      <c r="AB267" s="237">
        <v>348094</v>
      </c>
      <c r="AC267" s="443">
        <f>AB267/VPI!R267</f>
        <v>1.8620596002257128</v>
      </c>
      <c r="AD267" s="445">
        <f t="shared" si="26"/>
        <v>1059451</v>
      </c>
      <c r="AE267" s="443">
        <f>AD267/VPI!R267</f>
        <v>5.6673223483275539</v>
      </c>
      <c r="AF267" s="237">
        <v>1407545</v>
      </c>
      <c r="AG267" s="237">
        <v>337166</v>
      </c>
      <c r="AH267" s="237">
        <v>172688</v>
      </c>
      <c r="AI267" s="272"/>
      <c r="AJ267" s="8">
        <v>0</v>
      </c>
      <c r="AK267" s="443">
        <f>AJ267/VPI!R267</f>
        <v>0</v>
      </c>
      <c r="AL267" s="445">
        <f t="shared" si="27"/>
        <v>-24074</v>
      </c>
      <c r="AM267" s="443">
        <f>AL267/VPI!R267</f>
        <v>-0.12877907351414794</v>
      </c>
      <c r="AN267" s="8">
        <v>-24074</v>
      </c>
      <c r="AO267" s="272"/>
      <c r="AP267" s="529">
        <v>35.43661468573972</v>
      </c>
      <c r="AR267" s="546">
        <v>1</v>
      </c>
      <c r="AT267" s="239">
        <f t="shared" si="28"/>
        <v>12770170.089999998</v>
      </c>
      <c r="AU267" s="5">
        <f t="shared" si="29"/>
        <v>0</v>
      </c>
    </row>
    <row r="268" spans="1:47" x14ac:dyDescent="0.25">
      <c r="A268" s="192">
        <v>5883</v>
      </c>
      <c r="B268" s="447" t="s">
        <v>187</v>
      </c>
      <c r="C268" s="535">
        <v>9477308.0600000005</v>
      </c>
      <c r="D268" s="535">
        <v>2587935.6800000002</v>
      </c>
      <c r="E268" s="535"/>
      <c r="F268" s="536"/>
      <c r="G268" s="535">
        <v>35039.449999999997</v>
      </c>
      <c r="H268" s="535">
        <v>46022.6</v>
      </c>
      <c r="I268" s="535">
        <v>375246.94</v>
      </c>
      <c r="J268" s="535">
        <v>-158220.06</v>
      </c>
      <c r="K268" s="535">
        <v>16329.9</v>
      </c>
      <c r="L268" s="535">
        <v>685419.85</v>
      </c>
      <c r="M268" s="498">
        <f t="shared" si="24"/>
        <v>13065082.419999998</v>
      </c>
      <c r="N268" s="243"/>
      <c r="O268" s="243">
        <v>2110360.2999999998</v>
      </c>
      <c r="P268" s="243">
        <v>580616.25</v>
      </c>
      <c r="Q268" s="243">
        <v>2879.24</v>
      </c>
      <c r="R268" s="243">
        <v>413980.2</v>
      </c>
      <c r="S268" s="535">
        <v>8903.18</v>
      </c>
      <c r="T268" s="498">
        <f t="shared" si="25"/>
        <v>16181821.589999998</v>
      </c>
      <c r="U268" s="239">
        <v>-25677.83</v>
      </c>
      <c r="V268" s="243"/>
      <c r="W268" s="243">
        <v>-17532.259999999998</v>
      </c>
      <c r="X268" s="540">
        <v>67.5</v>
      </c>
      <c r="Y268" s="543">
        <v>1</v>
      </c>
      <c r="Z268" s="215">
        <v>2330</v>
      </c>
      <c r="AA268" s="268"/>
      <c r="AB268" s="237">
        <v>187601</v>
      </c>
      <c r="AC268" s="443">
        <f>AB268/VPI!R268</f>
        <v>0.97156689684449415</v>
      </c>
      <c r="AD268" s="445">
        <f t="shared" si="26"/>
        <v>344098</v>
      </c>
      <c r="AE268" s="443">
        <f>AD268/VPI!R268</f>
        <v>1.7820492751658932</v>
      </c>
      <c r="AF268" s="237">
        <v>531699</v>
      </c>
      <c r="AG268" s="237">
        <v>580740</v>
      </c>
      <c r="AH268" s="237">
        <v>122420</v>
      </c>
      <c r="AI268" s="272"/>
      <c r="AJ268" s="8">
        <v>0</v>
      </c>
      <c r="AK268" s="443">
        <f>AJ268/VPI!R268</f>
        <v>0</v>
      </c>
      <c r="AL268" s="445">
        <f t="shared" si="27"/>
        <v>1736</v>
      </c>
      <c r="AM268" s="443">
        <f>AL268/VPI!R268</f>
        <v>8.9905711212735634E-3</v>
      </c>
      <c r="AN268" s="8">
        <v>1736</v>
      </c>
      <c r="AO268" s="272"/>
      <c r="AP268" s="529">
        <v>39.686333366302506</v>
      </c>
      <c r="AR268" s="546">
        <v>1</v>
      </c>
      <c r="AT268" s="239">
        <f t="shared" si="28"/>
        <v>13065082.419999998</v>
      </c>
      <c r="AU268" s="5">
        <f t="shared" si="29"/>
        <v>0</v>
      </c>
    </row>
    <row r="269" spans="1:47" x14ac:dyDescent="0.25">
      <c r="A269" s="192">
        <v>5884</v>
      </c>
      <c r="B269" s="447" t="s">
        <v>45</v>
      </c>
      <c r="C269" s="535">
        <v>5730524.7599999998</v>
      </c>
      <c r="D269" s="535">
        <v>965272.87</v>
      </c>
      <c r="E269" s="535"/>
      <c r="F269" s="536"/>
      <c r="G269" s="535">
        <v>1613212.65</v>
      </c>
      <c r="H269" s="535">
        <v>129294.65</v>
      </c>
      <c r="I269" s="535">
        <v>33220.85</v>
      </c>
      <c r="J269" s="535">
        <v>127959.97</v>
      </c>
      <c r="K269" s="535">
        <v>187082.9</v>
      </c>
      <c r="L269" s="535">
        <v>988510.6</v>
      </c>
      <c r="M269" s="498">
        <f t="shared" si="24"/>
        <v>9775079.25</v>
      </c>
      <c r="N269" s="243">
        <v>551964.19999999995</v>
      </c>
      <c r="O269" s="243">
        <v>315162.8</v>
      </c>
      <c r="P269" s="243">
        <v>224319.55</v>
      </c>
      <c r="Q269" s="243">
        <v>13811.13</v>
      </c>
      <c r="R269" s="243">
        <v>243783.1</v>
      </c>
      <c r="S269" s="535">
        <v>191382.42</v>
      </c>
      <c r="T269" s="498">
        <f t="shared" si="25"/>
        <v>11315502.450000001</v>
      </c>
      <c r="U269" s="239">
        <v>-213574.81</v>
      </c>
      <c r="V269" s="243"/>
      <c r="W269" s="243">
        <v>-4080.92</v>
      </c>
      <c r="X269" s="540">
        <v>64.5</v>
      </c>
      <c r="Y269" s="543">
        <v>1.2</v>
      </c>
      <c r="Z269" s="215">
        <v>3390</v>
      </c>
      <c r="AA269" s="268"/>
      <c r="AB269" s="237">
        <v>1057249</v>
      </c>
      <c r="AC269" s="443">
        <f>AB269/VPI!R269</f>
        <v>7.1049716103347222</v>
      </c>
      <c r="AD269" s="445">
        <f t="shared" si="26"/>
        <v>743827</v>
      </c>
      <c r="AE269" s="443">
        <f>AD269/VPI!R269</f>
        <v>4.9986991881765279</v>
      </c>
      <c r="AF269" s="237">
        <v>1801076</v>
      </c>
      <c r="AG269" s="237">
        <v>991658</v>
      </c>
      <c r="AH269" s="237">
        <v>217699</v>
      </c>
      <c r="AI269" s="272"/>
      <c r="AJ269" s="8">
        <v>0</v>
      </c>
      <c r="AK269" s="443">
        <f>AJ269/VPI!R269</f>
        <v>0</v>
      </c>
      <c r="AL269" s="445">
        <f t="shared" si="27"/>
        <v>22593</v>
      </c>
      <c r="AM269" s="443">
        <f>AL269/VPI!R269</f>
        <v>0.15183048041879671</v>
      </c>
      <c r="AN269" s="8">
        <v>22593</v>
      </c>
      <c r="AO269" s="272"/>
      <c r="AP269" s="529">
        <v>23.55141400019814</v>
      </c>
      <c r="AR269" s="546">
        <v>1</v>
      </c>
      <c r="AT269" s="239">
        <f t="shared" si="28"/>
        <v>9775079.25</v>
      </c>
      <c r="AU269" s="5">
        <f t="shared" si="29"/>
        <v>0</v>
      </c>
    </row>
    <row r="270" spans="1:47" x14ac:dyDescent="0.25">
      <c r="A270" s="192">
        <v>5885</v>
      </c>
      <c r="B270" s="447" t="s">
        <v>46</v>
      </c>
      <c r="C270" s="535">
        <v>5215869.18</v>
      </c>
      <c r="D270" s="535">
        <v>932821.89</v>
      </c>
      <c r="E270" s="535"/>
      <c r="F270" s="536"/>
      <c r="G270" s="535">
        <v>30172.05</v>
      </c>
      <c r="H270" s="535">
        <v>15234.15</v>
      </c>
      <c r="I270" s="535">
        <v>172503.95</v>
      </c>
      <c r="J270" s="535">
        <v>54698.69</v>
      </c>
      <c r="K270" s="535">
        <v>-12632.95</v>
      </c>
      <c r="L270" s="535">
        <v>535076</v>
      </c>
      <c r="M270" s="498">
        <f t="shared" si="24"/>
        <v>6943742.96</v>
      </c>
      <c r="N270" s="243">
        <v>2403.85</v>
      </c>
      <c r="O270" s="243">
        <v>49382.7</v>
      </c>
      <c r="P270" s="243">
        <v>893700.15</v>
      </c>
      <c r="Q270" s="243">
        <v>3480.39</v>
      </c>
      <c r="R270" s="243">
        <v>218072</v>
      </c>
      <c r="S270" s="535">
        <v>4987.04</v>
      </c>
      <c r="T270" s="498">
        <f t="shared" si="25"/>
        <v>8115769.0899999999</v>
      </c>
      <c r="U270" s="239">
        <v>-106805.73</v>
      </c>
      <c r="V270" s="243"/>
      <c r="W270" s="243">
        <v>-9533.7199999999993</v>
      </c>
      <c r="X270" s="540">
        <v>69.5</v>
      </c>
      <c r="Y270" s="543">
        <v>1.2</v>
      </c>
      <c r="Z270" s="215">
        <v>1805</v>
      </c>
      <c r="AA270" s="268"/>
      <c r="AB270" s="237">
        <v>51394</v>
      </c>
      <c r="AC270" s="443">
        <f>AB270/VPI!R270</f>
        <v>0.52942734131651792</v>
      </c>
      <c r="AD270" s="445">
        <f t="shared" si="26"/>
        <v>568727</v>
      </c>
      <c r="AE270" s="443">
        <f>AD270/VPI!R270</f>
        <v>5.8586532191485245</v>
      </c>
      <c r="AF270" s="237">
        <v>620121</v>
      </c>
      <c r="AG270" s="237">
        <v>146359</v>
      </c>
      <c r="AH270" s="237">
        <v>110999</v>
      </c>
      <c r="AI270" s="272"/>
      <c r="AJ270" s="8">
        <v>0</v>
      </c>
      <c r="AK270" s="443">
        <f>AJ270/VPI!R270</f>
        <v>0</v>
      </c>
      <c r="AL270" s="445">
        <f t="shared" si="27"/>
        <v>-5807</v>
      </c>
      <c r="AM270" s="443">
        <f>AL270/VPI!R270</f>
        <v>-5.9819912266510088E-2</v>
      </c>
      <c r="AN270" s="8">
        <v>-5807</v>
      </c>
      <c r="AO270" s="272"/>
      <c r="AP270" s="529">
        <v>34.861486309493614</v>
      </c>
      <c r="AR270" s="546">
        <v>1</v>
      </c>
      <c r="AT270" s="239">
        <f t="shared" si="28"/>
        <v>6943742.96</v>
      </c>
      <c r="AU270" s="5">
        <f t="shared" si="29"/>
        <v>0</v>
      </c>
    </row>
    <row r="271" spans="1:47" x14ac:dyDescent="0.25">
      <c r="A271" s="192">
        <v>5886</v>
      </c>
      <c r="B271" s="447" t="s">
        <v>47</v>
      </c>
      <c r="C271" s="535">
        <f>47650076.04-3200000</f>
        <v>44450076.039999999</v>
      </c>
      <c r="D271" s="535">
        <v>14168306.529999999</v>
      </c>
      <c r="E271" s="535"/>
      <c r="F271" s="536"/>
      <c r="G271" s="535">
        <v>3300078.8</v>
      </c>
      <c r="H271" s="535">
        <v>619666.1</v>
      </c>
      <c r="I271" s="535">
        <v>4534589.04</v>
      </c>
      <c r="J271" s="535">
        <v>1980964.99</v>
      </c>
      <c r="K271" s="535">
        <v>627150.69999999995</v>
      </c>
      <c r="L271" s="535">
        <v>10288374.27</v>
      </c>
      <c r="M271" s="498">
        <f t="shared" si="24"/>
        <v>79969206.469999999</v>
      </c>
      <c r="N271" s="243">
        <v>1254691.7</v>
      </c>
      <c r="O271" s="243">
        <f>21229157.9-7000000</f>
        <v>14229157.899999999</v>
      </c>
      <c r="P271" s="243">
        <v>5645048.4500000002</v>
      </c>
      <c r="Q271" s="243">
        <v>321489.27</v>
      </c>
      <c r="R271" s="243">
        <v>3438682.75</v>
      </c>
      <c r="S271" s="535">
        <v>430511.97</v>
      </c>
      <c r="T271" s="498">
        <f t="shared" si="25"/>
        <v>105288788.50999999</v>
      </c>
      <c r="U271" s="239">
        <v>-886144.14</v>
      </c>
      <c r="V271" s="243"/>
      <c r="W271" s="243">
        <v>-97724.35</v>
      </c>
      <c r="X271" s="540">
        <v>65</v>
      </c>
      <c r="Y271" s="543">
        <v>1.5</v>
      </c>
      <c r="Z271" s="215">
        <v>26012</v>
      </c>
      <c r="AA271" s="268"/>
      <c r="AB271" s="237">
        <v>1480662</v>
      </c>
      <c r="AC271" s="443">
        <f>AB271/VPI!R271</f>
        <v>1.2612462641445643</v>
      </c>
      <c r="AD271" s="445">
        <f t="shared" si="26"/>
        <v>8238654</v>
      </c>
      <c r="AE271" s="443">
        <f>AD271/VPI!R271</f>
        <v>7.0177877051478808</v>
      </c>
      <c r="AF271" s="237">
        <v>9719316</v>
      </c>
      <c r="AG271" s="237">
        <v>7533725</v>
      </c>
      <c r="AH271" s="237">
        <v>302706.75</v>
      </c>
      <c r="AI271" s="272"/>
      <c r="AJ271" s="8">
        <v>8493</v>
      </c>
      <c r="AK271" s="443">
        <f>AJ271/VPI!R271</f>
        <v>7.2344427839573008E-3</v>
      </c>
      <c r="AL271" s="445">
        <f t="shared" si="27"/>
        <v>1615952</v>
      </c>
      <c r="AM271" s="443">
        <f>AL271/VPI!R271</f>
        <v>1.3764879648676991</v>
      </c>
      <c r="AN271" s="8">
        <v>1624445</v>
      </c>
      <c r="AO271" s="272"/>
      <c r="AP271" s="529">
        <v>22.627750141189836</v>
      </c>
      <c r="AR271" s="546">
        <v>1</v>
      </c>
      <c r="AT271" s="239">
        <f t="shared" si="28"/>
        <v>79969206.469999999</v>
      </c>
      <c r="AU271" s="5">
        <f t="shared" si="29"/>
        <v>0</v>
      </c>
    </row>
    <row r="272" spans="1:47" x14ac:dyDescent="0.25">
      <c r="A272" s="192">
        <v>5889</v>
      </c>
      <c r="B272" s="447" t="s">
        <v>48</v>
      </c>
      <c r="C272" s="535">
        <v>27531361.809999999</v>
      </c>
      <c r="D272" s="535">
        <v>6636354.3600000003</v>
      </c>
      <c r="E272" s="535"/>
      <c r="F272" s="536"/>
      <c r="G272" s="535">
        <v>7157293.6500000004</v>
      </c>
      <c r="H272" s="535">
        <v>1180998.3500000001</v>
      </c>
      <c r="I272" s="535">
        <v>675203.69</v>
      </c>
      <c r="J272" s="535">
        <v>645786.52</v>
      </c>
      <c r="K272" s="535">
        <v>306717.05</v>
      </c>
      <c r="L272" s="535">
        <v>3102844.3</v>
      </c>
      <c r="M272" s="498">
        <f t="shared" si="24"/>
        <v>47236559.729999997</v>
      </c>
      <c r="N272" s="243">
        <v>259436.3</v>
      </c>
      <c r="O272" s="243">
        <v>237280.9</v>
      </c>
      <c r="P272" s="243">
        <v>1687943.05</v>
      </c>
      <c r="Q272" s="243">
        <v>146154.68</v>
      </c>
      <c r="R272" s="243">
        <v>1895537.55</v>
      </c>
      <c r="S272" s="535">
        <v>915808.21</v>
      </c>
      <c r="T272" s="498">
        <f t="shared" si="25"/>
        <v>52378720.419999987</v>
      </c>
      <c r="U272" s="239">
        <v>-303506.06</v>
      </c>
      <c r="V272" s="243"/>
      <c r="W272" s="243">
        <v>-112201.94</v>
      </c>
      <c r="X272" s="540">
        <v>64</v>
      </c>
      <c r="Y272" s="543">
        <v>1.2</v>
      </c>
      <c r="Z272" s="215">
        <v>12222</v>
      </c>
      <c r="AA272" s="268"/>
      <c r="AB272" s="237">
        <v>482522</v>
      </c>
      <c r="AC272" s="443">
        <f>AB272/VPI!R272</f>
        <v>0.65197864730109401</v>
      </c>
      <c r="AD272" s="445">
        <f t="shared" si="26"/>
        <v>2218576</v>
      </c>
      <c r="AE272" s="443">
        <f>AD272/VPI!R272</f>
        <v>2.9977165381364417</v>
      </c>
      <c r="AF272" s="237">
        <v>2701098</v>
      </c>
      <c r="AG272" s="237">
        <v>3438847</v>
      </c>
      <c r="AH272" s="237">
        <v>470</v>
      </c>
      <c r="AI272" s="272"/>
      <c r="AJ272" s="8">
        <v>0</v>
      </c>
      <c r="AK272" s="443">
        <f>AJ272/VPI!R272</f>
        <v>0</v>
      </c>
      <c r="AL272" s="445">
        <f t="shared" si="27"/>
        <v>56792</v>
      </c>
      <c r="AM272" s="443">
        <f>AL272/VPI!R272</f>
        <v>7.6736752598894425E-2</v>
      </c>
      <c r="AN272" s="8">
        <v>56792</v>
      </c>
      <c r="AO272" s="272"/>
      <c r="AP272" s="529">
        <v>28.442162506651787</v>
      </c>
      <c r="AR272" s="546">
        <v>1</v>
      </c>
      <c r="AT272" s="239">
        <f t="shared" si="28"/>
        <v>47236559.729999997</v>
      </c>
      <c r="AU272" s="5">
        <f t="shared" si="29"/>
        <v>0</v>
      </c>
    </row>
    <row r="273" spans="1:47" x14ac:dyDescent="0.25">
      <c r="A273" s="192">
        <v>5890</v>
      </c>
      <c r="B273" s="447" t="s">
        <v>49</v>
      </c>
      <c r="C273" s="535">
        <v>37441781.060000002</v>
      </c>
      <c r="D273" s="535">
        <v>5609480.1299999999</v>
      </c>
      <c r="E273" s="535"/>
      <c r="F273" s="536"/>
      <c r="G273" s="535">
        <v>16808760.649999999</v>
      </c>
      <c r="H273" s="535">
        <v>2393610.9500000002</v>
      </c>
      <c r="I273" s="535">
        <v>388358.83</v>
      </c>
      <c r="J273" s="535">
        <v>3327671</v>
      </c>
      <c r="K273" s="535">
        <v>796821.45</v>
      </c>
      <c r="L273" s="535">
        <v>5778517.29</v>
      </c>
      <c r="M273" s="498">
        <f t="shared" si="24"/>
        <v>72545001.360000014</v>
      </c>
      <c r="N273" s="243">
        <v>1260005.1000000001</v>
      </c>
      <c r="O273" s="243">
        <v>1949287.4</v>
      </c>
      <c r="P273" s="243">
        <v>2434402.0499999998</v>
      </c>
      <c r="Q273" s="243">
        <v>191449.14</v>
      </c>
      <c r="R273" s="243">
        <v>1549727</v>
      </c>
      <c r="S273" s="535">
        <v>2109027.7799999998</v>
      </c>
      <c r="T273" s="498">
        <f t="shared" si="25"/>
        <v>82038899.830000013</v>
      </c>
      <c r="U273" s="239">
        <v>-698119.75</v>
      </c>
      <c r="V273" s="243"/>
      <c r="W273" s="243">
        <v>-38688.300000000003</v>
      </c>
      <c r="X273" s="540">
        <v>74.5</v>
      </c>
      <c r="Y273" s="543">
        <v>1.5</v>
      </c>
      <c r="Z273" s="215">
        <v>19721</v>
      </c>
      <c r="AA273" s="268"/>
      <c r="AB273" s="237">
        <v>1165091</v>
      </c>
      <c r="AC273" s="443">
        <f>AB273/VPI!R273</f>
        <v>1.2024975879956317</v>
      </c>
      <c r="AD273" s="445">
        <f t="shared" si="26"/>
        <v>5638720</v>
      </c>
      <c r="AE273" s="443">
        <f>AD273/VPI!R273</f>
        <v>5.8197575978037142</v>
      </c>
      <c r="AF273" s="237">
        <v>6803811</v>
      </c>
      <c r="AG273" s="237">
        <v>5756426</v>
      </c>
      <c r="AH273" s="237">
        <v>73545</v>
      </c>
      <c r="AI273" s="272"/>
      <c r="AJ273" s="8">
        <v>0</v>
      </c>
      <c r="AK273" s="443">
        <f>AJ273/VPI!R273</f>
        <v>0</v>
      </c>
      <c r="AL273" s="445">
        <f t="shared" si="27"/>
        <v>100000</v>
      </c>
      <c r="AM273" s="443">
        <f>AL273/VPI!R273</f>
        <v>0.10321061513612513</v>
      </c>
      <c r="AN273" s="8">
        <v>100000</v>
      </c>
      <c r="AO273" s="272"/>
      <c r="AP273" s="529">
        <v>19.214138759942735</v>
      </c>
      <c r="AR273" s="546">
        <v>1</v>
      </c>
      <c r="AT273" s="239">
        <f t="shared" si="28"/>
        <v>72545001.360000014</v>
      </c>
      <c r="AU273" s="5">
        <f t="shared" si="29"/>
        <v>0</v>
      </c>
    </row>
    <row r="274" spans="1:47" x14ac:dyDescent="0.25">
      <c r="A274" s="192">
        <v>5891</v>
      </c>
      <c r="B274" s="447" t="s">
        <v>50</v>
      </c>
      <c r="C274" s="535">
        <v>1764304.9</v>
      </c>
      <c r="D274" s="535">
        <v>468885.77</v>
      </c>
      <c r="E274" s="535"/>
      <c r="F274" s="536"/>
      <c r="G274" s="535">
        <v>51815.5</v>
      </c>
      <c r="H274" s="535">
        <v>40143.25</v>
      </c>
      <c r="I274" s="535">
        <v>43104.95</v>
      </c>
      <c r="J274" s="535">
        <v>60495.839999999997</v>
      </c>
      <c r="K274" s="535">
        <v>15204.85</v>
      </c>
      <c r="L274" s="535">
        <v>442043.7</v>
      </c>
      <c r="M274" s="498">
        <f t="shared" si="24"/>
        <v>2885998.7600000002</v>
      </c>
      <c r="N274" s="243">
        <v>2689.3</v>
      </c>
      <c r="O274" s="243">
        <v>7716.2</v>
      </c>
      <c r="P274" s="243">
        <v>157602.6</v>
      </c>
      <c r="Q274" s="243">
        <v>9717.17</v>
      </c>
      <c r="R274" s="243">
        <v>94879.1</v>
      </c>
      <c r="S274" s="535">
        <v>10099.98</v>
      </c>
      <c r="T274" s="498">
        <f t="shared" si="25"/>
        <v>3168703.1100000003</v>
      </c>
      <c r="U274" s="239">
        <v>-38546.910000000003</v>
      </c>
      <c r="V274" s="243"/>
      <c r="W274" s="243">
        <v>-1163.5</v>
      </c>
      <c r="X274" s="540">
        <v>69.5</v>
      </c>
      <c r="Y274" s="543">
        <v>1.5</v>
      </c>
      <c r="Z274" s="215">
        <v>952</v>
      </c>
      <c r="AA274" s="268"/>
      <c r="AB274" s="237">
        <v>0</v>
      </c>
      <c r="AC274" s="443">
        <f>AB274/VPI!R274</f>
        <v>0</v>
      </c>
      <c r="AD274" s="445">
        <f t="shared" si="26"/>
        <v>203288</v>
      </c>
      <c r="AE274" s="443">
        <f>AD274/VPI!R274</f>
        <v>5.1966810134158345</v>
      </c>
      <c r="AF274" s="237">
        <v>203288</v>
      </c>
      <c r="AG274" s="237">
        <v>473483</v>
      </c>
      <c r="AH274" s="237">
        <v>30000</v>
      </c>
      <c r="AI274" s="272"/>
      <c r="AJ274" s="8">
        <v>17399</v>
      </c>
      <c r="AK274" s="443">
        <f>AJ274/VPI!R274</f>
        <v>0.44477319346160177</v>
      </c>
      <c r="AL274" s="445">
        <f t="shared" si="27"/>
        <v>402785</v>
      </c>
      <c r="AM274" s="443">
        <f>AL274/VPI!R274</f>
        <v>10.296452136814258</v>
      </c>
      <c r="AN274" s="8">
        <v>420184</v>
      </c>
      <c r="AO274" s="272"/>
      <c r="AP274" s="529">
        <v>34.552731552978493</v>
      </c>
      <c r="AR274" s="546">
        <v>1</v>
      </c>
      <c r="AT274" s="239">
        <f t="shared" si="28"/>
        <v>2885998.7600000002</v>
      </c>
      <c r="AU274" s="5">
        <f t="shared" si="29"/>
        <v>0</v>
      </c>
    </row>
    <row r="275" spans="1:47" s="239" customFormat="1" x14ac:dyDescent="0.25">
      <c r="A275" s="192">
        <v>5892</v>
      </c>
      <c r="B275" s="447" t="s">
        <v>560</v>
      </c>
      <c r="C275" s="535">
        <v>36178486.149999999</v>
      </c>
      <c r="D275" s="535">
        <v>7808380.9399999995</v>
      </c>
      <c r="E275" s="535">
        <v>0</v>
      </c>
      <c r="F275" s="535">
        <v>0</v>
      </c>
      <c r="G275" s="535">
        <v>462971.95</v>
      </c>
      <c r="H275" s="535">
        <v>181045.4</v>
      </c>
      <c r="I275" s="535">
        <v>683562.22</v>
      </c>
      <c r="J275" s="535">
        <v>-113790.93</v>
      </c>
      <c r="K275" s="535">
        <v>120094.05</v>
      </c>
      <c r="L275" s="535">
        <v>3743531.3499999996</v>
      </c>
      <c r="M275" s="498">
        <f t="shared" si="24"/>
        <v>49064281.129999995</v>
      </c>
      <c r="N275" s="535">
        <v>280137.40000000002</v>
      </c>
      <c r="O275" s="535">
        <v>2017854.38</v>
      </c>
      <c r="P275" s="535">
        <v>2868267.95</v>
      </c>
      <c r="Q275" s="535">
        <v>148092.65</v>
      </c>
      <c r="R275" s="535">
        <v>2609556.25</v>
      </c>
      <c r="S275" s="535">
        <v>70733.48</v>
      </c>
      <c r="T275" s="498">
        <f t="shared" si="25"/>
        <v>57058923.239999995</v>
      </c>
      <c r="U275" s="535">
        <v>-577938.79</v>
      </c>
      <c r="V275" s="535">
        <v>0</v>
      </c>
      <c r="W275" s="535">
        <v>-52627.7</v>
      </c>
      <c r="X275" s="535">
        <v>68.5</v>
      </c>
      <c r="Y275" s="535">
        <v>1.1000000000000001</v>
      </c>
      <c r="Z275" s="215">
        <v>11925</v>
      </c>
      <c r="AA275" s="535"/>
      <c r="AB275" s="559">
        <v>1039172</v>
      </c>
      <c r="AC275" s="443">
        <f>AB275/VPI!R275</f>
        <v>1.4734011888868539</v>
      </c>
      <c r="AD275" s="445">
        <f t="shared" si="26"/>
        <v>4671123</v>
      </c>
      <c r="AE275" s="443">
        <f>AD275/VPI!R275</f>
        <v>6.6230019492795495</v>
      </c>
      <c r="AF275" s="559">
        <v>5710295</v>
      </c>
      <c r="AG275" s="559">
        <v>2344928</v>
      </c>
      <c r="AH275" s="559">
        <v>747424</v>
      </c>
      <c r="AI275" s="550"/>
      <c r="AJ275" s="559">
        <v>54267</v>
      </c>
      <c r="AK275" s="443">
        <f>AJ275/VPI!R275</f>
        <v>7.6943049194284394E-2</v>
      </c>
      <c r="AL275" s="445">
        <f t="shared" si="27"/>
        <v>1093866</v>
      </c>
      <c r="AM275" s="443">
        <f>AL275/VPI!R275</f>
        <v>1.5509496646203971</v>
      </c>
      <c r="AN275" s="559">
        <v>1148133</v>
      </c>
      <c r="AO275" s="550"/>
      <c r="AP275" s="529">
        <v>31.957646128936378</v>
      </c>
      <c r="AQ275" s="535"/>
      <c r="AR275" s="546">
        <v>1</v>
      </c>
      <c r="AT275" s="239">
        <f t="shared" si="28"/>
        <v>49064281.129999995</v>
      </c>
      <c r="AU275" s="5">
        <f t="shared" si="29"/>
        <v>0</v>
      </c>
    </row>
    <row r="276" spans="1:47" x14ac:dyDescent="0.25">
      <c r="A276" s="192">
        <v>5902</v>
      </c>
      <c r="B276" s="447" t="s">
        <v>51</v>
      </c>
      <c r="C276" s="535">
        <v>704432.73</v>
      </c>
      <c r="D276" s="535">
        <v>78514.210000000006</v>
      </c>
      <c r="E276" s="535"/>
      <c r="F276" s="536"/>
      <c r="G276" s="535">
        <v>2078.9</v>
      </c>
      <c r="H276" s="535">
        <v>75.55</v>
      </c>
      <c r="I276" s="535"/>
      <c r="J276" s="535">
        <v>2692.1</v>
      </c>
      <c r="K276" s="535"/>
      <c r="L276" s="535">
        <v>59786.55</v>
      </c>
      <c r="M276" s="498">
        <f t="shared" si="24"/>
        <v>847580.04</v>
      </c>
      <c r="N276" s="243"/>
      <c r="O276" s="243">
        <v>360.6</v>
      </c>
      <c r="P276" s="243">
        <v>41136.35</v>
      </c>
      <c r="Q276" s="243"/>
      <c r="R276" s="243">
        <v>21279.599999999999</v>
      </c>
      <c r="S276" s="535">
        <v>236.62</v>
      </c>
      <c r="T276" s="498">
        <f t="shared" si="25"/>
        <v>910593.21</v>
      </c>
      <c r="U276" s="239">
        <v>-47.61</v>
      </c>
      <c r="V276" s="243"/>
      <c r="W276" s="243">
        <v>-135.94999999999999</v>
      </c>
      <c r="X276" s="540">
        <v>70</v>
      </c>
      <c r="Y276" s="543">
        <v>1</v>
      </c>
      <c r="Z276" s="215">
        <v>415</v>
      </c>
      <c r="AA276" s="268"/>
      <c r="AB276" s="237">
        <v>0</v>
      </c>
      <c r="AC276" s="443">
        <f>AB276/VPI!R276</f>
        <v>0</v>
      </c>
      <c r="AD276" s="445">
        <f t="shared" si="26"/>
        <v>171492</v>
      </c>
      <c r="AE276" s="443">
        <f>AD276/VPI!R276</f>
        <v>14.162306781082522</v>
      </c>
      <c r="AF276" s="237">
        <v>171492</v>
      </c>
      <c r="AG276" s="237">
        <v>17441</v>
      </c>
      <c r="AH276" s="237">
        <v>55286</v>
      </c>
      <c r="AI276" s="272"/>
      <c r="AJ276" s="8">
        <v>0</v>
      </c>
      <c r="AK276" s="443">
        <f>AJ276/VPI!R276</f>
        <v>0</v>
      </c>
      <c r="AL276" s="445">
        <f t="shared" si="27"/>
        <v>18744</v>
      </c>
      <c r="AM276" s="443">
        <f>AL276/VPI!R276</f>
        <v>1.5479338879050382</v>
      </c>
      <c r="AN276" s="8">
        <v>18744</v>
      </c>
      <c r="AO276" s="272"/>
      <c r="AP276" s="529">
        <v>25.786708294379022</v>
      </c>
      <c r="AR276" s="546">
        <v>0</v>
      </c>
      <c r="AT276" s="239">
        <f t="shared" si="28"/>
        <v>847580.04</v>
      </c>
      <c r="AU276" s="5">
        <f t="shared" si="29"/>
        <v>0</v>
      </c>
    </row>
    <row r="277" spans="1:47" x14ac:dyDescent="0.25">
      <c r="A277" s="192">
        <v>5903</v>
      </c>
      <c r="B277" s="447" t="s">
        <v>52</v>
      </c>
      <c r="C277" s="535">
        <v>359994.44</v>
      </c>
      <c r="D277" s="535">
        <v>41342.26</v>
      </c>
      <c r="E277" s="535"/>
      <c r="F277" s="536"/>
      <c r="G277" s="535">
        <v>-2390.1</v>
      </c>
      <c r="H277" s="535">
        <v>273</v>
      </c>
      <c r="I277" s="535"/>
      <c r="J277" s="535">
        <v>711.72</v>
      </c>
      <c r="K277" s="535"/>
      <c r="L277" s="535">
        <v>27100.35</v>
      </c>
      <c r="M277" s="498">
        <f t="shared" si="24"/>
        <v>427031.67</v>
      </c>
      <c r="N277" s="243">
        <v>35867.85</v>
      </c>
      <c r="O277" s="243"/>
      <c r="P277" s="243"/>
      <c r="Q277" s="243"/>
      <c r="R277" s="243"/>
      <c r="S277" s="535">
        <v>0</v>
      </c>
      <c r="T277" s="498">
        <f t="shared" si="25"/>
        <v>462899.51999999996</v>
      </c>
      <c r="U277" s="239">
        <v>-2000.24</v>
      </c>
      <c r="V277" s="243"/>
      <c r="W277" s="243">
        <v>-143.72</v>
      </c>
      <c r="X277" s="540">
        <v>72</v>
      </c>
      <c r="Y277" s="543">
        <v>0.7</v>
      </c>
      <c r="Z277" s="215">
        <v>234</v>
      </c>
      <c r="AA277" s="268"/>
      <c r="AB277" s="237">
        <v>147000</v>
      </c>
      <c r="AC277" s="443">
        <f>AB277/VPI!R277</f>
        <v>24.247303487318479</v>
      </c>
      <c r="AD277" s="445">
        <f t="shared" si="26"/>
        <v>58763</v>
      </c>
      <c r="AE277" s="443">
        <f>AD277/VPI!R277</f>
        <v>9.6928183321448689</v>
      </c>
      <c r="AF277" s="237">
        <v>205763</v>
      </c>
      <c r="AG277" s="237">
        <v>10130</v>
      </c>
      <c r="AH277" s="237">
        <v>20578</v>
      </c>
      <c r="AI277" s="272"/>
      <c r="AJ277" s="8">
        <v>0</v>
      </c>
      <c r="AK277" s="443">
        <f>AJ277/VPI!R277</f>
        <v>0</v>
      </c>
      <c r="AL277" s="445">
        <f t="shared" si="27"/>
        <v>21992</v>
      </c>
      <c r="AM277" s="443">
        <f>AL277/VPI!R277</f>
        <v>3.627528559817061</v>
      </c>
      <c r="AN277" s="8">
        <v>21992</v>
      </c>
      <c r="AO277" s="272"/>
      <c r="AP277" s="529">
        <v>7.1864472980365672</v>
      </c>
      <c r="AR277" s="546">
        <v>0</v>
      </c>
      <c r="AT277" s="239">
        <f t="shared" si="28"/>
        <v>427031.67</v>
      </c>
      <c r="AU277" s="5">
        <f t="shared" si="29"/>
        <v>0</v>
      </c>
    </row>
    <row r="278" spans="1:47" x14ac:dyDescent="0.25">
      <c r="A278" s="192">
        <v>5904</v>
      </c>
      <c r="B278" s="447" t="s">
        <v>53</v>
      </c>
      <c r="C278" s="535">
        <v>1155619.8999999999</v>
      </c>
      <c r="D278" s="535">
        <v>166690.88</v>
      </c>
      <c r="E278" s="535"/>
      <c r="F278" s="536"/>
      <c r="G278" s="535">
        <v>17248.7</v>
      </c>
      <c r="H278" s="535">
        <v>656.05</v>
      </c>
      <c r="I278" s="535"/>
      <c r="J278" s="535">
        <v>27953.1</v>
      </c>
      <c r="K278" s="535">
        <v>1431.65</v>
      </c>
      <c r="L278" s="535">
        <v>97989.1</v>
      </c>
      <c r="M278" s="498">
        <f t="shared" si="24"/>
        <v>1467589.38</v>
      </c>
      <c r="N278" s="243">
        <v>32442.95</v>
      </c>
      <c r="O278" s="243"/>
      <c r="P278" s="243">
        <v>34131.1</v>
      </c>
      <c r="Q278" s="243"/>
      <c r="R278" s="243">
        <v>12514</v>
      </c>
      <c r="S278" s="535">
        <v>1966.51</v>
      </c>
      <c r="T278" s="498">
        <f t="shared" si="25"/>
        <v>1548643.94</v>
      </c>
      <c r="U278" s="239">
        <v>-5642.34</v>
      </c>
      <c r="V278" s="243"/>
      <c r="W278" s="243">
        <v>-212.77</v>
      </c>
      <c r="X278" s="540">
        <v>66</v>
      </c>
      <c r="Y278" s="543">
        <v>1</v>
      </c>
      <c r="Z278" s="215">
        <v>561</v>
      </c>
      <c r="AA278" s="268"/>
      <c r="AB278" s="237">
        <v>0</v>
      </c>
      <c r="AC278" s="443">
        <f>AB278/VPI!R278</f>
        <v>0</v>
      </c>
      <c r="AD278" s="445">
        <f t="shared" si="26"/>
        <v>92351</v>
      </c>
      <c r="AE278" s="443">
        <f>AD278/VPI!R278</f>
        <v>4.1642158583805635</v>
      </c>
      <c r="AF278" s="237">
        <v>92351</v>
      </c>
      <c r="AG278" s="237">
        <v>24620</v>
      </c>
      <c r="AH278" s="237">
        <v>15749</v>
      </c>
      <c r="AI278" s="272"/>
      <c r="AJ278" s="8">
        <v>0</v>
      </c>
      <c r="AK278" s="443">
        <f>AJ278/VPI!R278</f>
        <v>0</v>
      </c>
      <c r="AL278" s="445">
        <f t="shared" si="27"/>
        <v>3647</v>
      </c>
      <c r="AM278" s="443">
        <f>AL278/VPI!R278</f>
        <v>0.16444754507816825</v>
      </c>
      <c r="AN278" s="8">
        <v>3647</v>
      </c>
      <c r="AO278" s="272"/>
      <c r="AP278" s="529">
        <v>29.399523032554129</v>
      </c>
      <c r="AR278" s="546">
        <v>1</v>
      </c>
      <c r="AT278" s="239">
        <f t="shared" si="28"/>
        <v>1467589.38</v>
      </c>
      <c r="AU278" s="5">
        <f t="shared" si="29"/>
        <v>0</v>
      </c>
    </row>
    <row r="279" spans="1:47" x14ac:dyDescent="0.25">
      <c r="A279" s="192">
        <v>5905</v>
      </c>
      <c r="B279" s="447" t="s">
        <v>54</v>
      </c>
      <c r="C279" s="535">
        <v>1120660.1000000001</v>
      </c>
      <c r="D279" s="535">
        <v>196376.23</v>
      </c>
      <c r="E279" s="535"/>
      <c r="F279" s="536"/>
      <c r="G279" s="535">
        <v>153171.5</v>
      </c>
      <c r="H279" s="535">
        <v>7342.75</v>
      </c>
      <c r="I279" s="535"/>
      <c r="J279" s="535">
        <v>27902.33</v>
      </c>
      <c r="K279" s="535">
        <v>3104.55</v>
      </c>
      <c r="L279" s="536">
        <v>107781</v>
      </c>
      <c r="M279" s="498">
        <f t="shared" si="24"/>
        <v>1616338.4600000002</v>
      </c>
      <c r="N279" s="243">
        <v>273258</v>
      </c>
      <c r="O279" s="243"/>
      <c r="P279" s="243">
        <v>66973.7</v>
      </c>
      <c r="Q279" s="243">
        <v>465.13</v>
      </c>
      <c r="R279" s="243">
        <v>118583.65</v>
      </c>
      <c r="S279" s="535">
        <v>17629.54</v>
      </c>
      <c r="T279" s="498">
        <f t="shared" si="25"/>
        <v>2093248.48</v>
      </c>
      <c r="U279" s="239">
        <v>-3492.36</v>
      </c>
      <c r="V279" s="243"/>
      <c r="W279" s="243">
        <v>-614.89</v>
      </c>
      <c r="X279" s="540">
        <v>70</v>
      </c>
      <c r="Y279" s="543">
        <v>1</v>
      </c>
      <c r="Z279" s="215">
        <v>712</v>
      </c>
      <c r="AA279" s="268"/>
      <c r="AB279" s="237">
        <v>11312</v>
      </c>
      <c r="AC279" s="443">
        <f>AB279/VPI!R279</f>
        <v>0.48569430793799329</v>
      </c>
      <c r="AD279" s="445">
        <f t="shared" si="26"/>
        <v>87983</v>
      </c>
      <c r="AE279" s="443">
        <f>AD279/VPI!R279</f>
        <v>3.7776557898964342</v>
      </c>
      <c r="AF279" s="237">
        <v>99295</v>
      </c>
      <c r="AG279" s="237">
        <v>76636</v>
      </c>
      <c r="AH279" s="237">
        <v>26634</v>
      </c>
      <c r="AI279" s="272"/>
      <c r="AJ279" s="8">
        <v>0</v>
      </c>
      <c r="AK279" s="443">
        <f>AJ279/VPI!R279</f>
        <v>0</v>
      </c>
      <c r="AL279" s="445">
        <f t="shared" si="27"/>
        <v>37922</v>
      </c>
      <c r="AM279" s="443">
        <f>AL279/VPI!R279</f>
        <v>1.6282266217843513</v>
      </c>
      <c r="AN279" s="8">
        <v>37922</v>
      </c>
      <c r="AO279" s="272"/>
      <c r="AP279" s="529">
        <v>23.295085971684554</v>
      </c>
      <c r="AR279" s="546">
        <v>0</v>
      </c>
      <c r="AT279" s="239">
        <f t="shared" si="28"/>
        <v>1616338.4600000002</v>
      </c>
      <c r="AU279" s="5">
        <f t="shared" si="29"/>
        <v>0</v>
      </c>
    </row>
    <row r="280" spans="1:47" x14ac:dyDescent="0.25">
      <c r="A280" s="192">
        <v>5907</v>
      </c>
      <c r="B280" s="447" t="s">
        <v>55</v>
      </c>
      <c r="C280" s="535">
        <v>496341.2</v>
      </c>
      <c r="D280" s="535">
        <v>50665.05</v>
      </c>
      <c r="E280" s="535"/>
      <c r="F280" s="536">
        <v>2030</v>
      </c>
      <c r="G280" s="535">
        <v>1168.05</v>
      </c>
      <c r="H280" s="535">
        <v>-344</v>
      </c>
      <c r="I280" s="535"/>
      <c r="J280" s="535">
        <v>-9093.52</v>
      </c>
      <c r="K280" s="535">
        <v>520.70000000000005</v>
      </c>
      <c r="L280" s="535">
        <v>48075.75</v>
      </c>
      <c r="M280" s="498">
        <f t="shared" si="24"/>
        <v>589363.23</v>
      </c>
      <c r="N280" s="243">
        <v>8695.1</v>
      </c>
      <c r="O280" s="243"/>
      <c r="P280" s="243">
        <v>10435.35</v>
      </c>
      <c r="Q280" s="243"/>
      <c r="R280" s="243">
        <v>9770</v>
      </c>
      <c r="S280" s="535">
        <v>90.51</v>
      </c>
      <c r="T280" s="498">
        <f t="shared" si="25"/>
        <v>618354.18999999994</v>
      </c>
      <c r="U280" s="239">
        <v>-3075.95</v>
      </c>
      <c r="V280" s="243"/>
      <c r="W280" s="243">
        <v>-4.53</v>
      </c>
      <c r="X280" s="540">
        <v>75</v>
      </c>
      <c r="Y280" s="543">
        <v>1</v>
      </c>
      <c r="Z280" s="215">
        <v>325</v>
      </c>
      <c r="AA280" s="268"/>
      <c r="AB280" s="237">
        <v>52067</v>
      </c>
      <c r="AC280" s="443">
        <f>AB280/VPI!R280</f>
        <v>6.6596232577181302</v>
      </c>
      <c r="AD280" s="445">
        <f t="shared" si="26"/>
        <v>48667</v>
      </c>
      <c r="AE280" s="443">
        <f>AD280/VPI!R280</f>
        <v>6.2247466741576858</v>
      </c>
      <c r="AF280" s="237">
        <v>100734</v>
      </c>
      <c r="AG280" s="237">
        <v>14270</v>
      </c>
      <c r="AH280" s="237">
        <v>30379</v>
      </c>
      <c r="AI280" s="272"/>
      <c r="AJ280" s="8">
        <v>0</v>
      </c>
      <c r="AK280" s="443">
        <f>AJ280/VPI!R280</f>
        <v>0</v>
      </c>
      <c r="AL280" s="445">
        <f t="shared" si="27"/>
        <v>15840</v>
      </c>
      <c r="AM280" s="443">
        <f>AL280/VPI!R280</f>
        <v>2.0260132598815983</v>
      </c>
      <c r="AN280" s="8">
        <v>15840</v>
      </c>
      <c r="AO280" s="272"/>
      <c r="AP280" s="529">
        <v>20.011107887031461</v>
      </c>
      <c r="AR280" s="546">
        <v>0</v>
      </c>
      <c r="AT280" s="239">
        <f t="shared" si="28"/>
        <v>589363.23</v>
      </c>
      <c r="AU280" s="5">
        <f t="shared" si="29"/>
        <v>0</v>
      </c>
    </row>
    <row r="281" spans="1:47" x14ac:dyDescent="0.25">
      <c r="A281" s="192">
        <v>5908</v>
      </c>
      <c r="B281" s="447" t="s">
        <v>56</v>
      </c>
      <c r="C281" s="535">
        <v>261879.2</v>
      </c>
      <c r="D281" s="535">
        <v>47070.62</v>
      </c>
      <c r="E281" s="535"/>
      <c r="F281" s="536"/>
      <c r="G281" s="535">
        <v>10549.75</v>
      </c>
      <c r="H281" s="535">
        <v>-162.94999999999999</v>
      </c>
      <c r="I281" s="535"/>
      <c r="J281" s="535">
        <v>11594.65</v>
      </c>
      <c r="K281" s="535">
        <v>662.95</v>
      </c>
      <c r="L281" s="535">
        <v>23047.35</v>
      </c>
      <c r="M281" s="498">
        <f t="shared" si="24"/>
        <v>354641.57</v>
      </c>
      <c r="N281" s="243">
        <v>436.2</v>
      </c>
      <c r="O281" s="243">
        <v>8555.2000000000007</v>
      </c>
      <c r="P281" s="243">
        <v>4400</v>
      </c>
      <c r="Q281" s="243"/>
      <c r="R281" s="243">
        <v>1651.25</v>
      </c>
      <c r="S281" s="535">
        <v>1140.8</v>
      </c>
      <c r="T281" s="498">
        <f t="shared" si="25"/>
        <v>370825.02</v>
      </c>
      <c r="U281" s="239">
        <v>-7072.3</v>
      </c>
      <c r="V281" s="243"/>
      <c r="W281" s="243">
        <v>-49.33</v>
      </c>
      <c r="X281" s="540">
        <v>79</v>
      </c>
      <c r="Y281" s="543">
        <v>1</v>
      </c>
      <c r="Z281" s="215">
        <v>153</v>
      </c>
      <c r="AA281" s="268"/>
      <c r="AB281" s="237">
        <v>3350</v>
      </c>
      <c r="AC281" s="443">
        <f>AB281/VPI!R281</f>
        <v>0.75904731917909662</v>
      </c>
      <c r="AD281" s="445">
        <f t="shared" si="26"/>
        <v>34250</v>
      </c>
      <c r="AE281" s="443">
        <f>AD281/VPI!R281</f>
        <v>7.7604091587713606</v>
      </c>
      <c r="AF281" s="237">
        <v>37600</v>
      </c>
      <c r="AG281" s="237">
        <v>6342</v>
      </c>
      <c r="AH281" s="237">
        <v>13905</v>
      </c>
      <c r="AI281" s="272"/>
      <c r="AJ281" s="8">
        <v>0</v>
      </c>
      <c r="AK281" s="443">
        <f>AJ281/VPI!R281</f>
        <v>0</v>
      </c>
      <c r="AL281" s="445">
        <f t="shared" si="27"/>
        <v>19250</v>
      </c>
      <c r="AM281" s="443">
        <f>AL281/VPI!R281</f>
        <v>4.3616898191634652</v>
      </c>
      <c r="AN281" s="8">
        <v>19250</v>
      </c>
      <c r="AO281" s="272"/>
      <c r="AP281" s="529">
        <v>17.652941195898244</v>
      </c>
      <c r="AR281" s="546">
        <v>0</v>
      </c>
      <c r="AT281" s="239">
        <f t="shared" si="28"/>
        <v>354641.57</v>
      </c>
      <c r="AU281" s="5">
        <f t="shared" si="29"/>
        <v>0</v>
      </c>
    </row>
    <row r="282" spans="1:47" x14ac:dyDescent="0.25">
      <c r="A282" s="192">
        <v>5909</v>
      </c>
      <c r="B282" s="447" t="s">
        <v>57</v>
      </c>
      <c r="C282" s="535">
        <v>1906338.17</v>
      </c>
      <c r="D282" s="535">
        <v>386515.57</v>
      </c>
      <c r="E282" s="535"/>
      <c r="F282" s="536"/>
      <c r="G282" s="535">
        <v>-10397.5</v>
      </c>
      <c r="H282" s="535">
        <v>1923.55</v>
      </c>
      <c r="I282" s="535"/>
      <c r="J282" s="535">
        <v>25369.15</v>
      </c>
      <c r="K282" s="535">
        <v>768.05</v>
      </c>
      <c r="L282" s="535">
        <v>163216.22</v>
      </c>
      <c r="M282" s="498">
        <f t="shared" si="24"/>
        <v>2473733.2099999995</v>
      </c>
      <c r="N282" s="243">
        <v>7393.8</v>
      </c>
      <c r="O282" s="243">
        <v>15566.6</v>
      </c>
      <c r="P282" s="243">
        <v>112643.65</v>
      </c>
      <c r="Q282" s="243">
        <v>2108.14</v>
      </c>
      <c r="R282" s="243">
        <v>137179.85</v>
      </c>
      <c r="S282" s="535">
        <v>0</v>
      </c>
      <c r="T282" s="498">
        <f t="shared" si="25"/>
        <v>2748625.2499999995</v>
      </c>
      <c r="U282" s="239">
        <v>-1915.8</v>
      </c>
      <c r="V282" s="243"/>
      <c r="W282" s="243">
        <v>-761.37</v>
      </c>
      <c r="X282" s="540">
        <v>67</v>
      </c>
      <c r="Y282" s="543">
        <v>1</v>
      </c>
      <c r="Z282" s="215">
        <v>728</v>
      </c>
      <c r="AA282" s="268"/>
      <c r="AB282" s="237">
        <v>115670</v>
      </c>
      <c r="AC282" s="443">
        <f>AB282/VPI!R282</f>
        <v>3.1335930152441396</v>
      </c>
      <c r="AD282" s="445">
        <f t="shared" si="26"/>
        <v>73553</v>
      </c>
      <c r="AE282" s="443">
        <f>AD282/VPI!R282</f>
        <v>1.992609726378942</v>
      </c>
      <c r="AF282" s="237">
        <v>189223</v>
      </c>
      <c r="AG282" s="237">
        <v>137967</v>
      </c>
      <c r="AH282" s="237">
        <v>25091</v>
      </c>
      <c r="AI282" s="272"/>
      <c r="AJ282" s="8">
        <v>0</v>
      </c>
      <c r="AK282" s="443">
        <f>AJ282/VPI!R282</f>
        <v>0</v>
      </c>
      <c r="AL282" s="445">
        <f t="shared" si="27"/>
        <v>15691</v>
      </c>
      <c r="AM282" s="443">
        <f>AL282/VPI!R282</f>
        <v>0.42508176711503237</v>
      </c>
      <c r="AN282" s="8">
        <v>15691</v>
      </c>
      <c r="AO282" s="272"/>
      <c r="AP282" s="529">
        <v>34.360657415176924</v>
      </c>
      <c r="AR282" s="546">
        <v>1</v>
      </c>
      <c r="AT282" s="239">
        <f t="shared" si="28"/>
        <v>2473733.2099999995</v>
      </c>
      <c r="AU282" s="5">
        <f t="shared" si="29"/>
        <v>0</v>
      </c>
    </row>
    <row r="283" spans="1:47" x14ac:dyDescent="0.25">
      <c r="A283" s="192">
        <v>5910</v>
      </c>
      <c r="B283" s="447" t="s">
        <v>58</v>
      </c>
      <c r="C283" s="535">
        <v>666922.73</v>
      </c>
      <c r="D283" s="535">
        <v>84650.86</v>
      </c>
      <c r="E283" s="535"/>
      <c r="F283" s="536">
        <v>2200</v>
      </c>
      <c r="G283" s="535">
        <v>9787.2000000000007</v>
      </c>
      <c r="H283" s="535">
        <v>127.8</v>
      </c>
      <c r="I283" s="535"/>
      <c r="J283" s="535">
        <v>8599.1200000000008</v>
      </c>
      <c r="K283" s="535"/>
      <c r="L283" s="535">
        <v>61018</v>
      </c>
      <c r="M283" s="498">
        <f t="shared" si="24"/>
        <v>833305.71</v>
      </c>
      <c r="N283" s="243"/>
      <c r="O283" s="243"/>
      <c r="P283" s="243">
        <v>44207.8</v>
      </c>
      <c r="Q283" s="243"/>
      <c r="R283" s="243">
        <v>13554.7</v>
      </c>
      <c r="S283" s="535">
        <v>1088.98</v>
      </c>
      <c r="T283" s="498">
        <f t="shared" si="25"/>
        <v>892157.19</v>
      </c>
      <c r="U283" s="239">
        <v>-18196.66</v>
      </c>
      <c r="V283" s="243"/>
      <c r="W283" s="243">
        <v>0</v>
      </c>
      <c r="X283" s="540">
        <v>77</v>
      </c>
      <c r="Y283" s="543">
        <v>1</v>
      </c>
      <c r="Z283" s="215">
        <v>403</v>
      </c>
      <c r="AA283" s="268"/>
      <c r="AB283" s="237">
        <v>4667</v>
      </c>
      <c r="AC283" s="443">
        <f>AB283/VPI!R283</f>
        <v>0.44028408154819981</v>
      </c>
      <c r="AD283" s="445">
        <f t="shared" si="26"/>
        <v>29733</v>
      </c>
      <c r="AE283" s="443">
        <f>AD283/VPI!R283</f>
        <v>2.8050067702319743</v>
      </c>
      <c r="AF283" s="237">
        <v>34400</v>
      </c>
      <c r="AG283" s="237">
        <v>25964</v>
      </c>
      <c r="AH283" s="237">
        <v>36360</v>
      </c>
      <c r="AI283" s="272"/>
      <c r="AJ283" s="8">
        <v>0</v>
      </c>
      <c r="AK283" s="443">
        <f>AJ283/VPI!R283</f>
        <v>0</v>
      </c>
      <c r="AL283" s="445">
        <f t="shared" si="27"/>
        <v>67031</v>
      </c>
      <c r="AM283" s="443">
        <f>AL283/VPI!R283</f>
        <v>6.3236945083045599</v>
      </c>
      <c r="AN283" s="8">
        <v>67031</v>
      </c>
      <c r="AO283" s="272"/>
      <c r="AP283" s="529">
        <v>8.9475515845046161</v>
      </c>
      <c r="AR283" s="546">
        <v>0</v>
      </c>
      <c r="AT283" s="239">
        <f t="shared" si="28"/>
        <v>833305.71</v>
      </c>
      <c r="AU283" s="5">
        <f t="shared" si="29"/>
        <v>0</v>
      </c>
    </row>
    <row r="284" spans="1:47" x14ac:dyDescent="0.25">
      <c r="A284" s="192">
        <v>5911</v>
      </c>
      <c r="B284" s="447" t="s">
        <v>59</v>
      </c>
      <c r="C284" s="535">
        <v>467737.02</v>
      </c>
      <c r="D284" s="535">
        <v>64690.2</v>
      </c>
      <c r="E284" s="535"/>
      <c r="F284" s="536">
        <v>1380</v>
      </c>
      <c r="G284" s="535">
        <v>7413.25</v>
      </c>
      <c r="H284" s="535">
        <v>-303.89999999999998</v>
      </c>
      <c r="I284" s="535"/>
      <c r="J284" s="535">
        <v>1364.8</v>
      </c>
      <c r="K284" s="535">
        <v>2738.5</v>
      </c>
      <c r="L284" s="535">
        <v>35287.1</v>
      </c>
      <c r="M284" s="498">
        <f t="shared" si="24"/>
        <v>580306.97</v>
      </c>
      <c r="N284" s="243">
        <v>1009.45</v>
      </c>
      <c r="O284" s="243">
        <v>1676.5</v>
      </c>
      <c r="P284" s="243">
        <v>18095.45</v>
      </c>
      <c r="Q284" s="243"/>
      <c r="R284" s="243">
        <v>28123.95</v>
      </c>
      <c r="S284" s="535">
        <v>780.83</v>
      </c>
      <c r="T284" s="498">
        <f t="shared" si="25"/>
        <v>629993.14999999979</v>
      </c>
      <c r="U284" s="239">
        <v>-2706.69</v>
      </c>
      <c r="V284" s="243"/>
      <c r="W284" s="243">
        <v>-600.22</v>
      </c>
      <c r="X284" s="540">
        <v>77</v>
      </c>
      <c r="Y284" s="543">
        <v>1</v>
      </c>
      <c r="Z284" s="215">
        <v>245</v>
      </c>
      <c r="AA284" s="268"/>
      <c r="AB284" s="237">
        <v>0</v>
      </c>
      <c r="AC284" s="443">
        <f>AB284/VPI!R284</f>
        <v>0</v>
      </c>
      <c r="AD284" s="445">
        <f t="shared" si="26"/>
        <v>52898</v>
      </c>
      <c r="AE284" s="443">
        <f>AD284/VPI!R284</f>
        <v>7.0496377960856389</v>
      </c>
      <c r="AF284" s="237">
        <v>52898</v>
      </c>
      <c r="AG284" s="237">
        <v>10306</v>
      </c>
      <c r="AH284" s="237">
        <v>19052</v>
      </c>
      <c r="AI284" s="272"/>
      <c r="AJ284" s="8">
        <v>0</v>
      </c>
      <c r="AK284" s="443">
        <f>AJ284/VPI!R284</f>
        <v>0</v>
      </c>
      <c r="AL284" s="445">
        <f t="shared" si="27"/>
        <v>18077</v>
      </c>
      <c r="AM284" s="443">
        <f>AL284/VPI!R284</f>
        <v>2.4090949079330048</v>
      </c>
      <c r="AN284" s="8">
        <v>18077</v>
      </c>
      <c r="AO284" s="272"/>
      <c r="AP284" s="529">
        <v>16.522543753039951</v>
      </c>
      <c r="AR284" s="546">
        <v>0</v>
      </c>
      <c r="AT284" s="239">
        <f t="shared" si="28"/>
        <v>580306.97</v>
      </c>
      <c r="AU284" s="5">
        <f t="shared" si="29"/>
        <v>0</v>
      </c>
    </row>
    <row r="285" spans="1:47" x14ac:dyDescent="0.25">
      <c r="A285" s="192">
        <v>5912</v>
      </c>
      <c r="B285" s="447" t="s">
        <v>60</v>
      </c>
      <c r="C285" s="535">
        <v>328189.94</v>
      </c>
      <c r="D285" s="535">
        <v>22756.41</v>
      </c>
      <c r="E285" s="535"/>
      <c r="F285" s="536">
        <v>880</v>
      </c>
      <c r="G285" s="535">
        <v>3576.9</v>
      </c>
      <c r="H285" s="535">
        <v>379.75</v>
      </c>
      <c r="I285" s="535"/>
      <c r="J285" s="535">
        <v>6624.13</v>
      </c>
      <c r="K285" s="535"/>
      <c r="L285" s="535">
        <v>21877.3</v>
      </c>
      <c r="M285" s="498">
        <f t="shared" si="24"/>
        <v>384284.43</v>
      </c>
      <c r="N285" s="243">
        <v>3569.75</v>
      </c>
      <c r="O285" s="243"/>
      <c r="P285" s="243">
        <v>20262.2</v>
      </c>
      <c r="Q285" s="243"/>
      <c r="R285" s="243">
        <v>11314.3</v>
      </c>
      <c r="S285" s="535">
        <v>434.56</v>
      </c>
      <c r="T285" s="498">
        <f t="shared" si="25"/>
        <v>419865.24</v>
      </c>
      <c r="U285" s="239">
        <v>-2205.6</v>
      </c>
      <c r="V285" s="243"/>
      <c r="W285" s="243">
        <v>0</v>
      </c>
      <c r="X285" s="540">
        <v>81</v>
      </c>
      <c r="Y285" s="543">
        <v>1</v>
      </c>
      <c r="Z285" s="215">
        <v>164</v>
      </c>
      <c r="AA285" s="268"/>
      <c r="AB285" s="237">
        <v>0</v>
      </c>
      <c r="AC285" s="443">
        <f>AB285/VPI!R285</f>
        <v>0</v>
      </c>
      <c r="AD285" s="445">
        <f t="shared" si="26"/>
        <v>16350</v>
      </c>
      <c r="AE285" s="443">
        <f>AD285/VPI!R285</f>
        <v>3.4622317404365899</v>
      </c>
      <c r="AF285" s="237">
        <v>16350</v>
      </c>
      <c r="AG285" s="237">
        <v>6959</v>
      </c>
      <c r="AH285" s="237">
        <v>12912</v>
      </c>
      <c r="AI285" s="272"/>
      <c r="AJ285" s="8">
        <v>0</v>
      </c>
      <c r="AK285" s="443">
        <f>AJ285/VPI!R285</f>
        <v>0</v>
      </c>
      <c r="AL285" s="445">
        <f t="shared" si="27"/>
        <v>29223</v>
      </c>
      <c r="AM285" s="443">
        <f>AL285/VPI!R285</f>
        <v>6.1881833731362974</v>
      </c>
      <c r="AN285" s="8">
        <v>29223</v>
      </c>
      <c r="AO285" s="272"/>
      <c r="AP285" s="529">
        <v>10.941216035539986</v>
      </c>
      <c r="AR285" s="546">
        <v>0</v>
      </c>
      <c r="AT285" s="239">
        <f t="shared" si="28"/>
        <v>384284.43</v>
      </c>
      <c r="AU285" s="5">
        <f t="shared" si="29"/>
        <v>0</v>
      </c>
    </row>
    <row r="286" spans="1:47" x14ac:dyDescent="0.25">
      <c r="A286" s="192">
        <v>5913</v>
      </c>
      <c r="B286" s="447" t="s">
        <v>61</v>
      </c>
      <c r="C286" s="535">
        <v>1421452.94</v>
      </c>
      <c r="D286" s="535">
        <v>191745.01</v>
      </c>
      <c r="E286" s="535"/>
      <c r="F286" s="536"/>
      <c r="G286" s="535">
        <v>3323.85</v>
      </c>
      <c r="H286" s="535">
        <v>171.85</v>
      </c>
      <c r="I286" s="535"/>
      <c r="J286" s="535">
        <v>21753.759999999998</v>
      </c>
      <c r="K286" s="535">
        <v>1585.35</v>
      </c>
      <c r="L286" s="535">
        <v>121723</v>
      </c>
      <c r="M286" s="498">
        <f t="shared" si="24"/>
        <v>1761755.7600000002</v>
      </c>
      <c r="N286" s="243">
        <v>29277.45</v>
      </c>
      <c r="O286" s="243">
        <v>4630.3</v>
      </c>
      <c r="P286" s="243">
        <v>91602.5</v>
      </c>
      <c r="Q286" s="243"/>
      <c r="R286" s="243">
        <v>47018.9</v>
      </c>
      <c r="S286" s="535">
        <v>383.94</v>
      </c>
      <c r="T286" s="498">
        <f t="shared" si="25"/>
        <v>1934668.85</v>
      </c>
      <c r="U286" s="239">
        <v>-17825.29</v>
      </c>
      <c r="V286" s="243"/>
      <c r="W286" s="243">
        <v>-113.86</v>
      </c>
      <c r="X286" s="540">
        <v>73</v>
      </c>
      <c r="Y286" s="543">
        <v>1</v>
      </c>
      <c r="Z286" s="215">
        <v>891</v>
      </c>
      <c r="AA286" s="268"/>
      <c r="AB286" s="237">
        <v>23060</v>
      </c>
      <c r="AC286" s="443">
        <f>AB286/VPI!R286</f>
        <v>0.96512984129032653</v>
      </c>
      <c r="AD286" s="445">
        <f t="shared" si="26"/>
        <v>48223</v>
      </c>
      <c r="AE286" s="443">
        <f>AD286/VPI!R286</f>
        <v>2.0182765106913885</v>
      </c>
      <c r="AF286" s="237">
        <v>71283</v>
      </c>
      <c r="AG286" s="237">
        <v>54768</v>
      </c>
      <c r="AH286" s="237">
        <v>72902</v>
      </c>
      <c r="AI286" s="272"/>
      <c r="AJ286" s="8">
        <v>0</v>
      </c>
      <c r="AK286" s="443">
        <f>AJ286/VPI!R286</f>
        <v>0</v>
      </c>
      <c r="AL286" s="445">
        <f t="shared" si="27"/>
        <v>51875</v>
      </c>
      <c r="AM286" s="443">
        <f>AL286/VPI!R286</f>
        <v>2.1711236130501166</v>
      </c>
      <c r="AN286" s="8">
        <v>51875</v>
      </c>
      <c r="AO286" s="272"/>
      <c r="AP286" s="529">
        <v>11.192362002573077</v>
      </c>
      <c r="AR286" s="546">
        <v>0</v>
      </c>
      <c r="AT286" s="239">
        <f t="shared" si="28"/>
        <v>1761755.7600000002</v>
      </c>
      <c r="AU286" s="5">
        <f t="shared" si="29"/>
        <v>0</v>
      </c>
    </row>
    <row r="287" spans="1:47" x14ac:dyDescent="0.25">
      <c r="A287" s="192">
        <v>5914</v>
      </c>
      <c r="B287" s="447" t="s">
        <v>62</v>
      </c>
      <c r="C287" s="535">
        <v>562856.05000000005</v>
      </c>
      <c r="D287" s="535">
        <v>63058.61</v>
      </c>
      <c r="E287" s="535"/>
      <c r="F287" s="536">
        <v>2290</v>
      </c>
      <c r="G287" s="535">
        <v>14313.7</v>
      </c>
      <c r="H287" s="535">
        <v>6594.85</v>
      </c>
      <c r="I287" s="535"/>
      <c r="J287" s="535">
        <v>7438.26</v>
      </c>
      <c r="K287" s="535">
        <v>8081.45</v>
      </c>
      <c r="L287" s="535">
        <v>64880.15</v>
      </c>
      <c r="M287" s="498">
        <f t="shared" si="24"/>
        <v>729513.07</v>
      </c>
      <c r="N287" s="243">
        <v>11708.55</v>
      </c>
      <c r="O287" s="243">
        <v>44453.2</v>
      </c>
      <c r="P287" s="243">
        <v>42893</v>
      </c>
      <c r="Q287" s="243">
        <v>2446.0500000000002</v>
      </c>
      <c r="R287" s="243">
        <v>33599.1</v>
      </c>
      <c r="S287" s="535">
        <v>2296.42</v>
      </c>
      <c r="T287" s="498">
        <f t="shared" si="25"/>
        <v>866909.39</v>
      </c>
      <c r="U287" s="239">
        <v>-11855.03</v>
      </c>
      <c r="V287" s="243"/>
      <c r="W287" s="243">
        <v>-3.01</v>
      </c>
      <c r="X287" s="540">
        <v>73.5</v>
      </c>
      <c r="Y287" s="543">
        <v>1</v>
      </c>
      <c r="Z287" s="215">
        <v>381</v>
      </c>
      <c r="AA287" s="268"/>
      <c r="AB287" s="237">
        <v>23948</v>
      </c>
      <c r="AC287" s="443">
        <f>AB287/VPI!R287</f>
        <v>2.4365781996753868</v>
      </c>
      <c r="AD287" s="445">
        <f t="shared" si="26"/>
        <v>31250</v>
      </c>
      <c r="AE287" s="443">
        <f>AD287/VPI!R287</f>
        <v>3.1795168172647332</v>
      </c>
      <c r="AF287" s="237">
        <v>55198</v>
      </c>
      <c r="AG287" s="237">
        <v>42722</v>
      </c>
      <c r="AH287" s="237">
        <v>52535</v>
      </c>
      <c r="AI287" s="272"/>
      <c r="AJ287" s="8">
        <v>0</v>
      </c>
      <c r="AK287" s="443">
        <f>AJ287/VPI!R287</f>
        <v>0</v>
      </c>
      <c r="AL287" s="445">
        <f t="shared" si="27"/>
        <v>17400</v>
      </c>
      <c r="AM287" s="443">
        <f>AL287/VPI!R287</f>
        <v>1.7703549638530036</v>
      </c>
      <c r="AN287" s="8">
        <v>17400</v>
      </c>
      <c r="AO287" s="272"/>
      <c r="AP287" s="529">
        <v>16.811028340249177</v>
      </c>
      <c r="AR287" s="546">
        <v>1</v>
      </c>
      <c r="AT287" s="239">
        <f t="shared" si="28"/>
        <v>729513.07</v>
      </c>
      <c r="AU287" s="5">
        <f t="shared" si="29"/>
        <v>0</v>
      </c>
    </row>
    <row r="288" spans="1:47" s="239" customFormat="1" x14ac:dyDescent="0.25">
      <c r="A288" s="192">
        <v>5919</v>
      </c>
      <c r="B288" s="447" t="s">
        <v>322</v>
      </c>
      <c r="C288" s="535">
        <v>1068836.4099999999</v>
      </c>
      <c r="D288" s="535">
        <v>131687.44</v>
      </c>
      <c r="E288" s="535"/>
      <c r="F288" s="536">
        <v>3860</v>
      </c>
      <c r="G288" s="535">
        <v>13343.9</v>
      </c>
      <c r="H288" s="535">
        <v>412.75</v>
      </c>
      <c r="I288" s="535"/>
      <c r="J288" s="535">
        <v>23681.83</v>
      </c>
      <c r="K288" s="535">
        <v>9487.2999999999993</v>
      </c>
      <c r="L288" s="535">
        <v>140517.9</v>
      </c>
      <c r="M288" s="498">
        <f t="shared" si="24"/>
        <v>1391827.5299999998</v>
      </c>
      <c r="N288" s="243">
        <v>11130.05</v>
      </c>
      <c r="O288" s="243"/>
      <c r="P288" s="243">
        <v>59761.5</v>
      </c>
      <c r="Q288" s="243">
        <v>1659.81</v>
      </c>
      <c r="R288" s="243">
        <v>29137.5</v>
      </c>
      <c r="S288" s="535">
        <v>1510.91</v>
      </c>
      <c r="T288" s="498">
        <f t="shared" si="25"/>
        <v>1495027.2999999998</v>
      </c>
      <c r="U288" s="239">
        <v>-26247.29</v>
      </c>
      <c r="V288" s="243"/>
      <c r="W288" s="243">
        <v>-66.72</v>
      </c>
      <c r="X288" s="540">
        <v>72</v>
      </c>
      <c r="Y288" s="543">
        <v>1.2</v>
      </c>
      <c r="Z288" s="215">
        <v>655</v>
      </c>
      <c r="AA288" s="268"/>
      <c r="AB288" s="237">
        <v>107107</v>
      </c>
      <c r="AC288" s="443">
        <f>AB288/VPI!R288</f>
        <v>5.7324812214079008</v>
      </c>
      <c r="AD288" s="445">
        <f t="shared" si="26"/>
        <v>164195</v>
      </c>
      <c r="AE288" s="443">
        <f>AD288/VPI!R288</f>
        <v>8.7878920532651481</v>
      </c>
      <c r="AF288" s="237">
        <v>271302</v>
      </c>
      <c r="AG288" s="237">
        <v>43008</v>
      </c>
      <c r="AH288" s="237">
        <v>20339</v>
      </c>
      <c r="AI288" s="272"/>
      <c r="AJ288" s="8">
        <v>0</v>
      </c>
      <c r="AK288" s="443">
        <f>AJ288/VPI!R288</f>
        <v>0</v>
      </c>
      <c r="AL288" s="445">
        <f t="shared" si="27"/>
        <v>21808</v>
      </c>
      <c r="AM288" s="443">
        <f>AL288/VPI!R288</f>
        <v>1.1671874898602659</v>
      </c>
      <c r="AN288" s="8">
        <v>21808</v>
      </c>
      <c r="AO288" s="272"/>
      <c r="AP288" s="529">
        <v>28.165819038272307</v>
      </c>
      <c r="AR288" s="546">
        <v>1</v>
      </c>
      <c r="AT288" s="239">
        <f t="shared" si="28"/>
        <v>1391827.5299999998</v>
      </c>
      <c r="AU288" s="5">
        <f t="shared" si="29"/>
        <v>0</v>
      </c>
    </row>
    <row r="289" spans="1:47" s="239" customFormat="1" x14ac:dyDescent="0.25">
      <c r="A289" s="192">
        <v>5921</v>
      </c>
      <c r="B289" s="447" t="s">
        <v>323</v>
      </c>
      <c r="C289" s="535">
        <v>397762.94</v>
      </c>
      <c r="D289" s="535">
        <v>36064.5</v>
      </c>
      <c r="E289" s="535"/>
      <c r="F289" s="536">
        <v>1420.9</v>
      </c>
      <c r="G289" s="535">
        <v>10495.15</v>
      </c>
      <c r="H289" s="535">
        <v>732.4</v>
      </c>
      <c r="I289" s="535"/>
      <c r="J289" s="535">
        <v>12004.38</v>
      </c>
      <c r="K289" s="535"/>
      <c r="L289" s="535">
        <v>34416.65</v>
      </c>
      <c r="M289" s="498">
        <f t="shared" si="24"/>
        <v>492896.9200000001</v>
      </c>
      <c r="N289" s="243">
        <v>8046.65</v>
      </c>
      <c r="O289" s="243">
        <v>3618.6</v>
      </c>
      <c r="P289" s="243">
        <v>653.25</v>
      </c>
      <c r="Q289" s="243"/>
      <c r="R289" s="243"/>
      <c r="S289" s="535">
        <v>1233.1400000000001</v>
      </c>
      <c r="T289" s="498">
        <f t="shared" si="25"/>
        <v>506448.56000000011</v>
      </c>
      <c r="U289" s="239">
        <v>-18273.919999999998</v>
      </c>
      <c r="V289" s="243"/>
      <c r="W289" s="243">
        <v>-19.93</v>
      </c>
      <c r="X289" s="540">
        <v>81</v>
      </c>
      <c r="Y289" s="543">
        <v>1</v>
      </c>
      <c r="Z289" s="215">
        <v>239</v>
      </c>
      <c r="AA289" s="268"/>
      <c r="AB289" s="237">
        <v>0</v>
      </c>
      <c r="AC289" s="443">
        <f>AB289/VPI!R289</f>
        <v>0</v>
      </c>
      <c r="AD289" s="445">
        <f t="shared" si="26"/>
        <v>22294</v>
      </c>
      <c r="AE289" s="443">
        <f>AD289/VPI!R289</f>
        <v>3.7950327487687407</v>
      </c>
      <c r="AF289" s="237">
        <v>22294</v>
      </c>
      <c r="AG289" s="237">
        <v>11099</v>
      </c>
      <c r="AH289" s="237">
        <v>21559</v>
      </c>
      <c r="AI289" s="272"/>
      <c r="AJ289" s="8">
        <v>0</v>
      </c>
      <c r="AK289" s="443">
        <f>AJ289/VPI!R289</f>
        <v>0</v>
      </c>
      <c r="AL289" s="445">
        <f t="shared" si="27"/>
        <v>46883</v>
      </c>
      <c r="AM289" s="443">
        <f>AL289/VPI!R289</f>
        <v>7.9807356401060767</v>
      </c>
      <c r="AN289" s="8">
        <v>46883</v>
      </c>
      <c r="AO289" s="272"/>
      <c r="AP289" s="529">
        <v>2.8799184717949178</v>
      </c>
      <c r="AR289" s="546">
        <v>0</v>
      </c>
      <c r="AT289" s="239">
        <f t="shared" si="28"/>
        <v>492896.9200000001</v>
      </c>
      <c r="AU289" s="5">
        <f t="shared" si="29"/>
        <v>0</v>
      </c>
    </row>
    <row r="290" spans="1:47" s="239" customFormat="1" x14ac:dyDescent="0.25">
      <c r="A290" s="192">
        <v>5922</v>
      </c>
      <c r="B290" s="447" t="s">
        <v>234</v>
      </c>
      <c r="C290" s="535">
        <v>1439702.84</v>
      </c>
      <c r="D290" s="535">
        <v>209115.82</v>
      </c>
      <c r="E290" s="535"/>
      <c r="F290" s="536"/>
      <c r="G290" s="535">
        <v>407369.8</v>
      </c>
      <c r="H290" s="535">
        <v>22594.35</v>
      </c>
      <c r="I290" s="535"/>
      <c r="J290" s="535">
        <v>91122.68</v>
      </c>
      <c r="K290" s="535">
        <v>29094.15</v>
      </c>
      <c r="L290" s="535">
        <v>263016.8</v>
      </c>
      <c r="M290" s="498">
        <f t="shared" si="24"/>
        <v>2462016.44</v>
      </c>
      <c r="N290" s="243">
        <v>373184.55</v>
      </c>
      <c r="O290" s="243"/>
      <c r="P290" s="243">
        <v>228232.2</v>
      </c>
      <c r="Q290" s="243">
        <v>8693.7900000000009</v>
      </c>
      <c r="R290" s="243">
        <v>100434.2</v>
      </c>
      <c r="S290" s="535">
        <v>47223.66</v>
      </c>
      <c r="T290" s="498">
        <f t="shared" si="25"/>
        <v>3219784.8400000003</v>
      </c>
      <c r="U290" s="239">
        <v>-29613.51</v>
      </c>
      <c r="V290" s="243"/>
      <c r="W290" s="243">
        <v>-444.96</v>
      </c>
      <c r="X290" s="540">
        <v>64.5</v>
      </c>
      <c r="Y290" s="543">
        <v>0.8</v>
      </c>
      <c r="Z290" s="215">
        <v>775</v>
      </c>
      <c r="AA290" s="268"/>
      <c r="AB290" s="237">
        <v>30362</v>
      </c>
      <c r="AC290" s="443">
        <f>AB290/VPI!R290</f>
        <v>0.7668884260513863</v>
      </c>
      <c r="AD290" s="445">
        <f t="shared" si="26"/>
        <v>79292</v>
      </c>
      <c r="AE290" s="443">
        <f>AD290/VPI!R290</f>
        <v>2.0027704722503961</v>
      </c>
      <c r="AF290" s="237">
        <v>109654</v>
      </c>
      <c r="AG290" s="237">
        <v>291855</v>
      </c>
      <c r="AH290" s="237">
        <v>113240</v>
      </c>
      <c r="AI290" s="272"/>
      <c r="AJ290" s="8">
        <v>0</v>
      </c>
      <c r="AK290" s="443">
        <f>AJ290/VPI!R290</f>
        <v>0</v>
      </c>
      <c r="AL290" s="445">
        <f t="shared" si="27"/>
        <v>3861</v>
      </c>
      <c r="AM290" s="443">
        <f>AL290/VPI!R290</f>
        <v>9.7521777649179978E-2</v>
      </c>
      <c r="AN290" s="8">
        <v>3861</v>
      </c>
      <c r="AO290" s="272"/>
      <c r="AP290" s="529">
        <v>34.974299987819236</v>
      </c>
      <c r="AR290" s="546">
        <v>0</v>
      </c>
      <c r="AT290" s="239">
        <f t="shared" si="28"/>
        <v>2462016.44</v>
      </c>
      <c r="AU290" s="5">
        <f t="shared" si="29"/>
        <v>0</v>
      </c>
    </row>
    <row r="291" spans="1:47" s="239" customFormat="1" x14ac:dyDescent="0.25">
      <c r="A291" s="192">
        <v>5923</v>
      </c>
      <c r="B291" s="447" t="s">
        <v>235</v>
      </c>
      <c r="C291" s="535">
        <v>332713.40999999997</v>
      </c>
      <c r="D291" s="535">
        <v>44399.75</v>
      </c>
      <c r="E291" s="535"/>
      <c r="F291" s="536"/>
      <c r="G291" s="535">
        <v>-2117.5</v>
      </c>
      <c r="H291" s="535">
        <v>1264.5999999999999</v>
      </c>
      <c r="I291" s="535"/>
      <c r="J291" s="535">
        <v>15044.24</v>
      </c>
      <c r="K291" s="535"/>
      <c r="L291" s="535">
        <v>26403.4</v>
      </c>
      <c r="M291" s="498">
        <f t="shared" si="24"/>
        <v>417707.89999999997</v>
      </c>
      <c r="N291" s="243">
        <v>12323.55</v>
      </c>
      <c r="O291" s="243"/>
      <c r="P291" s="243">
        <v>34066.9</v>
      </c>
      <c r="Q291" s="243">
        <v>364.95</v>
      </c>
      <c r="R291" s="243">
        <v>27999.75</v>
      </c>
      <c r="S291" s="535">
        <v>0</v>
      </c>
      <c r="T291" s="498">
        <f t="shared" si="25"/>
        <v>492463.05</v>
      </c>
      <c r="U291" s="239">
        <v>-5294.37</v>
      </c>
      <c r="V291" s="243"/>
      <c r="W291" s="243">
        <v>-0.17</v>
      </c>
      <c r="X291" s="540">
        <v>81</v>
      </c>
      <c r="Y291" s="543">
        <v>1</v>
      </c>
      <c r="Z291" s="215">
        <v>201</v>
      </c>
      <c r="AA291" s="268"/>
      <c r="AB291" s="237">
        <v>2394</v>
      </c>
      <c r="AC291" s="443">
        <f>AB291/VPI!R291</f>
        <v>0.46977759078474834</v>
      </c>
      <c r="AD291" s="445">
        <f t="shared" si="26"/>
        <v>43507</v>
      </c>
      <c r="AE291" s="443">
        <f>AD291/VPI!R291</f>
        <v>8.5374325991111313</v>
      </c>
      <c r="AF291" s="237">
        <v>45901</v>
      </c>
      <c r="AG291" s="237">
        <v>8853</v>
      </c>
      <c r="AH291" s="237">
        <v>17676</v>
      </c>
      <c r="AI291" s="272"/>
      <c r="AJ291" s="8">
        <v>0</v>
      </c>
      <c r="AK291" s="443">
        <f>AJ291/VPI!R291</f>
        <v>0</v>
      </c>
      <c r="AL291" s="445">
        <f t="shared" si="27"/>
        <v>22810</v>
      </c>
      <c r="AM291" s="443">
        <f>AL291/VPI!R291</f>
        <v>4.4760346055973725</v>
      </c>
      <c r="AN291" s="8">
        <v>22810</v>
      </c>
      <c r="AO291" s="272"/>
      <c r="AP291" s="529">
        <v>7.4267783572580344</v>
      </c>
      <c r="AR291" s="546">
        <v>0</v>
      </c>
      <c r="AT291" s="239">
        <f t="shared" si="28"/>
        <v>417707.89999999997</v>
      </c>
      <c r="AU291" s="5">
        <f t="shared" si="29"/>
        <v>0</v>
      </c>
    </row>
    <row r="292" spans="1:47" s="239" customFormat="1" x14ac:dyDescent="0.25">
      <c r="A292" s="192">
        <v>5924</v>
      </c>
      <c r="B292" s="447" t="s">
        <v>236</v>
      </c>
      <c r="C292" s="535">
        <v>694540.99</v>
      </c>
      <c r="D292" s="535">
        <v>183235.54</v>
      </c>
      <c r="E292" s="535"/>
      <c r="F292" s="536"/>
      <c r="G292" s="535">
        <v>18825.849999999999</v>
      </c>
      <c r="H292" s="535">
        <v>424.05</v>
      </c>
      <c r="I292" s="535"/>
      <c r="J292" s="535">
        <v>15442.3</v>
      </c>
      <c r="K292" s="535">
        <v>-179</v>
      </c>
      <c r="L292" s="535">
        <v>58334.75</v>
      </c>
      <c r="M292" s="498">
        <f t="shared" si="24"/>
        <v>970624.4800000001</v>
      </c>
      <c r="N292" s="243">
        <v>18896.3</v>
      </c>
      <c r="O292" s="243"/>
      <c r="P292" s="243">
        <v>50312.55</v>
      </c>
      <c r="Q292" s="243">
        <v>5.52</v>
      </c>
      <c r="R292" s="243">
        <v>31744.55</v>
      </c>
      <c r="S292" s="535">
        <v>2114.2399999999998</v>
      </c>
      <c r="T292" s="498">
        <f t="shared" si="25"/>
        <v>1073697.6400000001</v>
      </c>
      <c r="U292" s="239">
        <v>-1776.21</v>
      </c>
      <c r="V292" s="243"/>
      <c r="W292" s="243">
        <v>-881.5</v>
      </c>
      <c r="X292" s="540">
        <v>74</v>
      </c>
      <c r="Y292" s="543">
        <v>1</v>
      </c>
      <c r="Z292" s="215">
        <v>367</v>
      </c>
      <c r="AA292" s="268"/>
      <c r="AB292" s="237">
        <v>0</v>
      </c>
      <c r="AC292" s="443">
        <f>AB292/VPI!R292</f>
        <v>0</v>
      </c>
      <c r="AD292" s="445">
        <f t="shared" si="26"/>
        <v>75150</v>
      </c>
      <c r="AE292" s="443">
        <f>AD292/VPI!R292</f>
        <v>5.7325814017848478</v>
      </c>
      <c r="AF292" s="237">
        <v>75150</v>
      </c>
      <c r="AG292" s="237">
        <v>15106</v>
      </c>
      <c r="AH292" s="237">
        <v>53916</v>
      </c>
      <c r="AI292" s="272"/>
      <c r="AJ292" s="8">
        <v>0</v>
      </c>
      <c r="AK292" s="443">
        <f>AJ292/VPI!R292</f>
        <v>0</v>
      </c>
      <c r="AL292" s="445">
        <f t="shared" si="27"/>
        <v>-1330</v>
      </c>
      <c r="AM292" s="443">
        <f>AL292/VPI!R292</f>
        <v>-0.10145486712406983</v>
      </c>
      <c r="AN292" s="8">
        <v>-1330</v>
      </c>
      <c r="AO292" s="272"/>
      <c r="AP292" s="529">
        <v>31.699625958503344</v>
      </c>
      <c r="AR292" s="546">
        <v>0</v>
      </c>
      <c r="AT292" s="239">
        <f t="shared" si="28"/>
        <v>970624.4800000001</v>
      </c>
      <c r="AU292" s="5">
        <f t="shared" si="29"/>
        <v>0</v>
      </c>
    </row>
    <row r="293" spans="1:47" s="239" customFormat="1" x14ac:dyDescent="0.25">
      <c r="A293" s="192">
        <v>5925</v>
      </c>
      <c r="B293" s="447" t="s">
        <v>327</v>
      </c>
      <c r="C293" s="535">
        <v>323297.53999999998</v>
      </c>
      <c r="D293" s="535">
        <v>53896.800000000003</v>
      </c>
      <c r="E293" s="535"/>
      <c r="F293" s="536">
        <v>1240</v>
      </c>
      <c r="G293" s="535">
        <v>4295.95</v>
      </c>
      <c r="H293" s="535">
        <v>201.15</v>
      </c>
      <c r="I293" s="535"/>
      <c r="J293" s="535">
        <v>10860.24</v>
      </c>
      <c r="K293" s="535"/>
      <c r="L293" s="535">
        <v>31278.400000000001</v>
      </c>
      <c r="M293" s="498">
        <f t="shared" si="24"/>
        <v>425070.08000000002</v>
      </c>
      <c r="N293" s="243">
        <v>514.25</v>
      </c>
      <c r="O293" s="243">
        <v>112955.2</v>
      </c>
      <c r="P293" s="243">
        <v>10837.5</v>
      </c>
      <c r="Q293" s="243">
        <v>257.86</v>
      </c>
      <c r="R293" s="243">
        <v>13223.4</v>
      </c>
      <c r="S293" s="535">
        <v>493.93</v>
      </c>
      <c r="T293" s="498">
        <f t="shared" si="25"/>
        <v>563352.22000000009</v>
      </c>
      <c r="U293" s="239">
        <v>-12375.55</v>
      </c>
      <c r="V293" s="243"/>
      <c r="W293" s="243">
        <v>-245.38</v>
      </c>
      <c r="X293" s="540">
        <v>79</v>
      </c>
      <c r="Y293" s="543">
        <v>1</v>
      </c>
      <c r="Z293" s="215">
        <v>202</v>
      </c>
      <c r="AA293" s="268"/>
      <c r="AB293" s="237">
        <v>3827</v>
      </c>
      <c r="AC293" s="443">
        <f>AB293/VPI!R293</f>
        <v>0.73168516993209165</v>
      </c>
      <c r="AD293" s="445">
        <f t="shared" si="26"/>
        <v>8256</v>
      </c>
      <c r="AE293" s="443">
        <f>AD293/VPI!R293</f>
        <v>1.5784668834490068</v>
      </c>
      <c r="AF293" s="237">
        <v>12083</v>
      </c>
      <c r="AG293" s="237">
        <v>8853</v>
      </c>
      <c r="AH293" s="237">
        <v>17676</v>
      </c>
      <c r="AI293" s="272"/>
      <c r="AJ293" s="8">
        <v>0</v>
      </c>
      <c r="AK293" s="443">
        <f>AJ293/VPI!R293</f>
        <v>0</v>
      </c>
      <c r="AL293" s="445">
        <f t="shared" si="27"/>
        <v>18397</v>
      </c>
      <c r="AM293" s="443">
        <f>AL293/VPI!R293</f>
        <v>3.5173274291195953</v>
      </c>
      <c r="AN293" s="8">
        <v>18397</v>
      </c>
      <c r="AO293" s="272"/>
      <c r="AP293" s="529">
        <v>26.770561403828019</v>
      </c>
      <c r="AR293" s="546">
        <v>0</v>
      </c>
      <c r="AT293" s="239">
        <f t="shared" si="28"/>
        <v>425070.08000000002</v>
      </c>
      <c r="AU293" s="5">
        <f t="shared" si="29"/>
        <v>0</v>
      </c>
    </row>
    <row r="294" spans="1:47" s="239" customFormat="1" x14ac:dyDescent="0.25">
      <c r="A294" s="192">
        <v>5926</v>
      </c>
      <c r="B294" s="447" t="s">
        <v>328</v>
      </c>
      <c r="C294" s="535">
        <v>1579803.32</v>
      </c>
      <c r="D294" s="535">
        <v>307676.11</v>
      </c>
      <c r="E294" s="535"/>
      <c r="F294" s="536"/>
      <c r="G294" s="535">
        <v>18972.2</v>
      </c>
      <c r="H294" s="535">
        <v>926.05</v>
      </c>
      <c r="I294" s="535"/>
      <c r="J294" s="535">
        <v>19080.93</v>
      </c>
      <c r="K294" s="535"/>
      <c r="L294" s="537">
        <v>132240</v>
      </c>
      <c r="M294" s="498">
        <f t="shared" si="24"/>
        <v>2058698.61</v>
      </c>
      <c r="N294" s="243">
        <v>30239.599999999999</v>
      </c>
      <c r="O294" s="243">
        <v>2683.8</v>
      </c>
      <c r="P294" s="243">
        <v>139129.54999999999</v>
      </c>
      <c r="Q294" s="243">
        <v>118.75</v>
      </c>
      <c r="R294" s="243">
        <v>52958</v>
      </c>
      <c r="S294" s="535">
        <v>2185.4499999999998</v>
      </c>
      <c r="T294" s="498">
        <f t="shared" si="25"/>
        <v>2286013.7600000002</v>
      </c>
      <c r="U294" s="239">
        <v>-81744.06</v>
      </c>
      <c r="V294" s="243"/>
      <c r="W294" s="243">
        <v>-194.64</v>
      </c>
      <c r="X294" s="540">
        <v>71</v>
      </c>
      <c r="Y294" s="543">
        <v>1</v>
      </c>
      <c r="Z294" s="215">
        <v>838</v>
      </c>
      <c r="AA294" s="268"/>
      <c r="AB294" s="237">
        <v>56182</v>
      </c>
      <c r="AC294" s="443">
        <f>AB294/VPI!R294</f>
        <v>2.0155597688040534</v>
      </c>
      <c r="AD294" s="445">
        <f t="shared" si="26"/>
        <v>72907</v>
      </c>
      <c r="AE294" s="443">
        <f>AD294/VPI!R294</f>
        <v>2.6155782290448388</v>
      </c>
      <c r="AF294" s="237">
        <v>129089</v>
      </c>
      <c r="AG294" s="237">
        <v>53050</v>
      </c>
      <c r="AH294" s="237">
        <v>79477</v>
      </c>
      <c r="AI294" s="272"/>
      <c r="AJ294" s="8">
        <v>0</v>
      </c>
      <c r="AK294" s="443">
        <f>AJ294/VPI!R294</f>
        <v>0</v>
      </c>
      <c r="AL294" s="445">
        <f t="shared" si="27"/>
        <v>49274</v>
      </c>
      <c r="AM294" s="443">
        <f>AL294/VPI!R294</f>
        <v>1.7677315162872616</v>
      </c>
      <c r="AN294" s="8">
        <v>49274</v>
      </c>
      <c r="AO294" s="272"/>
      <c r="AP294" s="529">
        <v>26.216770844283886</v>
      </c>
      <c r="AR294" s="546">
        <v>1</v>
      </c>
      <c r="AT294" s="239">
        <f t="shared" si="28"/>
        <v>2058698.61</v>
      </c>
      <c r="AU294" s="5">
        <f t="shared" si="29"/>
        <v>0</v>
      </c>
    </row>
    <row r="295" spans="1:47" s="239" customFormat="1" x14ac:dyDescent="0.25">
      <c r="A295" s="192">
        <v>5928</v>
      </c>
      <c r="B295" s="447" t="s">
        <v>329</v>
      </c>
      <c r="C295" s="535">
        <v>345536.41</v>
      </c>
      <c r="D295" s="535">
        <v>39368.06</v>
      </c>
      <c r="E295" s="535"/>
      <c r="F295" s="536"/>
      <c r="G295" s="535">
        <v>226</v>
      </c>
      <c r="H295" s="535">
        <v>81.3</v>
      </c>
      <c r="I295" s="535"/>
      <c r="J295" s="535">
        <v>-8779.6</v>
      </c>
      <c r="K295" s="535"/>
      <c r="L295" s="535">
        <v>23473.3</v>
      </c>
      <c r="M295" s="498">
        <f t="shared" si="24"/>
        <v>399905.47</v>
      </c>
      <c r="N295" s="243">
        <v>10979.85</v>
      </c>
      <c r="O295" s="243">
        <v>790.2</v>
      </c>
      <c r="P295" s="243">
        <v>451.35</v>
      </c>
      <c r="Q295" s="243"/>
      <c r="R295" s="243">
        <v>18200</v>
      </c>
      <c r="S295" s="535">
        <v>33.75</v>
      </c>
      <c r="T295" s="498">
        <f t="shared" si="25"/>
        <v>430360.61999999994</v>
      </c>
      <c r="U295" s="239">
        <v>-9588.84</v>
      </c>
      <c r="V295" s="243"/>
      <c r="W295" s="243">
        <v>0</v>
      </c>
      <c r="X295" s="540">
        <v>71.5</v>
      </c>
      <c r="Y295" s="543">
        <v>1</v>
      </c>
      <c r="Z295" s="215">
        <v>206</v>
      </c>
      <c r="AA295" s="268"/>
      <c r="AB295" s="237">
        <v>6555</v>
      </c>
      <c r="AC295" s="443">
        <f>AB295/VPI!R295</f>
        <v>1.2006713045853832</v>
      </c>
      <c r="AD295" s="445">
        <f t="shared" si="26"/>
        <v>35166</v>
      </c>
      <c r="AE295" s="443">
        <f>AD295/VPI!R295</f>
        <v>6.4413130582836899</v>
      </c>
      <c r="AF295" s="237">
        <v>41721</v>
      </c>
      <c r="AG295" s="237">
        <v>8985</v>
      </c>
      <c r="AH295" s="237">
        <v>24260</v>
      </c>
      <c r="AI295" s="272"/>
      <c r="AJ295" s="8">
        <v>0</v>
      </c>
      <c r="AK295" s="443">
        <f>AJ295/VPI!R295</f>
        <v>0</v>
      </c>
      <c r="AL295" s="445">
        <f t="shared" si="27"/>
        <v>6884</v>
      </c>
      <c r="AM295" s="443">
        <f>AL295/VPI!R295</f>
        <v>1.260933830780439</v>
      </c>
      <c r="AN295" s="8">
        <v>6884</v>
      </c>
      <c r="AO295" s="272"/>
      <c r="AP295" s="529">
        <v>15.762701071143109</v>
      </c>
      <c r="AR295" s="546">
        <v>0</v>
      </c>
      <c r="AT295" s="239">
        <f t="shared" si="28"/>
        <v>399905.47</v>
      </c>
      <c r="AU295" s="5">
        <f t="shared" si="29"/>
        <v>0</v>
      </c>
    </row>
    <row r="296" spans="1:47" x14ac:dyDescent="0.25">
      <c r="A296" s="192">
        <v>5929</v>
      </c>
      <c r="B296" s="447" t="s">
        <v>330</v>
      </c>
      <c r="C296" s="535">
        <v>1091618.5900000001</v>
      </c>
      <c r="D296" s="535">
        <v>125332.68</v>
      </c>
      <c r="E296" s="535"/>
      <c r="F296" s="536"/>
      <c r="G296" s="535">
        <v>48209.25</v>
      </c>
      <c r="H296" s="535">
        <v>-253.05</v>
      </c>
      <c r="I296" s="535">
        <v>41100.15</v>
      </c>
      <c r="J296" s="535">
        <v>3702.39</v>
      </c>
      <c r="K296" s="535"/>
      <c r="L296" s="535">
        <v>92886.15</v>
      </c>
      <c r="M296" s="498">
        <f t="shared" si="24"/>
        <v>1402596.1599999997</v>
      </c>
      <c r="N296" s="243">
        <v>6048.3</v>
      </c>
      <c r="O296" s="243"/>
      <c r="P296" s="243">
        <v>81326.3</v>
      </c>
      <c r="Q296" s="243"/>
      <c r="R296" s="243">
        <v>62114.8</v>
      </c>
      <c r="S296" s="535">
        <v>5267.11</v>
      </c>
      <c r="T296" s="498">
        <f t="shared" si="25"/>
        <v>1557352.67</v>
      </c>
      <c r="U296" s="239">
        <v>-12531.13</v>
      </c>
      <c r="V296" s="243"/>
      <c r="W296" s="243">
        <v>-29</v>
      </c>
      <c r="X296" s="540">
        <v>70</v>
      </c>
      <c r="Y296" s="543">
        <v>0.8</v>
      </c>
      <c r="Z296" s="215">
        <v>656</v>
      </c>
      <c r="AA296" s="268"/>
      <c r="AB296" s="237">
        <v>6103</v>
      </c>
      <c r="AC296" s="443">
        <f>AB296/VPI!R296</f>
        <v>0.30116501092734776</v>
      </c>
      <c r="AD296" s="445">
        <f t="shared" si="26"/>
        <v>48374</v>
      </c>
      <c r="AE296" s="443">
        <f>AD296/VPI!R296</f>
        <v>2.3871139175158973</v>
      </c>
      <c r="AF296" s="237">
        <v>54477</v>
      </c>
      <c r="AG296" s="237">
        <v>28893</v>
      </c>
      <c r="AH296" s="237">
        <v>108323</v>
      </c>
      <c r="AI296" s="272"/>
      <c r="AJ296" s="8">
        <v>0</v>
      </c>
      <c r="AK296" s="443">
        <f>AJ296/VPI!R296</f>
        <v>0</v>
      </c>
      <c r="AL296" s="445">
        <f t="shared" si="27"/>
        <v>37695</v>
      </c>
      <c r="AM296" s="443">
        <f>AL296/VPI!R296</f>
        <v>1.8601368321983245</v>
      </c>
      <c r="AN296" s="8">
        <v>37695</v>
      </c>
      <c r="AO296" s="272"/>
      <c r="AP296" s="529">
        <v>21.730047530067573</v>
      </c>
      <c r="AR296" s="546">
        <v>1</v>
      </c>
      <c r="AT296" s="239">
        <f t="shared" si="28"/>
        <v>1402596.1599999997</v>
      </c>
      <c r="AU296" s="5">
        <f t="shared" si="29"/>
        <v>0</v>
      </c>
    </row>
    <row r="297" spans="1:47" s="239" customFormat="1" x14ac:dyDescent="0.25">
      <c r="A297" s="192">
        <v>5930</v>
      </c>
      <c r="B297" s="447" t="s">
        <v>331</v>
      </c>
      <c r="C297" s="535">
        <v>390714.99</v>
      </c>
      <c r="D297" s="535">
        <v>60132.19</v>
      </c>
      <c r="E297" s="535"/>
      <c r="F297" s="536">
        <v>1170</v>
      </c>
      <c r="G297" s="535">
        <v>1265.0999999999999</v>
      </c>
      <c r="H297" s="535">
        <v>114.5</v>
      </c>
      <c r="I297" s="535"/>
      <c r="J297" s="535">
        <v>4628.62</v>
      </c>
      <c r="K297" s="535">
        <v>228.6</v>
      </c>
      <c r="L297" s="535">
        <v>30524.5</v>
      </c>
      <c r="M297" s="498">
        <f t="shared" si="24"/>
        <v>488778.49999999994</v>
      </c>
      <c r="N297" s="243"/>
      <c r="O297" s="243"/>
      <c r="P297" s="243">
        <v>55040</v>
      </c>
      <c r="Q297" s="243"/>
      <c r="R297" s="243">
        <v>24801.8</v>
      </c>
      <c r="S297" s="535">
        <v>151.52000000000001</v>
      </c>
      <c r="T297" s="498">
        <f t="shared" si="25"/>
        <v>568771.82000000007</v>
      </c>
      <c r="U297" s="239">
        <v>-9284.16</v>
      </c>
      <c r="V297" s="243"/>
      <c r="W297" s="243">
        <v>0</v>
      </c>
      <c r="X297" s="540">
        <v>72</v>
      </c>
      <c r="Y297" s="543">
        <v>1</v>
      </c>
      <c r="Z297" s="215">
        <v>215</v>
      </c>
      <c r="AA297" s="268"/>
      <c r="AB297" s="237">
        <v>57719</v>
      </c>
      <c r="AC297" s="443">
        <f>AB297/VPI!R297</f>
        <v>8.6642424058450125</v>
      </c>
      <c r="AD297" s="445">
        <f t="shared" si="26"/>
        <v>11399</v>
      </c>
      <c r="AE297" s="443">
        <f>AD297/VPI!R297</f>
        <v>1.7111124445022834</v>
      </c>
      <c r="AF297" s="237">
        <v>69118</v>
      </c>
      <c r="AG297" s="237">
        <v>13477</v>
      </c>
      <c r="AH297" s="237">
        <v>7790</v>
      </c>
      <c r="AI297" s="272"/>
      <c r="AJ297" s="8">
        <v>0</v>
      </c>
      <c r="AK297" s="443">
        <f>AJ297/VPI!R297</f>
        <v>0</v>
      </c>
      <c r="AL297" s="445">
        <f t="shared" si="27"/>
        <v>6852</v>
      </c>
      <c r="AM297" s="443">
        <f>AL297/VPI!R297</f>
        <v>1.0285588621571757</v>
      </c>
      <c r="AN297" s="8">
        <v>6852</v>
      </c>
      <c r="AO297" s="272"/>
      <c r="AP297" s="529">
        <v>16.694569432854564</v>
      </c>
      <c r="AR297" s="546">
        <v>1</v>
      </c>
      <c r="AT297" s="239">
        <f t="shared" si="28"/>
        <v>488778.49999999994</v>
      </c>
      <c r="AU297" s="5">
        <f t="shared" si="29"/>
        <v>0</v>
      </c>
    </row>
    <row r="298" spans="1:47" x14ac:dyDescent="0.25">
      <c r="A298" s="192">
        <v>5931</v>
      </c>
      <c r="B298" s="447" t="s">
        <v>332</v>
      </c>
      <c r="C298" s="535">
        <v>914805.55</v>
      </c>
      <c r="D298" s="535">
        <v>106606.66</v>
      </c>
      <c r="E298" s="535"/>
      <c r="F298" s="536"/>
      <c r="G298" s="535">
        <v>32168.05</v>
      </c>
      <c r="H298" s="535">
        <v>1066.5999999999999</v>
      </c>
      <c r="I298" s="535"/>
      <c r="J298" s="535">
        <v>10376.91</v>
      </c>
      <c r="K298" s="535">
        <v>781.4</v>
      </c>
      <c r="L298" s="535">
        <v>80371.8</v>
      </c>
      <c r="M298" s="498">
        <f t="shared" si="24"/>
        <v>1146176.97</v>
      </c>
      <c r="N298" s="243">
        <v>12375.15</v>
      </c>
      <c r="O298" s="243">
        <v>0</v>
      </c>
      <c r="P298" s="243">
        <v>98909.35</v>
      </c>
      <c r="Q298" s="243"/>
      <c r="R298" s="243">
        <v>56168.800000000003</v>
      </c>
      <c r="S298" s="535">
        <v>3650.22</v>
      </c>
      <c r="T298" s="498">
        <f t="shared" si="25"/>
        <v>1317280.49</v>
      </c>
      <c r="U298" s="239">
        <v>-4568.16</v>
      </c>
      <c r="V298" s="243"/>
      <c r="W298" s="243">
        <v>-41.03</v>
      </c>
      <c r="X298" s="540">
        <v>75</v>
      </c>
      <c r="Y298" s="543">
        <v>1</v>
      </c>
      <c r="Z298" s="215">
        <v>490</v>
      </c>
      <c r="AA298" s="268"/>
      <c r="AB298" s="237">
        <v>98879</v>
      </c>
      <c r="AC298" s="443">
        <f>AB298/VPI!R298</f>
        <v>6.4755574921106724</v>
      </c>
      <c r="AD298" s="445">
        <f t="shared" si="26"/>
        <v>57967</v>
      </c>
      <c r="AE298" s="443">
        <f>AD298/VPI!R298</f>
        <v>3.796242287494608</v>
      </c>
      <c r="AF298" s="237">
        <v>156846</v>
      </c>
      <c r="AG298" s="237">
        <v>32042</v>
      </c>
      <c r="AH298" s="237">
        <v>15883</v>
      </c>
      <c r="AI298" s="272"/>
      <c r="AJ298" s="8">
        <v>0</v>
      </c>
      <c r="AK298" s="443">
        <f>AJ298/VPI!R298</f>
        <v>0</v>
      </c>
      <c r="AL298" s="445">
        <f t="shared" si="27"/>
        <v>882</v>
      </c>
      <c r="AM298" s="443">
        <f>AL298/VPI!R298</f>
        <v>5.7761928296621252E-2</v>
      </c>
      <c r="AN298" s="8">
        <v>882</v>
      </c>
      <c r="AO298" s="272"/>
      <c r="AP298" s="529">
        <v>22.701184265438705</v>
      </c>
      <c r="AR298" s="546">
        <v>1</v>
      </c>
      <c r="AT298" s="239">
        <f t="shared" si="28"/>
        <v>1146176.97</v>
      </c>
      <c r="AU298" s="5">
        <f t="shared" si="29"/>
        <v>0</v>
      </c>
    </row>
    <row r="299" spans="1:47" x14ac:dyDescent="0.25">
      <c r="A299" s="192">
        <v>5932</v>
      </c>
      <c r="B299" s="447" t="s">
        <v>237</v>
      </c>
      <c r="C299" s="535">
        <v>446657.03</v>
      </c>
      <c r="D299" s="535">
        <v>62489.58</v>
      </c>
      <c r="E299" s="535"/>
      <c r="F299" s="536">
        <v>1410</v>
      </c>
      <c r="G299" s="535">
        <v>238.3</v>
      </c>
      <c r="H299" s="535">
        <v>397.65</v>
      </c>
      <c r="I299" s="535">
        <v>46204.7</v>
      </c>
      <c r="J299" s="535">
        <v>1744.92</v>
      </c>
      <c r="K299" s="535">
        <v>819.5</v>
      </c>
      <c r="L299" s="535">
        <v>32899.300000000003</v>
      </c>
      <c r="M299" s="498">
        <f t="shared" si="24"/>
        <v>592860.9800000001</v>
      </c>
      <c r="N299" s="243"/>
      <c r="O299" s="243"/>
      <c r="P299" s="243">
        <v>9848.7000000000007</v>
      </c>
      <c r="Q299" s="243">
        <v>2970.43</v>
      </c>
      <c r="R299" s="243"/>
      <c r="S299" s="535">
        <v>69.849999999999994</v>
      </c>
      <c r="T299" s="498">
        <f t="shared" si="25"/>
        <v>605749.96000000008</v>
      </c>
      <c r="U299" s="239">
        <v>-18154.11</v>
      </c>
      <c r="V299" s="243"/>
      <c r="W299" s="243">
        <v>0</v>
      </c>
      <c r="X299" s="540">
        <v>75</v>
      </c>
      <c r="Y299" s="543">
        <v>1</v>
      </c>
      <c r="Z299" s="215">
        <v>228</v>
      </c>
      <c r="AA299" s="268"/>
      <c r="AB299" s="237">
        <v>7700</v>
      </c>
      <c r="AC299" s="443">
        <f>AB299/VPI!R299</f>
        <v>0.99957221770804039</v>
      </c>
      <c r="AD299" s="445">
        <f t="shared" si="26"/>
        <v>17372</v>
      </c>
      <c r="AE299" s="443">
        <f>AD299/VPI!R299</f>
        <v>2.2551387748083216</v>
      </c>
      <c r="AF299" s="237">
        <v>25072</v>
      </c>
      <c r="AG299" s="237">
        <v>10483</v>
      </c>
      <c r="AH299" s="237">
        <v>7224</v>
      </c>
      <c r="AI299" s="272"/>
      <c r="AJ299" s="8">
        <v>0</v>
      </c>
      <c r="AK299" s="443">
        <f>AJ299/VPI!R299</f>
        <v>0</v>
      </c>
      <c r="AL299" s="445">
        <f t="shared" si="27"/>
        <v>18412</v>
      </c>
      <c r="AM299" s="443">
        <f>AL299/VPI!R299</f>
        <v>2.3901459314857711</v>
      </c>
      <c r="AN299" s="8">
        <v>18412</v>
      </c>
      <c r="AO299" s="272"/>
      <c r="AP299" s="529">
        <v>15.685728297414284</v>
      </c>
      <c r="AR299" s="546">
        <v>0</v>
      </c>
      <c r="AT299" s="239">
        <f t="shared" si="28"/>
        <v>592860.9800000001</v>
      </c>
      <c r="AU299" s="5">
        <f t="shared" si="29"/>
        <v>0</v>
      </c>
    </row>
    <row r="300" spans="1:47" x14ac:dyDescent="0.25">
      <c r="A300" s="192">
        <v>5933</v>
      </c>
      <c r="B300" s="447" t="s">
        <v>325</v>
      </c>
      <c r="C300" s="535">
        <v>1116497.8899999999</v>
      </c>
      <c r="D300" s="535">
        <v>151396.56</v>
      </c>
      <c r="E300" s="535"/>
      <c r="F300" s="536"/>
      <c r="G300" s="535">
        <v>11213.6</v>
      </c>
      <c r="H300" s="535">
        <v>1470</v>
      </c>
      <c r="I300" s="535"/>
      <c r="J300" s="535">
        <v>17395.04</v>
      </c>
      <c r="K300" s="535">
        <v>4918.05</v>
      </c>
      <c r="L300" s="535">
        <v>121538.15</v>
      </c>
      <c r="M300" s="498">
        <f t="shared" si="24"/>
        <v>1424429.29</v>
      </c>
      <c r="N300" s="243">
        <v>17443.900000000001</v>
      </c>
      <c r="O300" s="243"/>
      <c r="P300" s="243">
        <v>75840</v>
      </c>
      <c r="Q300" s="243">
        <v>2884.24</v>
      </c>
      <c r="R300" s="243">
        <v>56608.65</v>
      </c>
      <c r="S300" s="535">
        <v>1393.06</v>
      </c>
      <c r="T300" s="498">
        <f t="shared" si="25"/>
        <v>1578599.14</v>
      </c>
      <c r="U300" s="239">
        <v>-29548.06</v>
      </c>
      <c r="V300" s="243">
        <v>-14260.6</v>
      </c>
      <c r="W300" s="243">
        <v>-2642.79</v>
      </c>
      <c r="X300" s="540">
        <v>70.5</v>
      </c>
      <c r="Y300" s="543">
        <v>1</v>
      </c>
      <c r="Z300" s="215">
        <v>697</v>
      </c>
      <c r="AA300" s="268"/>
      <c r="AB300" s="237">
        <v>38860</v>
      </c>
      <c r="AC300" s="443">
        <f>AB300/VPI!R300</f>
        <v>1.9820002260942944</v>
      </c>
      <c r="AD300" s="445">
        <f t="shared" si="26"/>
        <v>531627</v>
      </c>
      <c r="AE300" s="443">
        <f>AD300/VPI!R300</f>
        <v>27.114895373078525</v>
      </c>
      <c r="AF300" s="237">
        <v>570487</v>
      </c>
      <c r="AG300" s="237">
        <v>78618</v>
      </c>
      <c r="AH300" s="237">
        <v>97401</v>
      </c>
      <c r="AI300" s="272"/>
      <c r="AJ300" s="8">
        <v>0</v>
      </c>
      <c r="AK300" s="443">
        <f>AJ300/VPI!R300</f>
        <v>0</v>
      </c>
      <c r="AL300" s="445">
        <f t="shared" si="27"/>
        <v>23521</v>
      </c>
      <c r="AM300" s="443">
        <f>AL300/VPI!R300</f>
        <v>1.1996558753979387</v>
      </c>
      <c r="AN300" s="8">
        <v>23521</v>
      </c>
      <c r="AO300" s="272"/>
      <c r="AP300" s="529">
        <v>22.30805828669078</v>
      </c>
      <c r="AR300" s="546">
        <v>0</v>
      </c>
      <c r="AT300" s="239">
        <f t="shared" si="28"/>
        <v>1424429.29</v>
      </c>
      <c r="AU300" s="5">
        <f t="shared" si="29"/>
        <v>0</v>
      </c>
    </row>
    <row r="301" spans="1:47" x14ac:dyDescent="0.25">
      <c r="A301" s="192">
        <v>5934</v>
      </c>
      <c r="B301" s="447" t="s">
        <v>326</v>
      </c>
      <c r="C301" s="535">
        <v>439015.21</v>
      </c>
      <c r="D301" s="535">
        <v>56577.31</v>
      </c>
      <c r="E301" s="535"/>
      <c r="F301" s="536">
        <v>1490</v>
      </c>
      <c r="G301" s="535">
        <v>129.30000000000001</v>
      </c>
      <c r="H301" s="535">
        <v>30.7</v>
      </c>
      <c r="I301" s="535"/>
      <c r="J301" s="535">
        <v>18715.39</v>
      </c>
      <c r="K301" s="535">
        <v>34.700000000000003</v>
      </c>
      <c r="L301" s="535">
        <v>28588.35</v>
      </c>
      <c r="M301" s="498">
        <f t="shared" si="24"/>
        <v>544580.96000000008</v>
      </c>
      <c r="N301" s="243">
        <v>16396.150000000001</v>
      </c>
      <c r="O301" s="243"/>
      <c r="P301" s="243">
        <v>622</v>
      </c>
      <c r="Q301" s="243"/>
      <c r="R301" s="243">
        <v>1589.6</v>
      </c>
      <c r="S301" s="535">
        <v>17.57</v>
      </c>
      <c r="T301" s="498">
        <f t="shared" si="25"/>
        <v>563206.28</v>
      </c>
      <c r="U301" s="239">
        <v>-4191.24</v>
      </c>
      <c r="V301" s="243"/>
      <c r="W301" s="243">
        <v>0</v>
      </c>
      <c r="X301" s="540">
        <v>77</v>
      </c>
      <c r="Y301" s="543">
        <v>1</v>
      </c>
      <c r="Z301" s="215">
        <v>247</v>
      </c>
      <c r="AA301" s="268"/>
      <c r="AB301" s="237">
        <v>3713</v>
      </c>
      <c r="AC301" s="443">
        <f>AB301/VPI!R301</f>
        <v>0.52904726729352591</v>
      </c>
      <c r="AD301" s="445">
        <f t="shared" si="26"/>
        <v>12323</v>
      </c>
      <c r="AE301" s="443">
        <f>AD301/VPI!R301</f>
        <v>1.7558441892965579</v>
      </c>
      <c r="AF301" s="237">
        <v>16036</v>
      </c>
      <c r="AG301" s="237">
        <v>10615</v>
      </c>
      <c r="AH301" s="237">
        <v>7483</v>
      </c>
      <c r="AI301" s="272"/>
      <c r="AJ301" s="8">
        <v>0</v>
      </c>
      <c r="AK301" s="443">
        <f>AJ301/VPI!R301</f>
        <v>0</v>
      </c>
      <c r="AL301" s="445">
        <f t="shared" si="27"/>
        <v>16718</v>
      </c>
      <c r="AM301" s="443">
        <f>AL301/VPI!R301</f>
        <v>2.3820663115036806</v>
      </c>
      <c r="AN301" s="8">
        <v>16718</v>
      </c>
      <c r="AO301" s="272"/>
      <c r="AP301" s="529">
        <v>20.489377405597786</v>
      </c>
      <c r="AR301" s="546">
        <v>0</v>
      </c>
      <c r="AT301" s="239">
        <f t="shared" si="28"/>
        <v>544580.96000000008</v>
      </c>
      <c r="AU301" s="5">
        <f t="shared" si="29"/>
        <v>0</v>
      </c>
    </row>
    <row r="302" spans="1:47" x14ac:dyDescent="0.25">
      <c r="A302" s="192">
        <v>5935</v>
      </c>
      <c r="B302" s="447" t="s">
        <v>254</v>
      </c>
      <c r="C302" s="535">
        <v>154585.74</v>
      </c>
      <c r="D302" s="535">
        <v>29075.13</v>
      </c>
      <c r="E302" s="535"/>
      <c r="F302" s="536"/>
      <c r="G302" s="535">
        <v>50.35</v>
      </c>
      <c r="H302" s="535">
        <v>386.45</v>
      </c>
      <c r="I302" s="535"/>
      <c r="J302" s="535">
        <v>2477.0700000000002</v>
      </c>
      <c r="K302" s="535"/>
      <c r="L302" s="535">
        <v>20549.55</v>
      </c>
      <c r="M302" s="498">
        <f t="shared" si="24"/>
        <v>207124.29</v>
      </c>
      <c r="N302" s="243"/>
      <c r="O302" s="243"/>
      <c r="P302" s="243">
        <v>10120</v>
      </c>
      <c r="Q302" s="243"/>
      <c r="R302" s="243"/>
      <c r="S302" s="535">
        <v>47.98</v>
      </c>
      <c r="T302" s="498">
        <f t="shared" si="25"/>
        <v>217292.27000000002</v>
      </c>
      <c r="U302" s="239">
        <v>-24.25</v>
      </c>
      <c r="V302" s="243"/>
      <c r="W302" s="243">
        <v>-255.68</v>
      </c>
      <c r="X302" s="540">
        <v>60</v>
      </c>
      <c r="Y302" s="543">
        <v>1</v>
      </c>
      <c r="Z302" s="215">
        <v>95</v>
      </c>
      <c r="AA302" s="268"/>
      <c r="AB302" s="237">
        <v>5000</v>
      </c>
      <c r="AC302" s="443">
        <f>AB302/VPI!R302</f>
        <v>1.45002951776755</v>
      </c>
      <c r="AD302" s="445">
        <f t="shared" si="26"/>
        <v>3999</v>
      </c>
      <c r="AE302" s="443">
        <f>AD302/VPI!R302</f>
        <v>1.1597336083104866</v>
      </c>
      <c r="AF302" s="237">
        <v>8999</v>
      </c>
      <c r="AG302" s="237">
        <v>4448</v>
      </c>
      <c r="AH302" s="237">
        <v>8503</v>
      </c>
      <c r="AI302" s="272"/>
      <c r="AJ302" s="8">
        <v>0</v>
      </c>
      <c r="AK302" s="443">
        <f>AJ302/VPI!R302</f>
        <v>0</v>
      </c>
      <c r="AL302" s="445">
        <f t="shared" si="27"/>
        <v>16647</v>
      </c>
      <c r="AM302" s="443">
        <f>AL302/VPI!R302</f>
        <v>4.8277282764552814</v>
      </c>
      <c r="AN302" s="8">
        <v>16647</v>
      </c>
      <c r="AO302" s="272"/>
      <c r="AP302" s="529">
        <v>31.547093797693933</v>
      </c>
      <c r="AR302" s="546">
        <v>0</v>
      </c>
      <c r="AT302" s="239">
        <f t="shared" si="28"/>
        <v>207124.29</v>
      </c>
      <c r="AU302" s="5">
        <f t="shared" si="29"/>
        <v>0</v>
      </c>
    </row>
    <row r="303" spans="1:47" x14ac:dyDescent="0.25">
      <c r="A303" s="192">
        <v>5937</v>
      </c>
      <c r="B303" s="447" t="s">
        <v>238</v>
      </c>
      <c r="C303" s="535">
        <v>200814.57</v>
      </c>
      <c r="D303" s="535">
        <v>35528.080000000002</v>
      </c>
      <c r="E303" s="535"/>
      <c r="F303" s="536"/>
      <c r="G303" s="535">
        <v>4939.45</v>
      </c>
      <c r="H303" s="535">
        <v>765.85</v>
      </c>
      <c r="I303" s="535"/>
      <c r="J303" s="535">
        <v>4311.78</v>
      </c>
      <c r="K303" s="535"/>
      <c r="L303" s="535">
        <v>12164.72</v>
      </c>
      <c r="M303" s="498">
        <f t="shared" si="24"/>
        <v>258524.45000000004</v>
      </c>
      <c r="N303" s="243"/>
      <c r="O303" s="243"/>
      <c r="P303" s="243">
        <v>10230</v>
      </c>
      <c r="Q303" s="243">
        <v>1938.72</v>
      </c>
      <c r="R303" s="243"/>
      <c r="S303" s="535">
        <v>626.63</v>
      </c>
      <c r="T303" s="498">
        <f t="shared" si="25"/>
        <v>271319.80000000005</v>
      </c>
      <c r="U303" s="239">
        <v>-22710.7</v>
      </c>
      <c r="V303" s="243"/>
      <c r="W303" s="243">
        <v>-27.91</v>
      </c>
      <c r="X303" s="540">
        <v>70</v>
      </c>
      <c r="Y303" s="543">
        <v>0.7</v>
      </c>
      <c r="Z303" s="215">
        <v>140</v>
      </c>
      <c r="AA303" s="268"/>
      <c r="AB303" s="237">
        <v>16387</v>
      </c>
      <c r="AC303" s="443">
        <f>AB303/VPI!R303</f>
        <v>4.7095916438117289</v>
      </c>
      <c r="AD303" s="445">
        <f t="shared" si="26"/>
        <v>11399</v>
      </c>
      <c r="AE303" s="443">
        <f>AD303/VPI!R303</f>
        <v>3.2760502317574844</v>
      </c>
      <c r="AF303" s="237">
        <v>27786</v>
      </c>
      <c r="AG303" s="237">
        <v>6078</v>
      </c>
      <c r="AH303" s="237">
        <v>18693</v>
      </c>
      <c r="AI303" s="272"/>
      <c r="AJ303" s="8">
        <v>0</v>
      </c>
      <c r="AK303" s="443">
        <f>AJ303/VPI!R303</f>
        <v>0</v>
      </c>
      <c r="AL303" s="445">
        <f t="shared" si="27"/>
        <v>7157</v>
      </c>
      <c r="AM303" s="443">
        <f>AL303/VPI!R303</f>
        <v>2.0569077558284339</v>
      </c>
      <c r="AN303" s="8">
        <v>7157</v>
      </c>
      <c r="AO303" s="272"/>
      <c r="AP303" s="529">
        <v>11.329593655380053</v>
      </c>
      <c r="AR303" s="546">
        <v>0</v>
      </c>
      <c r="AT303" s="239">
        <f t="shared" si="28"/>
        <v>258524.45000000004</v>
      </c>
      <c r="AU303" s="5">
        <f t="shared" si="29"/>
        <v>0</v>
      </c>
    </row>
    <row r="304" spans="1:47" x14ac:dyDescent="0.25">
      <c r="A304" s="192">
        <v>5938</v>
      </c>
      <c r="B304" s="447" t="s">
        <v>133</v>
      </c>
      <c r="C304" s="535">
        <v>42709958.350000001</v>
      </c>
      <c r="D304" s="535">
        <v>4695884.83</v>
      </c>
      <c r="E304" s="535"/>
      <c r="F304" s="536"/>
      <c r="G304" s="535">
        <v>3132726.45</v>
      </c>
      <c r="H304" s="535">
        <v>719514.35</v>
      </c>
      <c r="I304" s="535">
        <v>-73350.05</v>
      </c>
      <c r="J304" s="535">
        <v>1527061.42</v>
      </c>
      <c r="K304" s="535">
        <v>700264</v>
      </c>
      <c r="L304" s="535">
        <v>4400574.8499999996</v>
      </c>
      <c r="M304" s="498">
        <f t="shared" si="24"/>
        <v>57812634.20000001</v>
      </c>
      <c r="N304" s="243">
        <v>4824763.5999999996</v>
      </c>
      <c r="O304" s="243">
        <v>1382582.8</v>
      </c>
      <c r="P304" s="243">
        <v>2434885.0499999998</v>
      </c>
      <c r="Q304" s="243">
        <v>592665.73</v>
      </c>
      <c r="R304" s="243">
        <v>2456221.9500000002</v>
      </c>
      <c r="S304" s="535">
        <v>423097.89</v>
      </c>
      <c r="T304" s="498">
        <f t="shared" si="25"/>
        <v>69926851.219999999</v>
      </c>
      <c r="U304" s="239">
        <v>-1612544.18</v>
      </c>
      <c r="V304" s="243"/>
      <c r="W304" s="243">
        <v>-21296.37</v>
      </c>
      <c r="X304" s="540">
        <v>75</v>
      </c>
      <c r="Y304" s="543">
        <v>1</v>
      </c>
      <c r="Z304" s="215">
        <v>29710</v>
      </c>
      <c r="AA304" s="268"/>
      <c r="AB304" s="237">
        <v>4117715</v>
      </c>
      <c r="AC304" s="443">
        <f>AB304/VPI!R304</f>
        <v>5.3996156232507193</v>
      </c>
      <c r="AD304" s="445">
        <f t="shared" si="26"/>
        <v>6731038</v>
      </c>
      <c r="AE304" s="443">
        <f>AD304/VPI!R304</f>
        <v>8.8265015780582861</v>
      </c>
      <c r="AF304" s="237">
        <v>10848753</v>
      </c>
      <c r="AG304" s="237">
        <v>7606245</v>
      </c>
      <c r="AH304" s="237">
        <v>657664</v>
      </c>
      <c r="AI304" s="272"/>
      <c r="AJ304" s="8">
        <v>0</v>
      </c>
      <c r="AK304" s="443">
        <f>AJ304/VPI!R304</f>
        <v>0</v>
      </c>
      <c r="AL304" s="445">
        <f t="shared" si="27"/>
        <v>189027</v>
      </c>
      <c r="AM304" s="443">
        <f>AL304/VPI!R304</f>
        <v>0.24787367324261483</v>
      </c>
      <c r="AN304" s="8">
        <v>189027</v>
      </c>
      <c r="AO304" s="272"/>
      <c r="AP304" s="529">
        <v>-8.0000000000000018</v>
      </c>
      <c r="AR304" s="546">
        <v>1</v>
      </c>
      <c r="AT304" s="239">
        <f t="shared" si="28"/>
        <v>57812634.20000001</v>
      </c>
      <c r="AU304" s="5">
        <f t="shared" si="29"/>
        <v>0</v>
      </c>
    </row>
    <row r="305" spans="1:47" x14ac:dyDescent="0.25">
      <c r="A305" s="192">
        <v>5939</v>
      </c>
      <c r="B305" s="447" t="s">
        <v>132</v>
      </c>
      <c r="C305" s="535">
        <v>6019715.6600000001</v>
      </c>
      <c r="D305" s="535">
        <v>652581.86</v>
      </c>
      <c r="E305" s="535"/>
      <c r="F305" s="536"/>
      <c r="G305" s="535">
        <v>230415.55</v>
      </c>
      <c r="H305" s="535">
        <v>13530.9</v>
      </c>
      <c r="I305" s="535"/>
      <c r="J305" s="535">
        <v>73635.88</v>
      </c>
      <c r="K305" s="535">
        <v>53811.65</v>
      </c>
      <c r="L305" s="535">
        <v>588836.15</v>
      </c>
      <c r="M305" s="498">
        <f t="shared" si="24"/>
        <v>7632527.6500000013</v>
      </c>
      <c r="N305" s="243">
        <v>167773.55</v>
      </c>
      <c r="O305" s="243">
        <v>282357.2</v>
      </c>
      <c r="P305" s="243">
        <v>177512.65</v>
      </c>
      <c r="Q305" s="243">
        <v>21836.2</v>
      </c>
      <c r="R305" s="243">
        <v>146553.65</v>
      </c>
      <c r="S305" s="535">
        <v>26793.040000000001</v>
      </c>
      <c r="T305" s="498">
        <f t="shared" si="25"/>
        <v>8455353.9400000013</v>
      </c>
      <c r="U305" s="239">
        <v>-149908.45000000001</v>
      </c>
      <c r="V305" s="243"/>
      <c r="W305" s="245">
        <v>-499.18</v>
      </c>
      <c r="X305" s="541">
        <v>71.5</v>
      </c>
      <c r="Y305" s="544">
        <v>1</v>
      </c>
      <c r="Z305" s="217">
        <v>3512</v>
      </c>
      <c r="AA305" s="268"/>
      <c r="AB305" s="237">
        <v>191351</v>
      </c>
      <c r="AC305" s="443">
        <f>AB305/VPI!R305</f>
        <v>1.8167643122405588</v>
      </c>
      <c r="AD305" s="445">
        <f t="shared" si="26"/>
        <v>527961</v>
      </c>
      <c r="AE305" s="443">
        <f>AD305/VPI!R305</f>
        <v>5.0126767200319708</v>
      </c>
      <c r="AF305" s="143">
        <v>719312</v>
      </c>
      <c r="AG305" s="237">
        <v>381747</v>
      </c>
      <c r="AH305" s="143">
        <v>334446</v>
      </c>
      <c r="AI305" s="272"/>
      <c r="AJ305" s="8">
        <v>0</v>
      </c>
      <c r="AK305" s="443">
        <f>AJ305/VPI!R305</f>
        <v>0</v>
      </c>
      <c r="AL305" s="445">
        <f t="shared" si="27"/>
        <v>117978</v>
      </c>
      <c r="AM305" s="443">
        <f>AL305/VPI!R305</f>
        <v>1.1201311727114918</v>
      </c>
      <c r="AN305" s="227">
        <v>117978</v>
      </c>
      <c r="AO305" s="272"/>
      <c r="AP305" s="529">
        <v>11.523217429842635</v>
      </c>
      <c r="AR305" s="546">
        <v>0</v>
      </c>
      <c r="AT305" s="239">
        <f t="shared" si="28"/>
        <v>7632527.6500000013</v>
      </c>
      <c r="AU305" s="5">
        <f t="shared" si="29"/>
        <v>0</v>
      </c>
    </row>
    <row r="306" spans="1:47" x14ac:dyDescent="0.25">
      <c r="A306" s="194"/>
      <c r="B306" s="203">
        <f>COUNTA(B6:B305)</f>
        <v>300</v>
      </c>
      <c r="C306" s="441">
        <f t="shared" ref="C306:S306" si="30">SUM(C6:C305)</f>
        <v>1707315560.9900005</v>
      </c>
      <c r="D306" s="441">
        <f t="shared" si="30"/>
        <v>341402557.17000014</v>
      </c>
      <c r="E306" s="441">
        <f t="shared" si="30"/>
        <v>0</v>
      </c>
      <c r="F306" s="441">
        <f t="shared" si="30"/>
        <v>120769.35</v>
      </c>
      <c r="G306" s="441">
        <f t="shared" si="30"/>
        <v>264646162.35000008</v>
      </c>
      <c r="H306" s="441">
        <f t="shared" si="30"/>
        <v>39013179.349999987</v>
      </c>
      <c r="I306" s="441">
        <f t="shared" si="30"/>
        <v>40618993.310000017</v>
      </c>
      <c r="J306" s="441">
        <f t="shared" si="30"/>
        <v>64886069.479999989</v>
      </c>
      <c r="K306" s="441">
        <f t="shared" si="30"/>
        <v>20497665.900000002</v>
      </c>
      <c r="L306" s="441">
        <f t="shared" si="30"/>
        <v>223481668.66</v>
      </c>
      <c r="M306" s="499">
        <f t="shared" si="30"/>
        <v>2701982626.5599995</v>
      </c>
      <c r="N306" s="441">
        <f t="shared" si="30"/>
        <v>82182598.849999994</v>
      </c>
      <c r="O306" s="441">
        <f t="shared" si="30"/>
        <v>80159505.129999995</v>
      </c>
      <c r="P306" s="441">
        <f t="shared" si="30"/>
        <v>121428238.90000005</v>
      </c>
      <c r="Q306" s="441">
        <f t="shared" si="30"/>
        <v>8990129.9899999984</v>
      </c>
      <c r="R306" s="441">
        <f t="shared" si="30"/>
        <v>94709101.150000006</v>
      </c>
      <c r="S306" s="441">
        <f t="shared" si="30"/>
        <v>33654595.509999998</v>
      </c>
      <c r="T306" s="499">
        <f t="shared" ref="T306" si="31">SUM(M306:S306)</f>
        <v>3123106796.0899997</v>
      </c>
      <c r="U306" s="441">
        <f>SUM(U6:U305)</f>
        <v>-33089303.579999983</v>
      </c>
      <c r="V306" s="441">
        <f>SUM(V6:V305)</f>
        <v>-22747.050000000003</v>
      </c>
      <c r="W306" s="441">
        <f>SUM(W6:W305)</f>
        <v>-5414014.9799999995</v>
      </c>
      <c r="X306" s="442"/>
      <c r="Y306" s="442"/>
      <c r="Z306" s="441">
        <f>SUM(Z6:Z305)</f>
        <v>823879</v>
      </c>
      <c r="AA306" s="242"/>
      <c r="AB306" s="441">
        <f>SUM(AB6:AB305)</f>
        <v>53717765.939999998</v>
      </c>
      <c r="AC306" s="444">
        <f>AB306/VPI!R306</f>
        <v>1.3602584026141753</v>
      </c>
      <c r="AD306" s="446">
        <f>SUM(AD6:AD305)</f>
        <v>203536862.75999999</v>
      </c>
      <c r="AE306" s="444">
        <f>AD306/VPI!R306</f>
        <v>5.1540253576490827</v>
      </c>
      <c r="AF306" s="441">
        <f>SUM(AF6:AF305)</f>
        <v>257254628.69999999</v>
      </c>
      <c r="AG306" s="441">
        <f>SUM(AG6:AG305)</f>
        <v>193514849.34999999</v>
      </c>
      <c r="AH306" s="441">
        <f>SUM(AH6:AH305)</f>
        <v>39458738.600000001</v>
      </c>
      <c r="AJ306" s="441">
        <f>SUM(AJ6:AJ305)</f>
        <v>497840</v>
      </c>
      <c r="AK306" s="444">
        <f>AJ306/VPI!R306</f>
        <v>1.2606463267921992E-2</v>
      </c>
      <c r="AL306" s="446">
        <f>SUM(AL6:AL305)</f>
        <v>21108245</v>
      </c>
      <c r="AM306" s="444">
        <f>AL306/VPI!R306</f>
        <v>0.53450971244335133</v>
      </c>
      <c r="AN306" s="441">
        <f>SUM(AN6:AN305)</f>
        <v>21606085</v>
      </c>
      <c r="AP306" s="17"/>
      <c r="AR306" s="354">
        <f>SUM(AR6:AR305)</f>
        <v>49</v>
      </c>
      <c r="AT306" s="239">
        <f>SUM(AT6:AT305)</f>
        <v>2701982626.5599995</v>
      </c>
      <c r="AU306" s="5">
        <f>SUM(AU6:AU305)</f>
        <v>0</v>
      </c>
    </row>
    <row r="307" spans="1:47" s="5" customFormat="1" x14ac:dyDescent="0.25">
      <c r="A307" s="4"/>
      <c r="C307" s="238"/>
      <c r="AC307" s="239"/>
    </row>
    <row r="308" spans="1:47" x14ac:dyDescent="0.25">
      <c r="C308" s="239"/>
      <c r="D308" s="239"/>
      <c r="E308" s="239"/>
      <c r="F308" s="239"/>
      <c r="G308" s="239"/>
      <c r="H308" s="239"/>
      <c r="I308" s="239"/>
      <c r="J308" s="239"/>
      <c r="K308" s="239"/>
      <c r="L308" s="239"/>
      <c r="M308" s="5"/>
      <c r="N308" s="239"/>
      <c r="O308" s="239"/>
      <c r="P308" s="239"/>
      <c r="Q308" s="239"/>
      <c r="R308" s="239"/>
      <c r="S308" s="239"/>
      <c r="T308" s="239"/>
      <c r="U308" s="239"/>
      <c r="V308" s="239"/>
      <c r="W308" s="239"/>
      <c r="X308" s="239"/>
      <c r="Y308" s="239"/>
      <c r="Z308" s="239"/>
      <c r="AL308" s="5"/>
    </row>
    <row r="311" spans="1:47" s="239" customFormat="1" x14ac:dyDescent="0.25">
      <c r="A311" s="195"/>
      <c r="C311" s="242"/>
      <c r="D311" s="242"/>
      <c r="E311" s="242"/>
      <c r="F311" s="242"/>
      <c r="G311" s="242"/>
      <c r="H311" s="242"/>
      <c r="I311" s="242"/>
      <c r="J311" s="242"/>
      <c r="K311" s="242"/>
      <c r="L311" s="242"/>
      <c r="M311" s="242"/>
      <c r="N311" s="242"/>
      <c r="O311" s="242"/>
      <c r="P311" s="242"/>
      <c r="Q311" s="242"/>
      <c r="R311" s="242"/>
      <c r="S311" s="242"/>
      <c r="T311" s="242"/>
      <c r="U311" s="242"/>
      <c r="V311" s="242"/>
      <c r="W311" s="242"/>
      <c r="X311" s="242"/>
      <c r="Y311" s="242"/>
      <c r="Z311" s="242"/>
      <c r="AA311" s="242"/>
      <c r="AB311" s="242"/>
      <c r="AC311" s="242"/>
      <c r="AD311" s="242"/>
      <c r="AE311" s="242"/>
      <c r="AF311" s="242"/>
      <c r="AG311" s="242"/>
      <c r="AH311" s="242"/>
      <c r="AI311" s="242"/>
      <c r="AJ311" s="242"/>
      <c r="AK311" s="242"/>
      <c r="AL311" s="242"/>
      <c r="AM311" s="242"/>
      <c r="AN311" s="242"/>
      <c r="AO311" s="242"/>
      <c r="AP311" s="242"/>
      <c r="AQ311" s="242"/>
      <c r="AR311" s="242"/>
      <c r="AU311" s="5"/>
    </row>
    <row r="312" spans="1:47" s="239" customFormat="1" x14ac:dyDescent="0.25">
      <c r="A312" s="195"/>
      <c r="C312" s="242"/>
      <c r="N312" s="5"/>
      <c r="O312" s="5"/>
      <c r="P312" s="5"/>
      <c r="Q312" s="5"/>
      <c r="R312" s="5"/>
      <c r="S312" s="5"/>
      <c r="Z312" s="5"/>
      <c r="AU312" s="5"/>
    </row>
    <row r="320" spans="1:47" s="239" customFormat="1" x14ac:dyDescent="0.25">
      <c r="A320" s="195"/>
      <c r="C320" s="242"/>
      <c r="D320" s="242"/>
      <c r="E320" s="242"/>
      <c r="F320" s="242"/>
      <c r="G320" s="242"/>
      <c r="H320" s="242"/>
      <c r="I320" s="242"/>
      <c r="J320" s="242"/>
      <c r="K320" s="242"/>
      <c r="L320" s="242"/>
      <c r="M320" s="242"/>
      <c r="N320" s="242"/>
      <c r="O320" s="242"/>
      <c r="P320" s="242"/>
      <c r="Q320" s="242"/>
      <c r="R320" s="242"/>
      <c r="S320" s="242"/>
      <c r="T320" s="242"/>
      <c r="U320" s="242"/>
      <c r="V320" s="242"/>
      <c r="W320" s="242"/>
      <c r="X320" s="242"/>
      <c r="Y320" s="242"/>
      <c r="Z320" s="242"/>
      <c r="AA320" s="242"/>
      <c r="AB320" s="242"/>
      <c r="AC320" s="242"/>
      <c r="AD320" s="242"/>
      <c r="AE320" s="242"/>
      <c r="AF320" s="242"/>
      <c r="AG320" s="242"/>
      <c r="AH320" s="242"/>
      <c r="AI320" s="242"/>
      <c r="AJ320" s="242"/>
      <c r="AK320" s="242"/>
      <c r="AL320" s="242"/>
      <c r="AM320" s="242"/>
      <c r="AN320" s="242"/>
      <c r="AO320" s="242"/>
      <c r="AP320" s="242"/>
      <c r="AQ320" s="242"/>
      <c r="AR320" s="242"/>
      <c r="AU320" s="5"/>
    </row>
    <row r="324" spans="1:47" s="239" customFormat="1" x14ac:dyDescent="0.25">
      <c r="A324" s="195"/>
      <c r="C324" s="242"/>
      <c r="D324" s="242"/>
      <c r="E324" s="242"/>
      <c r="F324" s="242"/>
      <c r="G324" s="242"/>
      <c r="H324" s="242"/>
      <c r="I324" s="242"/>
      <c r="J324" s="242"/>
      <c r="K324" s="242"/>
      <c r="L324" s="242"/>
      <c r="M324" s="242"/>
      <c r="N324" s="242"/>
      <c r="O324" s="242"/>
      <c r="P324" s="242"/>
      <c r="Q324" s="242"/>
      <c r="R324" s="242"/>
      <c r="S324" s="242"/>
      <c r="T324" s="242"/>
      <c r="U324" s="242"/>
      <c r="V324" s="242"/>
      <c r="W324" s="242"/>
      <c r="X324" s="242"/>
      <c r="Y324" s="242"/>
      <c r="Z324" s="242"/>
      <c r="AA324" s="242"/>
      <c r="AB324" s="242"/>
      <c r="AC324" s="242"/>
      <c r="AD324" s="242"/>
      <c r="AE324" s="242"/>
      <c r="AF324" s="242"/>
      <c r="AG324" s="242"/>
      <c r="AH324" s="242"/>
      <c r="AI324" s="242"/>
      <c r="AJ324" s="242"/>
      <c r="AK324" s="242"/>
      <c r="AL324" s="242"/>
      <c r="AM324" s="242"/>
      <c r="AN324" s="242"/>
      <c r="AO324" s="242"/>
      <c r="AP324" s="242"/>
      <c r="AQ324" s="242"/>
      <c r="AR324" s="242"/>
      <c r="AU324" s="5"/>
    </row>
    <row r="328" spans="1:47" x14ac:dyDescent="0.25">
      <c r="D328" s="242"/>
      <c r="E328" s="242"/>
      <c r="F328" s="242"/>
      <c r="G328" s="242"/>
      <c r="H328" s="242"/>
      <c r="I328" s="242"/>
      <c r="J328" s="242"/>
      <c r="K328" s="242"/>
      <c r="L328" s="242"/>
      <c r="M328" s="242"/>
      <c r="N328" s="242"/>
      <c r="O328" s="242"/>
      <c r="P328" s="242"/>
      <c r="Q328" s="242"/>
      <c r="R328" s="242"/>
      <c r="S328" s="242"/>
      <c r="T328" s="242"/>
      <c r="U328" s="242"/>
      <c r="V328" s="242"/>
      <c r="W328" s="242"/>
      <c r="X328" s="242"/>
      <c r="Y328" s="242"/>
      <c r="Z328" s="242"/>
      <c r="AA328" s="242"/>
      <c r="AB328" s="242"/>
      <c r="AC328" s="242"/>
      <c r="AD328" s="242"/>
      <c r="AE328" s="242"/>
      <c r="AF328" s="242"/>
      <c r="AG328" s="242"/>
      <c r="AH328" s="242"/>
      <c r="AI328" s="242"/>
      <c r="AJ328" s="242"/>
      <c r="AK328" s="242"/>
      <c r="AL328" s="242"/>
      <c r="AM328" s="242"/>
      <c r="AN328" s="242"/>
      <c r="AO328" s="242"/>
      <c r="AP328" s="242"/>
      <c r="AQ328" s="242"/>
      <c r="AR328" s="242"/>
    </row>
    <row r="329" spans="1:47" s="239" customFormat="1" x14ac:dyDescent="0.25">
      <c r="A329" s="195"/>
      <c r="C329" s="242"/>
      <c r="N329" s="5"/>
      <c r="O329" s="5"/>
      <c r="P329" s="5"/>
      <c r="Q329" s="5"/>
      <c r="R329" s="5"/>
      <c r="S329" s="5"/>
      <c r="Z329" s="5"/>
      <c r="AU329" s="5"/>
    </row>
    <row r="330" spans="1:47" s="239" customFormat="1" x14ac:dyDescent="0.25">
      <c r="A330" s="195"/>
      <c r="C330" s="242"/>
      <c r="N330" s="5"/>
      <c r="O330" s="5"/>
      <c r="P330" s="5"/>
      <c r="Q330" s="5"/>
      <c r="R330" s="5"/>
      <c r="S330" s="5"/>
      <c r="Z330" s="5"/>
      <c r="AU330" s="5"/>
    </row>
    <row r="331" spans="1:47" s="5" customFormat="1" x14ac:dyDescent="0.25">
      <c r="A331" s="4"/>
      <c r="C331" s="238"/>
    </row>
    <row r="332" spans="1:47" s="5" customFormat="1" x14ac:dyDescent="0.25">
      <c r="A332" s="4"/>
      <c r="C332" s="238"/>
      <c r="D332" s="238"/>
      <c r="E332" s="238"/>
      <c r="F332" s="238"/>
      <c r="G332" s="238"/>
      <c r="H332" s="238"/>
      <c r="I332" s="238"/>
      <c r="J332" s="238"/>
      <c r="K332" s="238"/>
      <c r="L332" s="238"/>
      <c r="M332" s="238"/>
      <c r="N332" s="238"/>
      <c r="O332" s="238"/>
      <c r="P332" s="238"/>
      <c r="Q332" s="238"/>
      <c r="R332" s="238"/>
      <c r="S332" s="238"/>
      <c r="T332" s="238"/>
      <c r="U332" s="238"/>
      <c r="V332" s="238"/>
      <c r="W332" s="238"/>
      <c r="X332" s="238"/>
      <c r="Y332" s="238"/>
      <c r="Z332" s="238"/>
      <c r="AA332" s="238"/>
      <c r="AB332" s="238"/>
      <c r="AC332" s="238"/>
      <c r="AD332" s="238"/>
      <c r="AE332" s="238"/>
      <c r="AF332" s="238"/>
      <c r="AG332" s="238"/>
      <c r="AH332" s="238"/>
      <c r="AI332" s="238"/>
      <c r="AJ332" s="238"/>
      <c r="AK332" s="238"/>
      <c r="AL332" s="238"/>
      <c r="AM332" s="238"/>
      <c r="AN332" s="238"/>
      <c r="AO332" s="238"/>
      <c r="AP332" s="238"/>
      <c r="AQ332" s="238"/>
      <c r="AR332" s="238"/>
    </row>
    <row r="333" spans="1:47" s="5" customFormat="1" x14ac:dyDescent="0.25">
      <c r="A333" s="4"/>
      <c r="C333" s="238"/>
      <c r="D333" s="238"/>
      <c r="E333" s="238"/>
      <c r="F333" s="238"/>
      <c r="G333" s="238"/>
      <c r="H333" s="238"/>
      <c r="I333" s="238"/>
      <c r="J333" s="238"/>
      <c r="K333" s="238"/>
      <c r="L333" s="238"/>
      <c r="M333" s="238"/>
      <c r="N333" s="238"/>
      <c r="O333" s="238"/>
      <c r="P333" s="238"/>
      <c r="Q333" s="238"/>
      <c r="R333" s="238"/>
      <c r="S333" s="238"/>
      <c r="T333" s="238"/>
      <c r="U333" s="238"/>
      <c r="V333" s="238"/>
      <c r="W333" s="238"/>
      <c r="X333" s="238"/>
      <c r="Y333" s="238"/>
      <c r="Z333" s="238"/>
      <c r="AA333" s="238"/>
      <c r="AB333" s="238"/>
      <c r="AC333" s="238"/>
      <c r="AD333" s="238"/>
      <c r="AE333" s="238"/>
      <c r="AF333" s="238"/>
      <c r="AG333" s="238"/>
      <c r="AH333" s="238"/>
      <c r="AI333" s="238"/>
      <c r="AJ333" s="238"/>
      <c r="AK333" s="238"/>
      <c r="AL333" s="238"/>
      <c r="AM333" s="238"/>
      <c r="AN333" s="238"/>
      <c r="AO333" s="238"/>
      <c r="AP333" s="238"/>
      <c r="AQ333" s="238"/>
      <c r="AR333" s="238"/>
    </row>
    <row r="335" spans="1:47" x14ac:dyDescent="0.25">
      <c r="C335" s="549"/>
      <c r="D335" s="549"/>
    </row>
    <row r="336" spans="1:47" x14ac:dyDescent="0.25">
      <c r="C336" s="549"/>
      <c r="D336" s="549"/>
    </row>
    <row r="337" spans="3:4" x14ac:dyDescent="0.25">
      <c r="C337" s="549"/>
      <c r="D337" s="549"/>
    </row>
    <row r="338" spans="3:4" x14ac:dyDescent="0.25">
      <c r="C338" s="549"/>
      <c r="D338" s="549"/>
    </row>
    <row r="353" spans="25:25" x14ac:dyDescent="0.25">
      <c r="Y353" s="239"/>
    </row>
    <row r="354" spans="25:25" x14ac:dyDescent="0.25">
      <c r="Y354" s="239"/>
    </row>
    <row r="355" spans="25:25" x14ac:dyDescent="0.25">
      <c r="Y355" s="239"/>
    </row>
  </sheetData>
  <protectedRanges>
    <protectedRange sqref="AF276:AH305 AF236:AH274 AF156:AH234 AF6:AH67 AF69:AH154" name="Plage5"/>
    <protectedRange sqref="U306:Z306" name="Plage3"/>
    <protectedRange sqref="AB276:AB305 AB236:AB274 AB156:AB234 AB6:AB67 AB69:AB154" name="Plage4"/>
    <protectedRange sqref="AJ276:AJ305 AJ236:AJ274 AJ156:AJ234 AJ6:AJ67 AJ69:AJ154" name="Plage6"/>
    <protectedRange sqref="AP6:AP305" name="Plage8"/>
    <protectedRange sqref="A7:B305" name="Plage1_1"/>
    <protectedRange sqref="G264:G265 H265 I295:L305 I294:K294 E156:E162 I276:L293 C276:H305 C275:L275 G267:H274 E267:E274 E236:E262 G236:H263 I236:L274 C236:D274 F236:F274 C235:L235 F156:L234 C156:D234 E164:E234 C6:L155 AF155:AJ155 AF275:AJ275 AF235:AJ235 AF68:AJ68 AN155:AO155 AN275:AO275 AN235:AO235 AN68:AO68 AQ155:AR155 AQ275:AR275 AQ235:AR235 AQ68:AR68 U155:AB155 U275:AB275 U235:AB235 U68:AB68 V1 N275:R275 N235:R235 N155:R155 N68:R68" name="Plage1_1_1"/>
    <protectedRange sqref="E163" name="Plage1_3"/>
    <protectedRange sqref="L294" name="Plage1_1_1_1"/>
    <protectedRange sqref="N276:R305 N236:R274 N156:R234 N6:R67 N69:R154" name="Plage1_2"/>
    <protectedRange sqref="S6:S305" name="Plage1_1_2"/>
    <protectedRange sqref="U276:W305 U236:W274 U156:W234 U6:W67 U69:W154" name="Plage1_4"/>
    <protectedRange sqref="X276:X305 X236:X274 X156:X234 X6:X67 X69:X154" name="Plage1_5"/>
    <protectedRange sqref="Z276:Z305 Z236:Z274 Z156:Z234 Z6:Z67 Z69:Z154" name="Plage1_6"/>
    <protectedRange sqref="AR276:AR305 AR236:AR274 AR156:AR234 AR6:AR67 AR69:AR154" name="Plage1_7"/>
  </protectedRanges>
  <mergeCells count="19">
    <mergeCell ref="AR4:AR5"/>
    <mergeCell ref="AN4:AN5"/>
    <mergeCell ref="AB3:AF3"/>
    <mergeCell ref="AB4:AC4"/>
    <mergeCell ref="AJ4:AK4"/>
    <mergeCell ref="AL4:AM4"/>
    <mergeCell ref="AJ3:AN3"/>
    <mergeCell ref="AD4:AE4"/>
    <mergeCell ref="AF4:AF5"/>
    <mergeCell ref="AG4:AG5"/>
    <mergeCell ref="AH4:AH5"/>
    <mergeCell ref="A4:A5"/>
    <mergeCell ref="B4:B5"/>
    <mergeCell ref="Q4:Q5"/>
    <mergeCell ref="Y4:Y5"/>
    <mergeCell ref="U4:U5"/>
    <mergeCell ref="W4:W5"/>
    <mergeCell ref="V4:V5"/>
    <mergeCell ref="S4:S5"/>
  </mergeCells>
  <phoneticPr fontId="21" type="noConversion"/>
  <hyperlinks>
    <hyperlink ref="C1" location="Recherche!A1" display="← Précédent" xr:uid="{9DFAD010-0C97-42DF-A3FC-76FBADDC6AFF}"/>
    <hyperlink ref="D1" location="'Table des matières'!A1" display="Table des matières" xr:uid="{DD040F16-3F41-415E-ABBC-CF6EBDE17DB0}"/>
    <hyperlink ref="E1" location="VPI!A1" display="Suivant →" xr:uid="{0BFBE454-28CA-492D-AAD2-6B120C6EA93F}"/>
  </hyperlinks>
  <pageMargins left="0.19685039370078741" right="0.39370078740157483" top="0.98425196850393704" bottom="0.98425196850393704" header="0.51181102362204722" footer="0.51181102362204722"/>
  <pageSetup paperSize="9" orientation="portrait" r:id="rId1"/>
  <headerFooter alignWithMargins="0"/>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euil5">
    <tabColor theme="3" tint="0.59999389629810485"/>
  </sheetPr>
  <dimension ref="A1:R315"/>
  <sheetViews>
    <sheetView zoomScaleNormal="100" workbookViewId="0">
      <pane ySplit="5" topLeftCell="A6" activePane="bottomLeft" state="frozen"/>
      <selection activeCell="X73" sqref="X73"/>
      <selection pane="bottomLeft" activeCell="A6" sqref="A6"/>
    </sheetView>
  </sheetViews>
  <sheetFormatPr baseColWidth="10" defaultColWidth="8.625" defaultRowHeight="15" x14ac:dyDescent="0.25"/>
  <cols>
    <col min="1" max="1" width="7.625" style="3" customWidth="1"/>
    <col min="2" max="2" width="21.625" style="11" customWidth="1"/>
    <col min="3" max="3" width="12" style="11" customWidth="1"/>
    <col min="4" max="4" width="20.625" style="5" customWidth="1"/>
    <col min="5" max="5" width="12" style="11" bestFit="1" customWidth="1"/>
    <col min="6" max="6" width="9.875" style="5" bestFit="1" customWidth="1"/>
    <col min="7" max="7" width="10.25" style="11" bestFit="1" customWidth="1"/>
    <col min="8" max="8" width="9.875" style="11" bestFit="1" customWidth="1"/>
    <col min="9" max="9" width="12.875" style="11" customWidth="1"/>
    <col min="10" max="10" width="10.25" style="11" customWidth="1"/>
    <col min="11" max="11" width="15.75" style="11" customWidth="1"/>
    <col min="12" max="12" width="13" style="219" customWidth="1"/>
    <col min="13" max="13" width="10" style="11" bestFit="1" customWidth="1"/>
    <col min="14" max="14" width="13.375" style="11" customWidth="1"/>
    <col min="15" max="15" width="12.875" style="13" customWidth="1"/>
    <col min="16" max="16" width="13" style="11" bestFit="1" customWidth="1"/>
    <col min="17" max="17" width="11.25" style="11" customWidth="1"/>
    <col min="18" max="18" width="14.25" style="11" customWidth="1"/>
    <col min="19" max="19" width="9.875" style="11" bestFit="1" customWidth="1"/>
    <col min="20" max="16384" width="8.625" style="11"/>
  </cols>
  <sheetData>
    <row r="1" spans="1:18" ht="26.25" customHeight="1" x14ac:dyDescent="0.4">
      <c r="A1" s="280" t="s">
        <v>412</v>
      </c>
      <c r="B1" s="21"/>
      <c r="C1" s="21"/>
      <c r="E1" s="304" t="s">
        <v>406</v>
      </c>
      <c r="F1" s="305" t="s">
        <v>398</v>
      </c>
      <c r="G1" s="503" t="s">
        <v>407</v>
      </c>
      <c r="H1" s="3"/>
      <c r="I1" s="376"/>
      <c r="J1" s="376"/>
      <c r="K1" s="376"/>
      <c r="L1" s="376"/>
      <c r="M1" s="376"/>
      <c r="N1" s="376"/>
      <c r="O1" s="376"/>
      <c r="P1" s="376"/>
      <c r="Q1" s="376"/>
      <c r="R1" s="376"/>
    </row>
    <row r="2" spans="1:18" ht="15.75" customHeight="1" x14ac:dyDescent="0.35">
      <c r="A2" s="360" t="str">
        <f>Paramètres!B4</f>
        <v>Acomptes 2023</v>
      </c>
      <c r="C2" s="20"/>
      <c r="E2" s="23"/>
      <c r="G2" s="24"/>
      <c r="H2" s="3"/>
      <c r="I2" s="376"/>
      <c r="J2" s="376"/>
      <c r="K2" s="376"/>
      <c r="L2" s="376"/>
      <c r="M2" s="376"/>
      <c r="N2" s="376"/>
      <c r="O2" s="376"/>
      <c r="P2" s="376"/>
      <c r="Q2" s="376"/>
      <c r="R2" s="376"/>
    </row>
    <row r="3" spans="1:18" x14ac:dyDescent="0.25">
      <c r="A3" s="2"/>
      <c r="B3" s="361"/>
      <c r="C3" s="3"/>
      <c r="E3" s="23"/>
      <c r="G3" s="3"/>
      <c r="H3" s="3"/>
      <c r="I3" s="3"/>
      <c r="J3" s="3"/>
      <c r="K3" s="3"/>
    </row>
    <row r="4" spans="1:18" s="14" customFormat="1" ht="45" x14ac:dyDescent="0.2">
      <c r="A4" s="636" t="s">
        <v>44</v>
      </c>
      <c r="B4" s="632" t="s">
        <v>84</v>
      </c>
      <c r="C4" s="448" t="s">
        <v>519</v>
      </c>
      <c r="D4" s="448" t="s">
        <v>520</v>
      </c>
      <c r="E4" s="449" t="s">
        <v>420</v>
      </c>
      <c r="F4" s="448" t="s">
        <v>535</v>
      </c>
      <c r="G4" s="448" t="s">
        <v>312</v>
      </c>
      <c r="H4" s="617" t="s">
        <v>218</v>
      </c>
      <c r="I4" s="619" t="s">
        <v>534</v>
      </c>
      <c r="J4" s="617" t="s">
        <v>219</v>
      </c>
      <c r="K4" s="617" t="s">
        <v>337</v>
      </c>
      <c r="L4" s="634" t="s">
        <v>288</v>
      </c>
      <c r="M4" s="448" t="s">
        <v>223</v>
      </c>
      <c r="N4" s="448" t="s">
        <v>452</v>
      </c>
      <c r="O4" s="632" t="s">
        <v>421</v>
      </c>
      <c r="P4" s="634" t="s">
        <v>364</v>
      </c>
      <c r="Q4" s="450" t="s">
        <v>71</v>
      </c>
      <c r="R4" s="455" t="s">
        <v>414</v>
      </c>
    </row>
    <row r="5" spans="1:18" ht="14.25" customHeight="1" x14ac:dyDescent="0.25">
      <c r="A5" s="637"/>
      <c r="B5" s="633"/>
      <c r="C5" s="451" t="s">
        <v>536</v>
      </c>
      <c r="D5" s="452" t="s">
        <v>537</v>
      </c>
      <c r="E5" s="453" t="s">
        <v>72</v>
      </c>
      <c r="F5" s="451" t="s">
        <v>74</v>
      </c>
      <c r="G5" s="452" t="s">
        <v>75</v>
      </c>
      <c r="H5" s="618"/>
      <c r="I5" s="621"/>
      <c r="J5" s="618"/>
      <c r="K5" s="618"/>
      <c r="L5" s="635"/>
      <c r="M5" s="452" t="s">
        <v>73</v>
      </c>
      <c r="N5" s="452" t="s">
        <v>76</v>
      </c>
      <c r="O5" s="633"/>
      <c r="P5" s="635"/>
      <c r="Q5" s="454">
        <f>Paramètres!B5</f>
        <v>2021</v>
      </c>
      <c r="R5" s="456">
        <f>Paramètres!B5</f>
        <v>2021</v>
      </c>
    </row>
    <row r="6" spans="1:18" x14ac:dyDescent="0.25">
      <c r="A6" s="7">
        <f>Données!A6</f>
        <v>5401</v>
      </c>
      <c r="B6" s="27" t="str">
        <f>Données!B6</f>
        <v>Aigle</v>
      </c>
      <c r="C6" s="8">
        <f>Données!C6+Données!D6</f>
        <v>14436685.949999999</v>
      </c>
      <c r="D6" s="8">
        <f>+Données!G6+Données!H6+Données!S6</f>
        <v>1600470.44</v>
      </c>
      <c r="E6" s="8">
        <f>+Données!E6</f>
        <v>0</v>
      </c>
      <c r="F6" s="8">
        <f>+Données!I6</f>
        <v>55943.199999999997</v>
      </c>
      <c r="G6" s="8">
        <f>+Données!J6</f>
        <v>596061.34</v>
      </c>
      <c r="H6" s="8">
        <f>Données!U6</f>
        <v>-301234.81</v>
      </c>
      <c r="I6" s="26">
        <f>Données!V6</f>
        <v>0</v>
      </c>
      <c r="J6" s="26">
        <f>Données!W6</f>
        <v>-9568.57</v>
      </c>
      <c r="K6" s="8">
        <f>+Données!Q6</f>
        <v>78593.5</v>
      </c>
      <c r="L6" s="457">
        <f>SUM(C6:K6)</f>
        <v>16456951.049999997</v>
      </c>
      <c r="M6" s="8">
        <f>+Données!F6</f>
        <v>0</v>
      </c>
      <c r="N6" s="8">
        <f>+Données!K6</f>
        <v>242822.05</v>
      </c>
      <c r="O6" s="8">
        <f>(Données!L6/Données!Y6)*1</f>
        <v>1840716.5416666667</v>
      </c>
      <c r="P6" s="457">
        <f>SUM(L6:O6)</f>
        <v>18540489.641666666</v>
      </c>
      <c r="Q6" s="28">
        <f>+Données!X6</f>
        <v>66</v>
      </c>
      <c r="R6" s="457">
        <f t="shared" ref="R6" si="0">P6/Q6</f>
        <v>280916.50972222222</v>
      </c>
    </row>
    <row r="7" spans="1:18" x14ac:dyDescent="0.25">
      <c r="A7" s="7">
        <f>Données!A7</f>
        <v>5402</v>
      </c>
      <c r="B7" s="27" t="str">
        <f>Données!B7</f>
        <v>Bex</v>
      </c>
      <c r="C7" s="8">
        <f>Données!C7+Données!D7</f>
        <v>11061775.07</v>
      </c>
      <c r="D7" s="8">
        <f>+Données!G7+Données!H7+Données!S7</f>
        <v>926375.24</v>
      </c>
      <c r="E7" s="8">
        <f>+Données!E7</f>
        <v>0</v>
      </c>
      <c r="F7" s="8">
        <f>+Données!I7</f>
        <v>117061.85</v>
      </c>
      <c r="G7" s="8">
        <f>+Données!J7</f>
        <v>311170.89</v>
      </c>
      <c r="H7" s="8">
        <f>Données!U7</f>
        <v>-291750.38</v>
      </c>
      <c r="I7" s="215">
        <f>Données!V7</f>
        <v>0</v>
      </c>
      <c r="J7" s="215">
        <f>Données!W7</f>
        <v>-3880.84</v>
      </c>
      <c r="K7" s="8">
        <f>+Données!Q7</f>
        <v>76761.88</v>
      </c>
      <c r="L7" s="457">
        <f t="shared" ref="L7:L70" si="1">SUM(C7:K7)</f>
        <v>12197513.710000001</v>
      </c>
      <c r="M7" s="8">
        <f>+Données!F7</f>
        <v>0</v>
      </c>
      <c r="N7" s="8">
        <f>+Données!K7</f>
        <v>109103.9</v>
      </c>
      <c r="O7" s="8">
        <f>(Données!L7/Données!Y7)*1</f>
        <v>1372714.6</v>
      </c>
      <c r="P7" s="457">
        <f t="shared" ref="P7:P70" si="2">SUM(L7:O7)</f>
        <v>13679332.210000001</v>
      </c>
      <c r="Q7" s="240">
        <f>+Données!X7</f>
        <v>71</v>
      </c>
      <c r="R7" s="457">
        <f t="shared" ref="R7:R70" si="3">P7/Q7</f>
        <v>192666.65084507043</v>
      </c>
    </row>
    <row r="8" spans="1:18" x14ac:dyDescent="0.25">
      <c r="A8" s="7">
        <f>Données!A8</f>
        <v>5403</v>
      </c>
      <c r="B8" s="27" t="str">
        <f>Données!B8</f>
        <v>Chessel</v>
      </c>
      <c r="C8" s="8">
        <f>Données!C8+Données!D8</f>
        <v>654078.91</v>
      </c>
      <c r="D8" s="8">
        <f>+Données!G8+Données!H8+Données!S8</f>
        <v>118927.84</v>
      </c>
      <c r="E8" s="8">
        <f>+Données!E8</f>
        <v>0</v>
      </c>
      <c r="F8" s="8">
        <f>+Données!I8</f>
        <v>0</v>
      </c>
      <c r="G8" s="8">
        <f>+Données!J8</f>
        <v>38914.879999999997</v>
      </c>
      <c r="H8" s="8">
        <f>Données!U8</f>
        <v>-13826.16</v>
      </c>
      <c r="I8" s="215">
        <f>Données!V8</f>
        <v>0</v>
      </c>
      <c r="J8" s="215">
        <f>Données!W8</f>
        <v>0</v>
      </c>
      <c r="K8" s="8">
        <f>+Données!Q8</f>
        <v>-631.95000000000005</v>
      </c>
      <c r="L8" s="457">
        <f t="shared" si="1"/>
        <v>797463.52</v>
      </c>
      <c r="M8" s="8">
        <f>+Données!F8</f>
        <v>0</v>
      </c>
      <c r="N8" s="8">
        <f>+Données!K8</f>
        <v>7613.8</v>
      </c>
      <c r="O8" s="8">
        <f>(Données!L8/Données!Y8)*1</f>
        <v>89239.7</v>
      </c>
      <c r="P8" s="457">
        <f t="shared" si="2"/>
        <v>894317.02</v>
      </c>
      <c r="Q8" s="240">
        <f>+Données!X8</f>
        <v>74</v>
      </c>
      <c r="R8" s="457">
        <f t="shared" si="3"/>
        <v>12085.365135135135</v>
      </c>
    </row>
    <row r="9" spans="1:18" x14ac:dyDescent="0.25">
      <c r="A9" s="7">
        <f>Données!A9</f>
        <v>5404</v>
      </c>
      <c r="B9" s="27" t="str">
        <f>Données!B9</f>
        <v>Corbeyrier</v>
      </c>
      <c r="C9" s="8">
        <f>Données!C9+Données!D9</f>
        <v>760354.83</v>
      </c>
      <c r="D9" s="8">
        <f>+Données!G9+Données!H9+Données!S9</f>
        <v>7651.96</v>
      </c>
      <c r="E9" s="8">
        <f>+Données!E9</f>
        <v>0</v>
      </c>
      <c r="F9" s="8">
        <f>+Données!I9</f>
        <v>0</v>
      </c>
      <c r="G9" s="8">
        <f>+Données!J9</f>
        <v>2548.21</v>
      </c>
      <c r="H9" s="8">
        <f>Données!U9</f>
        <v>-3920.21</v>
      </c>
      <c r="I9" s="215">
        <f>Données!V9</f>
        <v>0</v>
      </c>
      <c r="J9" s="215">
        <f>Données!W9</f>
        <v>-110.6</v>
      </c>
      <c r="K9" s="8">
        <f>+Données!Q9</f>
        <v>0</v>
      </c>
      <c r="L9" s="457">
        <f t="shared" si="1"/>
        <v>766524.19</v>
      </c>
      <c r="M9" s="8">
        <f>+Données!F9</f>
        <v>0</v>
      </c>
      <c r="N9" s="8">
        <f>+Données!K9</f>
        <v>1699.05</v>
      </c>
      <c r="O9" s="8">
        <f>(Données!L9/Données!Y9)*1</f>
        <v>88755.900000000009</v>
      </c>
      <c r="P9" s="457">
        <f t="shared" si="2"/>
        <v>856979.14</v>
      </c>
      <c r="Q9" s="240">
        <f>+Données!X9</f>
        <v>74</v>
      </c>
      <c r="R9" s="457">
        <f t="shared" si="3"/>
        <v>11580.799189189189</v>
      </c>
    </row>
    <row r="10" spans="1:18" x14ac:dyDescent="0.25">
      <c r="A10" s="7">
        <f>Données!A10</f>
        <v>5405</v>
      </c>
      <c r="B10" s="27" t="str">
        <f>Données!B10</f>
        <v>Gryon</v>
      </c>
      <c r="C10" s="8">
        <f>Données!C10+Données!D10</f>
        <v>4356706.59</v>
      </c>
      <c r="D10" s="8">
        <f>+Données!G10+Données!H10+Données!S10</f>
        <v>105739.31999999999</v>
      </c>
      <c r="E10" s="8">
        <f>+Données!E10</f>
        <v>0</v>
      </c>
      <c r="F10" s="8">
        <f>+Données!I10</f>
        <v>386758.04</v>
      </c>
      <c r="G10" s="8">
        <f>+Données!J10</f>
        <v>112374.65</v>
      </c>
      <c r="H10" s="8">
        <f>Données!U10</f>
        <v>-44847.199999999997</v>
      </c>
      <c r="I10" s="215">
        <f>Données!V10</f>
        <v>0</v>
      </c>
      <c r="J10" s="215">
        <f>Données!W10</f>
        <v>-2520.9</v>
      </c>
      <c r="K10" s="8">
        <f>+Données!Q10</f>
        <v>23617.99</v>
      </c>
      <c r="L10" s="457">
        <f t="shared" si="1"/>
        <v>4937828.49</v>
      </c>
      <c r="M10" s="8">
        <f>+Données!F10</f>
        <v>0</v>
      </c>
      <c r="N10" s="8">
        <f>+Données!K10</f>
        <v>-747.3</v>
      </c>
      <c r="O10" s="8">
        <f>(Données!L10/Données!Y10)*1</f>
        <v>803760.4</v>
      </c>
      <c r="P10" s="457">
        <f t="shared" si="2"/>
        <v>5740841.5900000008</v>
      </c>
      <c r="Q10" s="240">
        <f>+Données!X10</f>
        <v>73.5</v>
      </c>
      <c r="R10" s="457">
        <f t="shared" si="3"/>
        <v>78106.688299319736</v>
      </c>
    </row>
    <row r="11" spans="1:18" x14ac:dyDescent="0.25">
      <c r="A11" s="7">
        <f>Données!A11</f>
        <v>5406</v>
      </c>
      <c r="B11" s="27" t="str">
        <f>Données!B11</f>
        <v>Lavey-Morcles</v>
      </c>
      <c r="C11" s="8">
        <f>Données!C11+Données!D11</f>
        <v>1303939.47</v>
      </c>
      <c r="D11" s="8">
        <f>+Données!G11+Données!H11+Données!S11</f>
        <v>46131.87</v>
      </c>
      <c r="E11" s="8">
        <f>+Données!E11</f>
        <v>0</v>
      </c>
      <c r="F11" s="8">
        <f>+Données!I11</f>
        <v>0</v>
      </c>
      <c r="G11" s="8">
        <f>+Données!J11</f>
        <v>53070.03</v>
      </c>
      <c r="H11" s="8">
        <f>Données!U11</f>
        <v>-32622.91</v>
      </c>
      <c r="I11" s="215">
        <f>Données!V11</f>
        <v>0</v>
      </c>
      <c r="J11" s="215">
        <f>Données!W11</f>
        <v>-5.0599999999999996</v>
      </c>
      <c r="K11" s="8">
        <f>+Données!Q11</f>
        <v>528.94000000000005</v>
      </c>
      <c r="L11" s="457">
        <f t="shared" si="1"/>
        <v>1371042.34</v>
      </c>
      <c r="M11" s="8">
        <f>+Données!F11</f>
        <v>0</v>
      </c>
      <c r="N11" s="8">
        <f>+Données!K11</f>
        <v>10325.5</v>
      </c>
      <c r="O11" s="8">
        <f>(Données!L11/Données!Y11)*1</f>
        <v>156727.84615384616</v>
      </c>
      <c r="P11" s="457">
        <f t="shared" si="2"/>
        <v>1538095.6861538463</v>
      </c>
      <c r="Q11" s="240">
        <f>+Données!X11</f>
        <v>71.5</v>
      </c>
      <c r="R11" s="457">
        <f t="shared" si="3"/>
        <v>21511.827778375475</v>
      </c>
    </row>
    <row r="12" spans="1:18" x14ac:dyDescent="0.25">
      <c r="A12" s="7">
        <f>Données!A12</f>
        <v>5407</v>
      </c>
      <c r="B12" s="27" t="str">
        <f>Données!B12</f>
        <v>Leysin</v>
      </c>
      <c r="C12" s="8">
        <f>Données!C12+Données!D12</f>
        <v>5334478.7399999993</v>
      </c>
      <c r="D12" s="8">
        <f>+Données!G12+Données!H12+Données!S12</f>
        <v>248176.61000000002</v>
      </c>
      <c r="E12" s="8">
        <f>+Données!E12</f>
        <v>0</v>
      </c>
      <c r="F12" s="8">
        <f>+Données!I12</f>
        <v>211498.75</v>
      </c>
      <c r="G12" s="8">
        <f>+Données!J12</f>
        <v>456345.87</v>
      </c>
      <c r="H12" s="8">
        <f>Données!U12</f>
        <v>-89906.13</v>
      </c>
      <c r="I12" s="215">
        <f>Données!V12</f>
        <v>0</v>
      </c>
      <c r="J12" s="215">
        <f>Données!W12</f>
        <v>-4230.0200000000004</v>
      </c>
      <c r="K12" s="8">
        <f>+Données!Q12</f>
        <v>11033.17</v>
      </c>
      <c r="L12" s="457">
        <f t="shared" si="1"/>
        <v>6167396.9900000002</v>
      </c>
      <c r="M12" s="8">
        <f>+Données!F12</f>
        <v>0</v>
      </c>
      <c r="N12" s="8">
        <f>+Données!K12</f>
        <v>56260.45</v>
      </c>
      <c r="O12" s="8">
        <f>(Données!L12/Données!Y12)*1</f>
        <v>849196.06666666677</v>
      </c>
      <c r="P12" s="457">
        <f t="shared" si="2"/>
        <v>7072853.5066666668</v>
      </c>
      <c r="Q12" s="240">
        <f>+Données!X12</f>
        <v>78</v>
      </c>
      <c r="R12" s="457">
        <f t="shared" si="3"/>
        <v>90677.609059829061</v>
      </c>
    </row>
    <row r="13" spans="1:18" x14ac:dyDescent="0.25">
      <c r="A13" s="7">
        <f>Données!A13</f>
        <v>5408</v>
      </c>
      <c r="B13" s="27" t="str">
        <f>Données!B13</f>
        <v>Noville</v>
      </c>
      <c r="C13" s="8">
        <f>Données!C13+Données!D13</f>
        <v>2583504.9500000002</v>
      </c>
      <c r="D13" s="8">
        <f>+Données!G13+Données!H13+Données!S13</f>
        <v>268035.49</v>
      </c>
      <c r="E13" s="8">
        <f>+Données!E13</f>
        <v>0</v>
      </c>
      <c r="F13" s="8">
        <f>+Données!I13</f>
        <v>0</v>
      </c>
      <c r="G13" s="8">
        <f>+Données!J13</f>
        <v>58629.81</v>
      </c>
      <c r="H13" s="8">
        <f>Données!U13</f>
        <v>-33424.71</v>
      </c>
      <c r="I13" s="215">
        <f>Données!V13</f>
        <v>0</v>
      </c>
      <c r="J13" s="215">
        <f>Données!W13</f>
        <v>-123.9</v>
      </c>
      <c r="K13" s="8">
        <f>+Données!Q13</f>
        <v>548.74</v>
      </c>
      <c r="L13" s="457">
        <f t="shared" si="1"/>
        <v>2877170.3800000008</v>
      </c>
      <c r="M13" s="8">
        <f>+Données!F13</f>
        <v>0</v>
      </c>
      <c r="N13" s="8">
        <f>+Données!K13</f>
        <v>25719.3</v>
      </c>
      <c r="O13" s="8">
        <f>(Données!L13/Données!Y13)*1</f>
        <v>345353.06666666665</v>
      </c>
      <c r="P13" s="457">
        <f t="shared" si="2"/>
        <v>3248242.7466666671</v>
      </c>
      <c r="Q13" s="240">
        <f>+Données!X13</f>
        <v>78.5</v>
      </c>
      <c r="R13" s="457">
        <f t="shared" si="3"/>
        <v>41378.888492569007</v>
      </c>
    </row>
    <row r="14" spans="1:18" x14ac:dyDescent="0.25">
      <c r="A14" s="7">
        <f>Données!A14</f>
        <v>5409</v>
      </c>
      <c r="B14" s="27" t="str">
        <f>Données!B14</f>
        <v>Ollon</v>
      </c>
      <c r="C14" s="8">
        <f>Données!C14+Données!D14</f>
        <v>22007860.940000001</v>
      </c>
      <c r="D14" s="8">
        <f>+Données!G14+Données!H14+Données!S14</f>
        <v>861130.73</v>
      </c>
      <c r="E14" s="8">
        <f>+Données!E14</f>
        <v>0</v>
      </c>
      <c r="F14" s="8">
        <f>+Données!I14</f>
        <v>2580549.39</v>
      </c>
      <c r="G14" s="8">
        <f>+Données!J14</f>
        <v>665284.18000000005</v>
      </c>
      <c r="H14" s="8">
        <f>Données!U14</f>
        <v>-491179.55</v>
      </c>
      <c r="I14" s="215">
        <f>Données!V14</f>
        <v>0</v>
      </c>
      <c r="J14" s="215">
        <f>Données!W14</f>
        <v>-35458.14</v>
      </c>
      <c r="K14" s="8">
        <f>+Données!Q14</f>
        <v>258393.78</v>
      </c>
      <c r="L14" s="457">
        <f t="shared" si="1"/>
        <v>25846581.330000002</v>
      </c>
      <c r="M14" s="8">
        <f>+Données!F14</f>
        <v>0</v>
      </c>
      <c r="N14" s="8">
        <f>+Données!K14</f>
        <v>76424.5</v>
      </c>
      <c r="O14" s="8">
        <f>(Données!L14/Données!Y14)*1</f>
        <v>3196213.7307692305</v>
      </c>
      <c r="P14" s="457">
        <f t="shared" si="2"/>
        <v>29119219.560769234</v>
      </c>
      <c r="Q14" s="240">
        <f>+Données!X14</f>
        <v>68</v>
      </c>
      <c r="R14" s="457">
        <f t="shared" si="3"/>
        <v>428223.81707013579</v>
      </c>
    </row>
    <row r="15" spans="1:18" x14ac:dyDescent="0.25">
      <c r="A15" s="7">
        <f>Données!A15</f>
        <v>5410</v>
      </c>
      <c r="B15" s="27" t="str">
        <f>Données!B15</f>
        <v>Ormont-Dessous</v>
      </c>
      <c r="C15" s="8">
        <f>Données!C15+Données!D15</f>
        <v>2424061.21</v>
      </c>
      <c r="D15" s="8">
        <f>+Données!G15+Données!H15+Données!S15</f>
        <v>36133.229999999996</v>
      </c>
      <c r="E15" s="8">
        <f>+Données!E15</f>
        <v>0</v>
      </c>
      <c r="F15" s="8">
        <f>+Données!I15</f>
        <v>0</v>
      </c>
      <c r="G15" s="8">
        <f>+Données!J15</f>
        <v>57273.55</v>
      </c>
      <c r="H15" s="8">
        <f>Données!U15</f>
        <v>-18212.55</v>
      </c>
      <c r="I15" s="215">
        <f>Données!V15</f>
        <v>0</v>
      </c>
      <c r="J15" s="215">
        <f>Données!W15</f>
        <v>-228.16</v>
      </c>
      <c r="K15" s="8">
        <f>+Données!Q15</f>
        <v>68947.58</v>
      </c>
      <c r="L15" s="457">
        <f t="shared" si="1"/>
        <v>2567974.86</v>
      </c>
      <c r="M15" s="8">
        <f>+Données!F15</f>
        <v>0</v>
      </c>
      <c r="N15" s="8">
        <f>+Données!K15</f>
        <v>12013.85</v>
      </c>
      <c r="O15" s="8">
        <f>(Données!L15/Données!Y15)*1</f>
        <v>393204.39999999997</v>
      </c>
      <c r="P15" s="457">
        <f t="shared" si="2"/>
        <v>2973193.11</v>
      </c>
      <c r="Q15" s="240">
        <f>+Données!X15</f>
        <v>77</v>
      </c>
      <c r="R15" s="457">
        <f t="shared" si="3"/>
        <v>38612.897532467534</v>
      </c>
    </row>
    <row r="16" spans="1:18" x14ac:dyDescent="0.25">
      <c r="A16" s="7">
        <f>Données!A16</f>
        <v>5411</v>
      </c>
      <c r="B16" s="27" t="str">
        <f>Données!B16</f>
        <v>Ormont-Dessus</v>
      </c>
      <c r="C16" s="8">
        <f>Données!C16+Données!D16</f>
        <v>4694834.21</v>
      </c>
      <c r="D16" s="8">
        <f>+Données!G16+Données!H16+Données!S16</f>
        <v>116022.13</v>
      </c>
      <c r="E16" s="8">
        <f>+Données!E16</f>
        <v>0</v>
      </c>
      <c r="F16" s="8">
        <f>+Données!I16</f>
        <v>118306.4</v>
      </c>
      <c r="G16" s="8">
        <f>+Données!J16</f>
        <v>142093.76999999999</v>
      </c>
      <c r="H16" s="8">
        <f>Données!U16</f>
        <v>-53846.27</v>
      </c>
      <c r="I16" s="215">
        <f>Données!V16</f>
        <v>0</v>
      </c>
      <c r="J16" s="215">
        <f>Données!W16</f>
        <v>-3427.92</v>
      </c>
      <c r="K16" s="8">
        <f>+Données!Q16</f>
        <v>5781.12</v>
      </c>
      <c r="L16" s="457">
        <f t="shared" si="1"/>
        <v>5019763.4400000004</v>
      </c>
      <c r="M16" s="8">
        <f>+Données!F16</f>
        <v>0</v>
      </c>
      <c r="N16" s="8">
        <f>+Données!K16</f>
        <v>14419.25</v>
      </c>
      <c r="O16" s="8">
        <f>(Données!L16/Données!Y16)*1</f>
        <v>848725.93333333323</v>
      </c>
      <c r="P16" s="457">
        <f t="shared" si="2"/>
        <v>5882908.623333334</v>
      </c>
      <c r="Q16" s="240">
        <f>+Données!X16</f>
        <v>76</v>
      </c>
      <c r="R16" s="457">
        <f t="shared" si="3"/>
        <v>77406.69241228071</v>
      </c>
    </row>
    <row r="17" spans="1:18" x14ac:dyDescent="0.25">
      <c r="A17" s="7">
        <f>Données!A17</f>
        <v>5412</v>
      </c>
      <c r="B17" s="27" t="str">
        <f>Données!B17</f>
        <v>Rennaz</v>
      </c>
      <c r="C17" s="8">
        <f>Données!C17+Données!D17</f>
        <v>1322753.28</v>
      </c>
      <c r="D17" s="8">
        <f>+Données!G17+Données!H17+Données!S17</f>
        <v>203155.9</v>
      </c>
      <c r="E17" s="8">
        <f>+Données!E17</f>
        <v>0</v>
      </c>
      <c r="F17" s="8">
        <f>+Données!I17</f>
        <v>0</v>
      </c>
      <c r="G17" s="8">
        <f>+Données!J17</f>
        <v>92707.5</v>
      </c>
      <c r="H17" s="8">
        <f>Données!U17</f>
        <v>-27629.17</v>
      </c>
      <c r="I17" s="215">
        <f>Données!V17</f>
        <v>0</v>
      </c>
      <c r="J17" s="215">
        <f>Données!W17</f>
        <v>-71.84</v>
      </c>
      <c r="K17" s="8">
        <f>+Données!Q17</f>
        <v>266.27999999999997</v>
      </c>
      <c r="L17" s="457">
        <f t="shared" si="1"/>
        <v>1591181.95</v>
      </c>
      <c r="M17" s="8">
        <f>+Données!F17</f>
        <v>0</v>
      </c>
      <c r="N17" s="8">
        <f>+Données!K17</f>
        <v>48156.45</v>
      </c>
      <c r="O17" s="8">
        <f>(Données!L17/Données!Y17)*1</f>
        <v>352477.6</v>
      </c>
      <c r="P17" s="457">
        <f t="shared" si="2"/>
        <v>1991816</v>
      </c>
      <c r="Q17" s="240">
        <f>+Données!X17</f>
        <v>69</v>
      </c>
      <c r="R17" s="457">
        <f t="shared" si="3"/>
        <v>28866.898550724636</v>
      </c>
    </row>
    <row r="18" spans="1:18" x14ac:dyDescent="0.25">
      <c r="A18" s="7">
        <f>Données!A18</f>
        <v>5413</v>
      </c>
      <c r="B18" s="27" t="str">
        <f>Données!B18</f>
        <v>Roche</v>
      </c>
      <c r="C18" s="8">
        <f>Données!C18+Données!D18</f>
        <v>2442908.2199999997</v>
      </c>
      <c r="D18" s="8">
        <f>+Données!G18+Données!H18+Données!S18</f>
        <v>150749.43</v>
      </c>
      <c r="E18" s="8">
        <f>+Données!E18</f>
        <v>0</v>
      </c>
      <c r="F18" s="8">
        <f>+Données!I18</f>
        <v>0</v>
      </c>
      <c r="G18" s="8">
        <f>+Données!J18</f>
        <v>79364.179999999993</v>
      </c>
      <c r="H18" s="8">
        <f>Données!U18</f>
        <v>-72050.83</v>
      </c>
      <c r="I18" s="215">
        <f>Données!V18</f>
        <v>0</v>
      </c>
      <c r="J18" s="215">
        <f>Données!W18</f>
        <v>-270.43</v>
      </c>
      <c r="K18" s="8">
        <f>+Données!Q18</f>
        <v>14864.84</v>
      </c>
      <c r="L18" s="457">
        <f t="shared" si="1"/>
        <v>2615565.4099999997</v>
      </c>
      <c r="M18" s="8">
        <f>+Données!F18</f>
        <v>0</v>
      </c>
      <c r="N18" s="8">
        <f>+Données!K18</f>
        <v>33412.050000000003</v>
      </c>
      <c r="O18" s="8">
        <f>(Données!L18/Données!Y18)*1</f>
        <v>284657.375</v>
      </c>
      <c r="P18" s="457">
        <f t="shared" si="2"/>
        <v>2933634.8349999995</v>
      </c>
      <c r="Q18" s="240">
        <f>+Données!X18</f>
        <v>68</v>
      </c>
      <c r="R18" s="457">
        <f t="shared" si="3"/>
        <v>43141.688749999994</v>
      </c>
    </row>
    <row r="19" spans="1:18" x14ac:dyDescent="0.25">
      <c r="A19" s="7">
        <f>Données!A19</f>
        <v>5414</v>
      </c>
      <c r="B19" s="27" t="str">
        <f>Données!B19</f>
        <v>Villeneuve</v>
      </c>
      <c r="C19" s="8">
        <f>Données!C19+Données!D19</f>
        <v>8975500.3699999992</v>
      </c>
      <c r="D19" s="8">
        <f>+Données!G19+Données!H19+Données!S19</f>
        <v>1927238.17</v>
      </c>
      <c r="E19" s="8">
        <f>+Données!E19</f>
        <v>0</v>
      </c>
      <c r="F19" s="8">
        <f>+Données!I19</f>
        <v>105516.83</v>
      </c>
      <c r="G19" s="8">
        <f>+Données!J19</f>
        <v>287772.21000000002</v>
      </c>
      <c r="H19" s="8">
        <f>Données!U19</f>
        <v>-256999.15</v>
      </c>
      <c r="I19" s="215">
        <f>Données!V19</f>
        <v>0</v>
      </c>
      <c r="J19" s="215">
        <f>Données!W19</f>
        <v>-4067.22</v>
      </c>
      <c r="K19" s="8">
        <f>+Données!Q19</f>
        <v>48284.82</v>
      </c>
      <c r="L19" s="457">
        <f t="shared" si="1"/>
        <v>11083246.029999999</v>
      </c>
      <c r="M19" s="8">
        <f>+Données!F19</f>
        <v>0</v>
      </c>
      <c r="N19" s="8">
        <f>+Données!K19</f>
        <v>166580.79999999999</v>
      </c>
      <c r="O19" s="8">
        <f>(Données!L19/Données!Y19)*1</f>
        <v>1279790.05</v>
      </c>
      <c r="P19" s="457">
        <f t="shared" si="2"/>
        <v>12529616.880000001</v>
      </c>
      <c r="Q19" s="240">
        <f>+Données!X19</f>
        <v>67.5</v>
      </c>
      <c r="R19" s="457">
        <f t="shared" si="3"/>
        <v>185623.95377777779</v>
      </c>
    </row>
    <row r="20" spans="1:18" x14ac:dyDescent="0.25">
      <c r="A20" s="7">
        <f>Données!A20</f>
        <v>5415</v>
      </c>
      <c r="B20" s="27" t="str">
        <f>Données!B20</f>
        <v>Yvorne</v>
      </c>
      <c r="C20" s="8">
        <f>Données!C20+Données!D20</f>
        <v>2138137.63</v>
      </c>
      <c r="D20" s="8">
        <f>+Données!G20+Données!H20+Données!S20</f>
        <v>129665.84</v>
      </c>
      <c r="E20" s="8">
        <f>+Données!E20</f>
        <v>0</v>
      </c>
      <c r="F20" s="8">
        <f>+Données!I20</f>
        <v>2064.5</v>
      </c>
      <c r="G20" s="8">
        <f>+Données!J20</f>
        <v>54660.11</v>
      </c>
      <c r="H20" s="8">
        <f>Données!U20</f>
        <v>-15188.45</v>
      </c>
      <c r="I20" s="215">
        <f>Données!V20</f>
        <v>0</v>
      </c>
      <c r="J20" s="215">
        <f>Données!W20</f>
        <v>-15.43</v>
      </c>
      <c r="K20" s="8">
        <f>+Données!Q20</f>
        <v>7899.57</v>
      </c>
      <c r="L20" s="457">
        <f t="shared" si="1"/>
        <v>2317223.7699999991</v>
      </c>
      <c r="M20" s="8">
        <f>+Données!F20</f>
        <v>0</v>
      </c>
      <c r="N20" s="8">
        <f>+Données!K20</f>
        <v>12842.7</v>
      </c>
      <c r="O20" s="8">
        <f>(Données!L20/Données!Y20)*1</f>
        <v>237117.36666666667</v>
      </c>
      <c r="P20" s="457">
        <f t="shared" si="2"/>
        <v>2567183.836666666</v>
      </c>
      <c r="Q20" s="240">
        <f>+Données!X20</f>
        <v>71.5</v>
      </c>
      <c r="R20" s="457">
        <f t="shared" si="3"/>
        <v>35904.669044289032</v>
      </c>
    </row>
    <row r="21" spans="1:18" x14ac:dyDescent="0.25">
      <c r="A21" s="7">
        <f>Données!A21</f>
        <v>5422</v>
      </c>
      <c r="B21" s="27" t="str">
        <f>Données!B21</f>
        <v>Aubonne</v>
      </c>
      <c r="C21" s="8">
        <f>Données!C21+Données!D21</f>
        <v>11849758.98</v>
      </c>
      <c r="D21" s="8">
        <f>+Données!G21+Données!H21+Données!S21</f>
        <v>8138671.5300000003</v>
      </c>
      <c r="E21" s="8">
        <f>+Données!E21</f>
        <v>0</v>
      </c>
      <c r="F21" s="8">
        <f>+Données!I21</f>
        <v>213869.35</v>
      </c>
      <c r="G21" s="8">
        <f>+Données!J21</f>
        <v>355439.33</v>
      </c>
      <c r="H21" s="8">
        <f>Données!U21</f>
        <v>-311685.46999999997</v>
      </c>
      <c r="I21" s="215">
        <f>Données!V21</f>
        <v>0</v>
      </c>
      <c r="J21" s="215">
        <f>Données!W21</f>
        <v>-8304.34</v>
      </c>
      <c r="K21" s="8">
        <f>+Données!Q21</f>
        <v>11849.31</v>
      </c>
      <c r="L21" s="457">
        <f t="shared" si="1"/>
        <v>20249598.690000001</v>
      </c>
      <c r="M21" s="8">
        <f>+Données!F21</f>
        <v>0</v>
      </c>
      <c r="N21" s="8">
        <f>+Données!K21</f>
        <v>133262.20000000001</v>
      </c>
      <c r="O21" s="8">
        <f>(Données!L21/Données!Y21)*1</f>
        <v>1109072.3700000001</v>
      </c>
      <c r="P21" s="457">
        <f t="shared" si="2"/>
        <v>21491933.260000002</v>
      </c>
      <c r="Q21" s="240">
        <f>+Données!X21</f>
        <v>70</v>
      </c>
      <c r="R21" s="457">
        <f t="shared" si="3"/>
        <v>307027.61800000002</v>
      </c>
    </row>
    <row r="22" spans="1:18" x14ac:dyDescent="0.25">
      <c r="A22" s="7">
        <f>Données!A22</f>
        <v>5423</v>
      </c>
      <c r="B22" s="27" t="str">
        <f>Données!B22</f>
        <v>Ballens</v>
      </c>
      <c r="C22" s="8">
        <f>Données!C22+Données!D22</f>
        <v>1073157.3699999999</v>
      </c>
      <c r="D22" s="8">
        <f>+Données!G22+Données!H22+Données!S22</f>
        <v>8477.67</v>
      </c>
      <c r="E22" s="8">
        <f>+Données!E22</f>
        <v>0</v>
      </c>
      <c r="F22" s="8">
        <f>+Données!I22</f>
        <v>0</v>
      </c>
      <c r="G22" s="8">
        <f>+Données!J22</f>
        <v>43203.64</v>
      </c>
      <c r="H22" s="8">
        <f>Données!U22</f>
        <v>-26486.6</v>
      </c>
      <c r="I22" s="215">
        <f>Données!V22</f>
        <v>0</v>
      </c>
      <c r="J22" s="215">
        <f>Données!W22</f>
        <v>0</v>
      </c>
      <c r="K22" s="8">
        <f>+Données!Q22</f>
        <v>0</v>
      </c>
      <c r="L22" s="457">
        <f t="shared" si="1"/>
        <v>1098352.0799999996</v>
      </c>
      <c r="M22" s="8">
        <f>+Données!F22</f>
        <v>0</v>
      </c>
      <c r="N22" s="8">
        <f>+Données!K22</f>
        <v>2520.85</v>
      </c>
      <c r="O22" s="8">
        <f>(Données!L22/Données!Y22)*1</f>
        <v>81295</v>
      </c>
      <c r="P22" s="457">
        <f t="shared" si="2"/>
        <v>1182167.9299999997</v>
      </c>
      <c r="Q22" s="240">
        <f>+Données!X22</f>
        <v>73</v>
      </c>
      <c r="R22" s="457">
        <f t="shared" si="3"/>
        <v>16194.081232876708</v>
      </c>
    </row>
    <row r="23" spans="1:18" x14ac:dyDescent="0.25">
      <c r="A23" s="7">
        <f>Données!A23</f>
        <v>5424</v>
      </c>
      <c r="B23" s="27" t="str">
        <f>Données!B23</f>
        <v>Berolle</v>
      </c>
      <c r="C23" s="8">
        <f>Données!C23+Données!D23</f>
        <v>570024.9</v>
      </c>
      <c r="D23" s="8">
        <f>+Données!G23+Données!H23+Données!S23</f>
        <v>3367.0699999999997</v>
      </c>
      <c r="E23" s="8">
        <f>+Données!E23</f>
        <v>0</v>
      </c>
      <c r="F23" s="8">
        <f>+Données!I23</f>
        <v>46446.65</v>
      </c>
      <c r="G23" s="8">
        <f>+Données!J23</f>
        <v>9616.0499999999993</v>
      </c>
      <c r="H23" s="8">
        <f>Données!U23</f>
        <v>-53783.7</v>
      </c>
      <c r="I23" s="215">
        <f>Données!V23</f>
        <v>0</v>
      </c>
      <c r="J23" s="215">
        <f>Données!W23</f>
        <v>-172.9</v>
      </c>
      <c r="K23" s="8">
        <f>+Données!Q23</f>
        <v>0</v>
      </c>
      <c r="L23" s="457">
        <f t="shared" si="1"/>
        <v>575498.07000000007</v>
      </c>
      <c r="M23" s="8">
        <f>+Données!F23</f>
        <v>0</v>
      </c>
      <c r="N23" s="8">
        <f>+Données!K23</f>
        <v>766</v>
      </c>
      <c r="O23" s="8">
        <f>(Données!L23/Données!Y23)*1</f>
        <v>50516.6</v>
      </c>
      <c r="P23" s="457">
        <f t="shared" si="2"/>
        <v>626780.67000000004</v>
      </c>
      <c r="Q23" s="240">
        <f>+Données!X23</f>
        <v>75.5</v>
      </c>
      <c r="R23" s="457">
        <f t="shared" si="3"/>
        <v>8301.7307284768212</v>
      </c>
    </row>
    <row r="24" spans="1:18" x14ac:dyDescent="0.25">
      <c r="A24" s="7">
        <f>Données!A24</f>
        <v>5425</v>
      </c>
      <c r="B24" s="27" t="str">
        <f>Données!B24</f>
        <v>Bière</v>
      </c>
      <c r="C24" s="8">
        <f>Données!C24+Données!D24</f>
        <v>2593980.08</v>
      </c>
      <c r="D24" s="8">
        <f>+Données!G24+Données!H24+Données!S24</f>
        <v>325555.39999999997</v>
      </c>
      <c r="E24" s="8">
        <f>+Données!E24</f>
        <v>0</v>
      </c>
      <c r="F24" s="8">
        <f>+Données!I24</f>
        <v>0</v>
      </c>
      <c r="G24" s="8">
        <f>+Données!J24</f>
        <v>67129.86</v>
      </c>
      <c r="H24" s="8">
        <f>Données!U24</f>
        <v>-174243.94</v>
      </c>
      <c r="I24" s="215">
        <f>Données!V24</f>
        <v>0</v>
      </c>
      <c r="J24" s="215">
        <f>Données!W24</f>
        <v>-298.74</v>
      </c>
      <c r="K24" s="8">
        <f>+Données!Q24</f>
        <v>5589.58</v>
      </c>
      <c r="L24" s="457">
        <f t="shared" si="1"/>
        <v>2817712.2399999998</v>
      </c>
      <c r="M24" s="8">
        <f>+Données!F24</f>
        <v>0</v>
      </c>
      <c r="N24" s="8">
        <f>+Données!K24</f>
        <v>17852.900000000001</v>
      </c>
      <c r="O24" s="8">
        <f>(Données!L24/Données!Y24)*1</f>
        <v>215332.93103448278</v>
      </c>
      <c r="P24" s="457">
        <f t="shared" si="2"/>
        <v>3050898.0710344827</v>
      </c>
      <c r="Q24" s="240">
        <f>+Données!X24</f>
        <v>69</v>
      </c>
      <c r="R24" s="457">
        <f t="shared" si="3"/>
        <v>44215.914072963518</v>
      </c>
    </row>
    <row r="25" spans="1:18" x14ac:dyDescent="0.25">
      <c r="A25" s="7">
        <f>Données!A25</f>
        <v>5426</v>
      </c>
      <c r="B25" s="27" t="str">
        <f>Données!B25</f>
        <v>Bougy-Villars</v>
      </c>
      <c r="C25" s="8">
        <f>Données!C25+Données!D25</f>
        <v>2383941.5099999998</v>
      </c>
      <c r="D25" s="8">
        <f>+Données!G25+Données!H25+Données!S25</f>
        <v>7831.25</v>
      </c>
      <c r="E25" s="8">
        <f>+Données!E25</f>
        <v>0</v>
      </c>
      <c r="F25" s="8">
        <f>+Données!I25</f>
        <v>736141.55</v>
      </c>
      <c r="G25" s="8">
        <f>+Données!J25</f>
        <v>6633.74</v>
      </c>
      <c r="H25" s="8">
        <f>Données!U25</f>
        <v>-9230.2999999999993</v>
      </c>
      <c r="I25" s="215">
        <f>Données!V25</f>
        <v>0</v>
      </c>
      <c r="J25" s="215">
        <f>Données!W25</f>
        <v>-6365.13</v>
      </c>
      <c r="K25" s="8">
        <f>+Données!Q25</f>
        <v>0</v>
      </c>
      <c r="L25" s="457">
        <f t="shared" si="1"/>
        <v>3118952.62</v>
      </c>
      <c r="M25" s="8">
        <f>+Données!F25</f>
        <v>0</v>
      </c>
      <c r="N25" s="8">
        <f>+Données!K25</f>
        <v>4216.3</v>
      </c>
      <c r="O25" s="8">
        <f>(Données!L25/Données!Y25)*1</f>
        <v>298126.70833333331</v>
      </c>
      <c r="P25" s="457">
        <f t="shared" si="2"/>
        <v>3421295.6283333334</v>
      </c>
      <c r="Q25" s="240">
        <f>+Données!X25</f>
        <v>64.5</v>
      </c>
      <c r="R25" s="457">
        <f t="shared" si="3"/>
        <v>53043.343074935401</v>
      </c>
    </row>
    <row r="26" spans="1:18" x14ac:dyDescent="0.25">
      <c r="A26" s="7">
        <f>Données!A26</f>
        <v>5427</v>
      </c>
      <c r="B26" s="27" t="str">
        <f>Données!B26</f>
        <v>Féchy</v>
      </c>
      <c r="C26" s="8">
        <f>Données!C26+Données!D26</f>
        <v>4355889.6900000004</v>
      </c>
      <c r="D26" s="8">
        <f>+Données!G26+Données!H26+Données!S26</f>
        <v>72340.989999999991</v>
      </c>
      <c r="E26" s="8">
        <f>+Données!E26</f>
        <v>0</v>
      </c>
      <c r="F26" s="8">
        <f>+Données!I26</f>
        <v>836549.25</v>
      </c>
      <c r="G26" s="8">
        <f>+Données!J26</f>
        <v>48332.75</v>
      </c>
      <c r="H26" s="8">
        <f>Données!U26</f>
        <v>-29525.919999999998</v>
      </c>
      <c r="I26" s="215">
        <f>Données!V26</f>
        <v>0</v>
      </c>
      <c r="J26" s="215">
        <f>Données!W26</f>
        <v>-1109.8499999999999</v>
      </c>
      <c r="K26" s="8">
        <f>+Données!Q26</f>
        <v>486.65</v>
      </c>
      <c r="L26" s="457">
        <f t="shared" si="1"/>
        <v>5282963.5600000015</v>
      </c>
      <c r="M26" s="8">
        <f>+Données!F26</f>
        <v>0</v>
      </c>
      <c r="N26" s="8">
        <f>+Données!K26</f>
        <v>0</v>
      </c>
      <c r="O26" s="8">
        <f>(Données!L26/Données!Y26)*1</f>
        <v>362593.53846153844</v>
      </c>
      <c r="P26" s="457">
        <f t="shared" si="2"/>
        <v>5645557.0984615395</v>
      </c>
      <c r="Q26" s="240">
        <f>+Données!X26</f>
        <v>64</v>
      </c>
      <c r="R26" s="457">
        <f t="shared" si="3"/>
        <v>88211.829663461554</v>
      </c>
    </row>
    <row r="27" spans="1:18" x14ac:dyDescent="0.25">
      <c r="A27" s="7">
        <f>Données!A27</f>
        <v>5428</v>
      </c>
      <c r="B27" s="27" t="str">
        <f>Données!B27</f>
        <v>Gimel</v>
      </c>
      <c r="C27" s="8">
        <f>Données!C27+Données!D27</f>
        <v>4755982.33</v>
      </c>
      <c r="D27" s="8">
        <f>+Données!G27+Données!H27+Données!S27</f>
        <v>25987.87</v>
      </c>
      <c r="E27" s="8">
        <f>+Données!E27</f>
        <v>0</v>
      </c>
      <c r="F27" s="8">
        <f>+Données!I27</f>
        <v>0</v>
      </c>
      <c r="G27" s="8">
        <f>+Données!J27</f>
        <v>132596.54</v>
      </c>
      <c r="H27" s="8">
        <f>Données!U27</f>
        <v>-98183.12</v>
      </c>
      <c r="I27" s="215">
        <f>Données!V27</f>
        <v>0</v>
      </c>
      <c r="J27" s="215">
        <f>Données!W27</f>
        <v>-246.03</v>
      </c>
      <c r="K27" s="8">
        <f>+Données!Q27</f>
        <v>29101.13</v>
      </c>
      <c r="L27" s="457">
        <f t="shared" si="1"/>
        <v>4845238.72</v>
      </c>
      <c r="M27" s="8">
        <f>+Données!F27</f>
        <v>0</v>
      </c>
      <c r="N27" s="8">
        <f>+Données!K27</f>
        <v>13774.6</v>
      </c>
      <c r="O27" s="8">
        <f>(Données!L27/Données!Y27)*1</f>
        <v>397529.41666666669</v>
      </c>
      <c r="P27" s="457">
        <f t="shared" si="2"/>
        <v>5256542.7366666663</v>
      </c>
      <c r="Q27" s="240">
        <f>+Données!X27</f>
        <v>74.5</v>
      </c>
      <c r="R27" s="457">
        <f t="shared" si="3"/>
        <v>70557.620626398202</v>
      </c>
    </row>
    <row r="28" spans="1:18" x14ac:dyDescent="0.25">
      <c r="A28" s="7">
        <f>Données!A28</f>
        <v>5429</v>
      </c>
      <c r="B28" s="27" t="str">
        <f>Données!B28</f>
        <v>Longirod</v>
      </c>
      <c r="C28" s="8">
        <f>Données!C28+Données!D28</f>
        <v>1293011.19</v>
      </c>
      <c r="D28" s="8">
        <f>+Données!G28+Données!H28+Données!S28</f>
        <v>13170.039999999999</v>
      </c>
      <c r="E28" s="8">
        <f>+Données!E28</f>
        <v>0</v>
      </c>
      <c r="F28" s="8">
        <f>+Données!I28</f>
        <v>0</v>
      </c>
      <c r="G28" s="8">
        <f>+Données!J28</f>
        <v>32135.82</v>
      </c>
      <c r="H28" s="8">
        <f>Données!U28</f>
        <v>-7283.85</v>
      </c>
      <c r="I28" s="215">
        <f>Données!V28</f>
        <v>0</v>
      </c>
      <c r="J28" s="215">
        <f>Données!W28</f>
        <v>0</v>
      </c>
      <c r="K28" s="8">
        <f>+Données!Q28</f>
        <v>0</v>
      </c>
      <c r="L28" s="457">
        <f t="shared" si="1"/>
        <v>1331033.2</v>
      </c>
      <c r="M28" s="8">
        <f>+Données!F28</f>
        <v>0</v>
      </c>
      <c r="N28" s="8">
        <f>+Données!K28</f>
        <v>1218.25</v>
      </c>
      <c r="O28" s="8">
        <f>(Données!L28/Données!Y28)*1</f>
        <v>107227.9</v>
      </c>
      <c r="P28" s="457">
        <f t="shared" si="2"/>
        <v>1439479.3499999999</v>
      </c>
      <c r="Q28" s="240">
        <f>+Données!X28</f>
        <v>77.5</v>
      </c>
      <c r="R28" s="457">
        <f t="shared" si="3"/>
        <v>18573.92709677419</v>
      </c>
    </row>
    <row r="29" spans="1:18" x14ac:dyDescent="0.25">
      <c r="A29" s="7">
        <f>Données!A29</f>
        <v>5430</v>
      </c>
      <c r="B29" s="27" t="str">
        <f>Données!B29</f>
        <v>Marchissy</v>
      </c>
      <c r="C29" s="8">
        <f>Données!C29+Données!D29</f>
        <v>1106345.0900000001</v>
      </c>
      <c r="D29" s="8">
        <f>+Données!G29+Données!H29+Données!S29</f>
        <v>9432.9</v>
      </c>
      <c r="E29" s="8">
        <f>+Données!E29</f>
        <v>0</v>
      </c>
      <c r="F29" s="8">
        <f>+Données!I29</f>
        <v>0</v>
      </c>
      <c r="G29" s="8">
        <f>+Données!J29</f>
        <v>6430.09</v>
      </c>
      <c r="H29" s="8">
        <f>Données!U29</f>
        <v>-9726.2199999999993</v>
      </c>
      <c r="I29" s="215">
        <f>Données!V29</f>
        <v>0</v>
      </c>
      <c r="J29" s="215">
        <f>Données!W29</f>
        <v>-198.34</v>
      </c>
      <c r="K29" s="8">
        <f>+Données!Q29</f>
        <v>17.59</v>
      </c>
      <c r="L29" s="457">
        <f t="shared" si="1"/>
        <v>1112301.1100000001</v>
      </c>
      <c r="M29" s="8">
        <f>+Données!F29</f>
        <v>0</v>
      </c>
      <c r="N29" s="8">
        <f>+Données!K29</f>
        <v>1254.3</v>
      </c>
      <c r="O29" s="8">
        <f>(Données!L29/Données!Y29)*1</f>
        <v>93941.5</v>
      </c>
      <c r="P29" s="457">
        <f t="shared" si="2"/>
        <v>1207496.9100000001</v>
      </c>
      <c r="Q29" s="240">
        <f>+Données!X29</f>
        <v>77.5</v>
      </c>
      <c r="R29" s="457">
        <f t="shared" si="3"/>
        <v>15580.605290322583</v>
      </c>
    </row>
    <row r="30" spans="1:18" x14ac:dyDescent="0.25">
      <c r="A30" s="7">
        <f>Données!A30</f>
        <v>5431</v>
      </c>
      <c r="B30" s="27" t="str">
        <f>Données!B30</f>
        <v>Mollens</v>
      </c>
      <c r="C30" s="8">
        <f>Données!C30+Données!D30</f>
        <v>696785.69000000006</v>
      </c>
      <c r="D30" s="8">
        <f>+Données!G30+Données!H30+Données!S30</f>
        <v>866.72</v>
      </c>
      <c r="E30" s="8">
        <f>+Données!E30</f>
        <v>0</v>
      </c>
      <c r="F30" s="8">
        <f>+Données!I30</f>
        <v>0</v>
      </c>
      <c r="G30" s="8">
        <f>+Données!J30</f>
        <v>24529.14</v>
      </c>
      <c r="H30" s="8">
        <f>Données!U30</f>
        <v>-1138.93</v>
      </c>
      <c r="I30" s="215">
        <f>Données!V30</f>
        <v>0</v>
      </c>
      <c r="J30" s="215">
        <f>Données!W30</f>
        <v>-752.43</v>
      </c>
      <c r="K30" s="8">
        <f>+Données!Q30</f>
        <v>0</v>
      </c>
      <c r="L30" s="457">
        <f t="shared" si="1"/>
        <v>720290.19</v>
      </c>
      <c r="M30" s="8">
        <f>+Données!F30</f>
        <v>0</v>
      </c>
      <c r="N30" s="8">
        <f>+Données!K30</f>
        <v>833.85</v>
      </c>
      <c r="O30" s="8">
        <f>(Données!L30/Données!Y30)*1</f>
        <v>53281.25</v>
      </c>
      <c r="P30" s="457">
        <f t="shared" si="2"/>
        <v>774405.28999999992</v>
      </c>
      <c r="Q30" s="240">
        <f>+Données!X30</f>
        <v>74</v>
      </c>
      <c r="R30" s="457">
        <f t="shared" si="3"/>
        <v>10464.936351351351</v>
      </c>
    </row>
    <row r="31" spans="1:18" x14ac:dyDescent="0.25">
      <c r="A31" s="7">
        <f>Données!A31</f>
        <v>5434</v>
      </c>
      <c r="B31" s="27" t="str">
        <f>Données!B31</f>
        <v>Saint-George</v>
      </c>
      <c r="C31" s="8">
        <f>Données!C31+Données!D31</f>
        <v>2712040.59</v>
      </c>
      <c r="D31" s="8">
        <f>+Données!G31+Données!H31+Données!S31</f>
        <v>18217.16</v>
      </c>
      <c r="E31" s="8">
        <f>+Données!E31</f>
        <v>0</v>
      </c>
      <c r="F31" s="8">
        <f>+Données!I31</f>
        <v>0</v>
      </c>
      <c r="G31" s="8">
        <f>+Données!J31</f>
        <v>58202.59</v>
      </c>
      <c r="H31" s="8">
        <f>Données!U31</f>
        <v>-6435.52</v>
      </c>
      <c r="I31" s="215">
        <f>Données!V31</f>
        <v>0</v>
      </c>
      <c r="J31" s="215">
        <f>Données!W31</f>
        <v>-577.35</v>
      </c>
      <c r="K31" s="8">
        <f>+Données!Q31</f>
        <v>0</v>
      </c>
      <c r="L31" s="457">
        <f t="shared" si="1"/>
        <v>2781447.4699999997</v>
      </c>
      <c r="M31" s="8">
        <f>+Données!F31</f>
        <v>0</v>
      </c>
      <c r="N31" s="8">
        <f>+Données!K31</f>
        <v>3394.7</v>
      </c>
      <c r="O31" s="8">
        <f>(Données!L31/Données!Y31)*1</f>
        <v>241461.54166666666</v>
      </c>
      <c r="P31" s="457">
        <f t="shared" si="2"/>
        <v>3026303.7116666664</v>
      </c>
      <c r="Q31" s="240">
        <f>+Données!X31</f>
        <v>69.5</v>
      </c>
      <c r="R31" s="457">
        <f t="shared" si="3"/>
        <v>43543.93829736211</v>
      </c>
    </row>
    <row r="32" spans="1:18" x14ac:dyDescent="0.25">
      <c r="A32" s="7">
        <f>Données!A32</f>
        <v>5435</v>
      </c>
      <c r="B32" s="27" t="str">
        <f>Données!B32</f>
        <v>Saint-Livres</v>
      </c>
      <c r="C32" s="8">
        <f>Données!C32+Données!D32</f>
        <v>1669235.4400000002</v>
      </c>
      <c r="D32" s="8">
        <f>+Données!G32+Données!H32+Données!S32</f>
        <v>10831.35</v>
      </c>
      <c r="E32" s="8">
        <f>+Données!E32</f>
        <v>0</v>
      </c>
      <c r="F32" s="8">
        <f>+Données!I32</f>
        <v>0</v>
      </c>
      <c r="G32" s="8">
        <f>+Données!J32</f>
        <v>17216.53</v>
      </c>
      <c r="H32" s="8">
        <f>Données!U32</f>
        <v>-41272.65</v>
      </c>
      <c r="I32" s="215">
        <f>Données!V32</f>
        <v>0</v>
      </c>
      <c r="J32" s="215">
        <f>Données!W32</f>
        <v>-614.47</v>
      </c>
      <c r="K32" s="8">
        <f>+Données!Q32</f>
        <v>0</v>
      </c>
      <c r="L32" s="457">
        <f t="shared" si="1"/>
        <v>1655396.2000000004</v>
      </c>
      <c r="M32" s="8">
        <f>+Données!F32</f>
        <v>0</v>
      </c>
      <c r="N32" s="8">
        <f>+Données!K32</f>
        <v>0</v>
      </c>
      <c r="O32" s="8">
        <f>(Données!L32/Données!Y32)*1</f>
        <v>128517.7</v>
      </c>
      <c r="P32" s="457">
        <f t="shared" si="2"/>
        <v>1783913.9000000004</v>
      </c>
      <c r="Q32" s="240">
        <f>+Données!X32</f>
        <v>69</v>
      </c>
      <c r="R32" s="457">
        <f t="shared" si="3"/>
        <v>25853.824637681166</v>
      </c>
    </row>
    <row r="33" spans="1:18" x14ac:dyDescent="0.25">
      <c r="A33" s="7">
        <f>Données!A33</f>
        <v>5436</v>
      </c>
      <c r="B33" s="27" t="str">
        <f>Données!B33</f>
        <v>Saint-Oyens</v>
      </c>
      <c r="C33" s="8">
        <f>Données!C33+Données!D33</f>
        <v>1253807.75</v>
      </c>
      <c r="D33" s="8">
        <f>+Données!G33+Données!H33+Données!S33</f>
        <v>4832.26</v>
      </c>
      <c r="E33" s="8">
        <f>+Données!E33</f>
        <v>0</v>
      </c>
      <c r="F33" s="8">
        <f>+Données!I33</f>
        <v>0</v>
      </c>
      <c r="G33" s="8">
        <f>+Données!J33</f>
        <v>32225.58</v>
      </c>
      <c r="H33" s="8">
        <f>Données!U33</f>
        <v>-14241.17</v>
      </c>
      <c r="I33" s="215">
        <f>Données!V33</f>
        <v>0</v>
      </c>
      <c r="J33" s="215">
        <f>Données!W33</f>
        <v>-972.35</v>
      </c>
      <c r="K33" s="8">
        <f>+Données!Q33</f>
        <v>0</v>
      </c>
      <c r="L33" s="457">
        <f t="shared" si="1"/>
        <v>1275652.07</v>
      </c>
      <c r="M33" s="8">
        <f>+Données!F33</f>
        <v>0</v>
      </c>
      <c r="N33" s="8">
        <f>+Données!K33</f>
        <v>0</v>
      </c>
      <c r="O33" s="8">
        <f>(Données!L33/Données!Y33)*1</f>
        <v>90668.5</v>
      </c>
      <c r="P33" s="457">
        <f t="shared" si="2"/>
        <v>1366320.57</v>
      </c>
      <c r="Q33" s="240">
        <f>+Données!X33</f>
        <v>81</v>
      </c>
      <c r="R33" s="457">
        <f t="shared" si="3"/>
        <v>16868.155185185187</v>
      </c>
    </row>
    <row r="34" spans="1:18" x14ac:dyDescent="0.25">
      <c r="A34" s="7">
        <f>Données!A34</f>
        <v>5437</v>
      </c>
      <c r="B34" s="27" t="str">
        <f>Données!B34</f>
        <v>Saubraz</v>
      </c>
      <c r="C34" s="8">
        <f>Données!C34+Données!D34</f>
        <v>989921.66999999993</v>
      </c>
      <c r="D34" s="8">
        <f>+Données!G34+Données!H34+Données!S34</f>
        <v>16408.420000000002</v>
      </c>
      <c r="E34" s="8">
        <f>+Données!E34</f>
        <v>0</v>
      </c>
      <c r="F34" s="8">
        <f>+Données!I34</f>
        <v>0</v>
      </c>
      <c r="G34" s="8">
        <f>+Données!J34</f>
        <v>13661.14</v>
      </c>
      <c r="H34" s="8">
        <f>Données!U34</f>
        <v>-6812.87</v>
      </c>
      <c r="I34" s="215">
        <f>Données!V34</f>
        <v>0</v>
      </c>
      <c r="J34" s="215">
        <f>Données!W34</f>
        <v>-17.79</v>
      </c>
      <c r="K34" s="8">
        <f>+Données!Q34</f>
        <v>0</v>
      </c>
      <c r="L34" s="457">
        <f t="shared" si="1"/>
        <v>1013160.57</v>
      </c>
      <c r="M34" s="8">
        <f>+Données!F34</f>
        <v>0</v>
      </c>
      <c r="N34" s="8">
        <f>+Données!K34</f>
        <v>791.85</v>
      </c>
      <c r="O34" s="8">
        <f>(Données!L34/Données!Y34)*1</f>
        <v>70137.45</v>
      </c>
      <c r="P34" s="457">
        <f t="shared" si="2"/>
        <v>1084089.8699999999</v>
      </c>
      <c r="Q34" s="240">
        <f>+Données!X34</f>
        <v>80</v>
      </c>
      <c r="R34" s="457">
        <f t="shared" si="3"/>
        <v>13551.123374999999</v>
      </c>
    </row>
    <row r="35" spans="1:18" x14ac:dyDescent="0.25">
      <c r="A35" s="7">
        <f>Données!A35</f>
        <v>5451</v>
      </c>
      <c r="B35" s="27" t="str">
        <f>Données!B35</f>
        <v>Avenches</v>
      </c>
      <c r="C35" s="8">
        <f>Données!C35+Données!D35</f>
        <v>5612850.6100000003</v>
      </c>
      <c r="D35" s="8">
        <f>+Données!G35+Données!H35+Données!S35</f>
        <v>2193691.09</v>
      </c>
      <c r="E35" s="8">
        <f>+Données!E35</f>
        <v>0</v>
      </c>
      <c r="F35" s="8">
        <f>+Données!I35</f>
        <v>0</v>
      </c>
      <c r="G35" s="8">
        <f>+Données!J35</f>
        <v>436798.86</v>
      </c>
      <c r="H35" s="8">
        <f>Données!U35</f>
        <v>-321439.74</v>
      </c>
      <c r="I35" s="215">
        <f>Données!V35</f>
        <v>0</v>
      </c>
      <c r="J35" s="215">
        <f>Données!W35</f>
        <v>-574.02</v>
      </c>
      <c r="K35" s="8">
        <f>+Données!Q35</f>
        <v>128391.92</v>
      </c>
      <c r="L35" s="457">
        <f t="shared" si="1"/>
        <v>8049718.7200000007</v>
      </c>
      <c r="M35" s="8">
        <f>+Données!F35</f>
        <v>0</v>
      </c>
      <c r="N35" s="8">
        <f>+Données!K35</f>
        <v>146076.35</v>
      </c>
      <c r="O35" s="8">
        <f>(Données!L35/Données!Y35)*1</f>
        <v>967165.83333333337</v>
      </c>
      <c r="P35" s="457">
        <f t="shared" si="2"/>
        <v>9162960.9033333343</v>
      </c>
      <c r="Q35" s="240">
        <f>+Données!X35</f>
        <v>66.5</v>
      </c>
      <c r="R35" s="457">
        <f t="shared" si="3"/>
        <v>137788.88576441104</v>
      </c>
    </row>
    <row r="36" spans="1:18" x14ac:dyDescent="0.25">
      <c r="A36" s="7">
        <f>Données!A36</f>
        <v>5456</v>
      </c>
      <c r="B36" s="27" t="str">
        <f>Données!B36</f>
        <v>Cudrefin</v>
      </c>
      <c r="C36" s="8">
        <f>Données!C36+Données!D36</f>
        <v>3347721.73</v>
      </c>
      <c r="D36" s="8">
        <f>+Données!G36+Données!H36+Données!S36</f>
        <v>46280.81</v>
      </c>
      <c r="E36" s="8">
        <f>+Données!E36</f>
        <v>0</v>
      </c>
      <c r="F36" s="8">
        <f>+Données!I36</f>
        <v>0</v>
      </c>
      <c r="G36" s="8">
        <f>+Données!J36</f>
        <v>52329.66</v>
      </c>
      <c r="H36" s="8">
        <f>Données!U36</f>
        <v>-106547.49</v>
      </c>
      <c r="I36" s="215">
        <f>Données!V36</f>
        <v>0</v>
      </c>
      <c r="J36" s="215">
        <f>Données!W36</f>
        <v>-506.24</v>
      </c>
      <c r="K36" s="8">
        <f>+Données!Q36</f>
        <v>80211.77</v>
      </c>
      <c r="L36" s="457">
        <f t="shared" si="1"/>
        <v>3419490.2399999998</v>
      </c>
      <c r="M36" s="8">
        <f>+Données!F36</f>
        <v>0</v>
      </c>
      <c r="N36" s="8">
        <f>+Données!K36</f>
        <v>10849.65</v>
      </c>
      <c r="O36" s="8">
        <f>(Données!L36/Données!Y36)*1</f>
        <v>354069.2</v>
      </c>
      <c r="P36" s="457">
        <f t="shared" si="2"/>
        <v>3784409.09</v>
      </c>
      <c r="Q36" s="240">
        <f>+Données!X36</f>
        <v>59</v>
      </c>
      <c r="R36" s="457">
        <f t="shared" si="3"/>
        <v>64142.52694915254</v>
      </c>
    </row>
    <row r="37" spans="1:18" x14ac:dyDescent="0.25">
      <c r="A37" s="7">
        <f>Données!A37</f>
        <v>5458</v>
      </c>
      <c r="B37" s="27" t="str">
        <f>Données!B37</f>
        <v>Faoug</v>
      </c>
      <c r="C37" s="8">
        <f>Données!C37+Données!D37</f>
        <v>1965574.1</v>
      </c>
      <c r="D37" s="8">
        <f>+Données!G37+Données!H37+Données!S37</f>
        <v>28845.8</v>
      </c>
      <c r="E37" s="8">
        <f>+Données!E37</f>
        <v>0</v>
      </c>
      <c r="F37" s="8">
        <f>+Données!I37</f>
        <v>0</v>
      </c>
      <c r="G37" s="8">
        <f>+Données!J37</f>
        <v>59073.19</v>
      </c>
      <c r="H37" s="8">
        <f>Données!U37</f>
        <v>-14228.07</v>
      </c>
      <c r="I37" s="215">
        <f>Données!V37</f>
        <v>0</v>
      </c>
      <c r="J37" s="215">
        <f>Données!W37</f>
        <v>-151.1</v>
      </c>
      <c r="K37" s="8">
        <f>+Données!Q37</f>
        <v>14872.5</v>
      </c>
      <c r="L37" s="457">
        <f t="shared" si="1"/>
        <v>2053986.42</v>
      </c>
      <c r="M37" s="8">
        <f>+Données!F37</f>
        <v>0</v>
      </c>
      <c r="N37" s="8">
        <f>+Données!K37</f>
        <v>12888.25</v>
      </c>
      <c r="O37" s="8">
        <f>(Données!L37/Données!Y37)*1</f>
        <v>189924.1</v>
      </c>
      <c r="P37" s="457">
        <f t="shared" si="2"/>
        <v>2256798.77</v>
      </c>
      <c r="Q37" s="240">
        <f>+Données!X37</f>
        <v>65</v>
      </c>
      <c r="R37" s="457">
        <f t="shared" si="3"/>
        <v>34719.981076923075</v>
      </c>
    </row>
    <row r="38" spans="1:18" x14ac:dyDescent="0.25">
      <c r="A38" s="7">
        <f>Données!A38</f>
        <v>5464</v>
      </c>
      <c r="B38" s="27" t="str">
        <f>Données!B38</f>
        <v>Vully-les-Lacs</v>
      </c>
      <c r="C38" s="8">
        <f>Données!C38+Données!D38</f>
        <v>7148089.2000000002</v>
      </c>
      <c r="D38" s="8">
        <f>+Données!G38+Données!H38+Données!S38</f>
        <v>52636.88</v>
      </c>
      <c r="E38" s="8">
        <f>+Données!E38</f>
        <v>0</v>
      </c>
      <c r="F38" s="8">
        <f>+Données!I38</f>
        <v>5716.2</v>
      </c>
      <c r="G38" s="8">
        <f>+Données!J38</f>
        <v>132675.49</v>
      </c>
      <c r="H38" s="8">
        <f>Données!U38</f>
        <v>-98442.41</v>
      </c>
      <c r="I38" s="215">
        <f>Données!V38</f>
        <v>0</v>
      </c>
      <c r="J38" s="215">
        <f>Données!W38</f>
        <v>-4687.72</v>
      </c>
      <c r="K38" s="8">
        <f>+Données!Q38</f>
        <v>16393.46</v>
      </c>
      <c r="L38" s="457">
        <f t="shared" si="1"/>
        <v>7252381.1000000006</v>
      </c>
      <c r="M38" s="8">
        <f>+Données!F38</f>
        <v>0</v>
      </c>
      <c r="N38" s="8">
        <f>+Données!K38</f>
        <v>28110.75</v>
      </c>
      <c r="O38" s="8">
        <f>(Données!L38/Données!Y38)*1</f>
        <v>703689</v>
      </c>
      <c r="P38" s="457">
        <f t="shared" si="2"/>
        <v>7984180.8500000006</v>
      </c>
      <c r="Q38" s="240">
        <f>+Données!X38</f>
        <v>67</v>
      </c>
      <c r="R38" s="457">
        <f t="shared" si="3"/>
        <v>119166.87835820897</v>
      </c>
    </row>
    <row r="39" spans="1:18" x14ac:dyDescent="0.25">
      <c r="A39" s="7">
        <f>Données!A39</f>
        <v>5471</v>
      </c>
      <c r="B39" s="27" t="str">
        <f>Données!B39</f>
        <v>Bettens</v>
      </c>
      <c r="C39" s="8">
        <f>Données!C39+Données!D39</f>
        <v>1314287.25</v>
      </c>
      <c r="D39" s="8">
        <f>+Données!G39+Données!H39+Données!S39</f>
        <v>131381.09</v>
      </c>
      <c r="E39" s="8">
        <f>+Données!E39</f>
        <v>0</v>
      </c>
      <c r="F39" s="8">
        <f>+Données!I39</f>
        <v>0</v>
      </c>
      <c r="G39" s="8">
        <f>+Données!J39</f>
        <v>24741.16</v>
      </c>
      <c r="H39" s="8">
        <f>Données!U39</f>
        <v>-9720.76</v>
      </c>
      <c r="I39" s="215">
        <f>Données!V39</f>
        <v>0</v>
      </c>
      <c r="J39" s="215">
        <f>Données!W39</f>
        <v>-43.82</v>
      </c>
      <c r="K39" s="8">
        <f>+Données!Q39</f>
        <v>0</v>
      </c>
      <c r="L39" s="457">
        <f t="shared" si="1"/>
        <v>1460644.92</v>
      </c>
      <c r="M39" s="8">
        <f>+Données!F39</f>
        <v>0</v>
      </c>
      <c r="N39" s="8">
        <f>+Données!K39</f>
        <v>4233.25</v>
      </c>
      <c r="O39" s="8">
        <f>(Données!L39/Données!Y39)*1</f>
        <v>137227.38888888888</v>
      </c>
      <c r="P39" s="457">
        <f t="shared" si="2"/>
        <v>1602105.5588888889</v>
      </c>
      <c r="Q39" s="240">
        <f>+Données!X39</f>
        <v>70</v>
      </c>
      <c r="R39" s="457">
        <f t="shared" si="3"/>
        <v>22887.22226984127</v>
      </c>
    </row>
    <row r="40" spans="1:18" x14ac:dyDescent="0.25">
      <c r="A40" s="7">
        <f>Données!A40</f>
        <v>5472</v>
      </c>
      <c r="B40" s="27" t="str">
        <f>Données!B40</f>
        <v>Bournens</v>
      </c>
      <c r="C40" s="8">
        <f>Données!C40+Données!D40</f>
        <v>1396288.79</v>
      </c>
      <c r="D40" s="8">
        <f>+Données!G40+Données!H40+Données!S40</f>
        <v>68300.429999999993</v>
      </c>
      <c r="E40" s="8">
        <f>+Données!E40</f>
        <v>0</v>
      </c>
      <c r="F40" s="8">
        <f>+Données!I40</f>
        <v>0</v>
      </c>
      <c r="G40" s="8">
        <f>+Données!J40</f>
        <v>13338.27</v>
      </c>
      <c r="H40" s="8">
        <f>Données!U40</f>
        <v>-1565.35</v>
      </c>
      <c r="I40" s="215">
        <f>Données!V40</f>
        <v>0</v>
      </c>
      <c r="J40" s="215">
        <f>Données!W40</f>
        <v>-457.52</v>
      </c>
      <c r="K40" s="8">
        <f>+Données!Q40</f>
        <v>7994.49</v>
      </c>
      <c r="L40" s="457">
        <f t="shared" si="1"/>
        <v>1483899.1099999999</v>
      </c>
      <c r="M40" s="8">
        <f>+Données!F40</f>
        <v>0</v>
      </c>
      <c r="N40" s="8">
        <f>+Données!K40</f>
        <v>1422.55</v>
      </c>
      <c r="O40" s="8">
        <f>(Données!L40/Données!Y40)*1</f>
        <v>111315.05</v>
      </c>
      <c r="P40" s="457">
        <f t="shared" si="2"/>
        <v>1596636.71</v>
      </c>
      <c r="Q40" s="240">
        <f>+Données!X40</f>
        <v>72</v>
      </c>
      <c r="R40" s="457">
        <f t="shared" si="3"/>
        <v>22175.50986111111</v>
      </c>
    </row>
    <row r="41" spans="1:18" x14ac:dyDescent="0.25">
      <c r="A41" s="7">
        <f>Données!A41</f>
        <v>5473</v>
      </c>
      <c r="B41" s="27" t="str">
        <f>Données!B41</f>
        <v>Boussens</v>
      </c>
      <c r="C41" s="8">
        <f>Données!C41+Données!D41</f>
        <v>2304900.8200000003</v>
      </c>
      <c r="D41" s="8">
        <f>+Données!G41+Données!H41+Données!S41</f>
        <v>20111.980000000003</v>
      </c>
      <c r="E41" s="8">
        <f>+Données!E41</f>
        <v>0</v>
      </c>
      <c r="F41" s="8">
        <f>+Données!I41</f>
        <v>0</v>
      </c>
      <c r="G41" s="8">
        <f>+Données!J41</f>
        <v>-4141.21</v>
      </c>
      <c r="H41" s="8">
        <f>Données!U41</f>
        <v>-20658.46</v>
      </c>
      <c r="I41" s="215">
        <f>Données!V41</f>
        <v>0</v>
      </c>
      <c r="J41" s="215">
        <f>Données!W41</f>
        <v>-14.11</v>
      </c>
      <c r="K41" s="8">
        <f>+Données!Q41</f>
        <v>24.58</v>
      </c>
      <c r="L41" s="457">
        <f t="shared" si="1"/>
        <v>2300223.6000000006</v>
      </c>
      <c r="M41" s="8">
        <f>+Données!F41</f>
        <v>0</v>
      </c>
      <c r="N41" s="8">
        <f>+Données!K41</f>
        <v>8991.2000000000007</v>
      </c>
      <c r="O41" s="8">
        <f>(Données!L41/Données!Y41)*1</f>
        <v>192206.4</v>
      </c>
      <c r="P41" s="457">
        <f t="shared" si="2"/>
        <v>2501421.2000000007</v>
      </c>
      <c r="Q41" s="240">
        <f>+Données!X41</f>
        <v>67.5</v>
      </c>
      <c r="R41" s="457">
        <f t="shared" si="3"/>
        <v>37058.091851851859</v>
      </c>
    </row>
    <row r="42" spans="1:18" x14ac:dyDescent="0.25">
      <c r="A42" s="7">
        <f>Données!A42</f>
        <v>5474</v>
      </c>
      <c r="B42" s="27" t="str">
        <f>Données!B42</f>
        <v>La Chaux (Cossonay)</v>
      </c>
      <c r="C42" s="8">
        <f>Données!C42+Données!D42</f>
        <v>928866.3600000001</v>
      </c>
      <c r="D42" s="8">
        <f>+Données!G42+Données!H42+Données!S42</f>
        <v>15970.86</v>
      </c>
      <c r="E42" s="8">
        <f>+Données!E42</f>
        <v>0</v>
      </c>
      <c r="F42" s="8">
        <f>+Données!I42</f>
        <v>-36561.5</v>
      </c>
      <c r="G42" s="8">
        <f>+Données!J42</f>
        <v>1142.73</v>
      </c>
      <c r="H42" s="8">
        <f>Données!U42</f>
        <v>-5446.47</v>
      </c>
      <c r="I42" s="215">
        <f>Données!V42</f>
        <v>0</v>
      </c>
      <c r="J42" s="215">
        <f>Données!W42</f>
        <v>-270.48</v>
      </c>
      <c r="K42" s="8">
        <f>+Données!Q42</f>
        <v>2076</v>
      </c>
      <c r="L42" s="457">
        <f t="shared" si="1"/>
        <v>905777.50000000012</v>
      </c>
      <c r="M42" s="8">
        <f>+Données!F42</f>
        <v>0</v>
      </c>
      <c r="N42" s="8">
        <f>+Données!K42</f>
        <v>369</v>
      </c>
      <c r="O42" s="8">
        <f>(Données!L42/Données!Y42)*1</f>
        <v>74585.416666666672</v>
      </c>
      <c r="P42" s="457">
        <f t="shared" si="2"/>
        <v>980731.91666666674</v>
      </c>
      <c r="Q42" s="240">
        <f>+Données!X42</f>
        <v>76</v>
      </c>
      <c r="R42" s="457">
        <f t="shared" si="3"/>
        <v>12904.367324561405</v>
      </c>
    </row>
    <row r="43" spans="1:18" x14ac:dyDescent="0.25">
      <c r="A43" s="7">
        <f>Données!A43</f>
        <v>5475</v>
      </c>
      <c r="B43" s="27" t="str">
        <f>Données!B43</f>
        <v>Chavannes-le-Veyron</v>
      </c>
      <c r="C43" s="8">
        <f>Données!C43+Données!D43</f>
        <v>296355.43</v>
      </c>
      <c r="D43" s="8">
        <f>+Données!G43+Données!H43+Données!S43</f>
        <v>384.34000000000003</v>
      </c>
      <c r="E43" s="8">
        <f>+Données!E43</f>
        <v>0</v>
      </c>
      <c r="F43" s="8">
        <f>+Données!I43</f>
        <v>0</v>
      </c>
      <c r="G43" s="8">
        <f>+Données!J43</f>
        <v>738.72</v>
      </c>
      <c r="H43" s="8">
        <f>Données!U43</f>
        <v>-2144.58</v>
      </c>
      <c r="I43" s="215">
        <f>Données!V43</f>
        <v>0</v>
      </c>
      <c r="J43" s="215">
        <f>Données!W43</f>
        <v>0</v>
      </c>
      <c r="K43" s="8">
        <f>+Données!Q43</f>
        <v>61.03</v>
      </c>
      <c r="L43" s="457">
        <f t="shared" si="1"/>
        <v>295394.94</v>
      </c>
      <c r="M43" s="8">
        <f>+Données!F43</f>
        <v>0</v>
      </c>
      <c r="N43" s="8">
        <f>+Données!K43</f>
        <v>0</v>
      </c>
      <c r="O43" s="8">
        <f>(Données!L43/Données!Y43)*1</f>
        <v>25399.3</v>
      </c>
      <c r="P43" s="457">
        <f t="shared" si="2"/>
        <v>320794.23999999999</v>
      </c>
      <c r="Q43" s="240">
        <f>+Données!X43</f>
        <v>75</v>
      </c>
      <c r="R43" s="457">
        <f t="shared" si="3"/>
        <v>4277.2565333333332</v>
      </c>
    </row>
    <row r="44" spans="1:18" x14ac:dyDescent="0.25">
      <c r="A44" s="7">
        <f>Données!A44</f>
        <v>5476</v>
      </c>
      <c r="B44" s="27" t="str">
        <f>Données!B44</f>
        <v>Chevilly</v>
      </c>
      <c r="C44" s="8">
        <f>Données!C44+Données!D44</f>
        <v>813718.24</v>
      </c>
      <c r="D44" s="8">
        <f>+Données!G44+Données!H44+Données!S44</f>
        <v>-4023.8499999999995</v>
      </c>
      <c r="E44" s="8">
        <f>+Données!E44</f>
        <v>0</v>
      </c>
      <c r="F44" s="8">
        <f>+Données!I44</f>
        <v>0</v>
      </c>
      <c r="G44" s="8">
        <f>+Données!J44</f>
        <v>8338.2800000000007</v>
      </c>
      <c r="H44" s="8">
        <f>Données!U44</f>
        <v>-3599.73</v>
      </c>
      <c r="I44" s="215">
        <f>Données!V44</f>
        <v>0</v>
      </c>
      <c r="J44" s="215">
        <f>Données!W44</f>
        <v>-254.69</v>
      </c>
      <c r="K44" s="8">
        <f>+Données!Q44</f>
        <v>0</v>
      </c>
      <c r="L44" s="457">
        <f t="shared" si="1"/>
        <v>814178.25000000012</v>
      </c>
      <c r="M44" s="8">
        <f>+Données!F44</f>
        <v>0</v>
      </c>
      <c r="N44" s="8">
        <f>+Données!K44</f>
        <v>0</v>
      </c>
      <c r="O44" s="8">
        <f>(Données!L44/Données!Y44)*1</f>
        <v>61737.3</v>
      </c>
      <c r="P44" s="457">
        <f t="shared" si="2"/>
        <v>875915.55000000016</v>
      </c>
      <c r="Q44" s="240">
        <f>+Données!X44</f>
        <v>72.5</v>
      </c>
      <c r="R44" s="457">
        <f t="shared" si="3"/>
        <v>12081.593793103451</v>
      </c>
    </row>
    <row r="45" spans="1:18" x14ac:dyDescent="0.25">
      <c r="A45" s="7">
        <f>Données!A45</f>
        <v>5477</v>
      </c>
      <c r="B45" s="27" t="str">
        <f>Données!B45</f>
        <v>Cossonay</v>
      </c>
      <c r="C45" s="8">
        <f>Données!C45+Données!D45</f>
        <v>8769241.5800000001</v>
      </c>
      <c r="D45" s="8">
        <f>+Données!G45+Données!H45+Données!S45</f>
        <v>479367.86</v>
      </c>
      <c r="E45" s="8">
        <f>+Données!E45</f>
        <v>0</v>
      </c>
      <c r="F45" s="8">
        <f>+Données!I45</f>
        <v>0</v>
      </c>
      <c r="G45" s="8">
        <f>+Données!J45</f>
        <v>171591.45</v>
      </c>
      <c r="H45" s="8">
        <f>Données!U45</f>
        <v>-380726.05</v>
      </c>
      <c r="I45" s="215">
        <f>Données!V45</f>
        <v>0</v>
      </c>
      <c r="J45" s="215">
        <f>Données!W45</f>
        <v>-1363.04</v>
      </c>
      <c r="K45" s="8">
        <f>+Données!Q45</f>
        <v>57373.19</v>
      </c>
      <c r="L45" s="457">
        <f t="shared" si="1"/>
        <v>9095484.9899999984</v>
      </c>
      <c r="M45" s="8">
        <f>+Données!F45</f>
        <v>0</v>
      </c>
      <c r="N45" s="8">
        <f>+Données!K45</f>
        <v>58880.4</v>
      </c>
      <c r="O45" s="8">
        <f>(Données!L45/Données!Y45)*1</f>
        <v>754712.75</v>
      </c>
      <c r="P45" s="457">
        <f t="shared" si="2"/>
        <v>9909078.1399999987</v>
      </c>
      <c r="Q45" s="240">
        <f>+Données!X45</f>
        <v>69.5</v>
      </c>
      <c r="R45" s="457">
        <f t="shared" si="3"/>
        <v>142576.66388489207</v>
      </c>
    </row>
    <row r="46" spans="1:18" x14ac:dyDescent="0.25">
      <c r="A46" s="7">
        <f>Données!A46</f>
        <v>5479</v>
      </c>
      <c r="B46" s="27" t="str">
        <f>Données!B46</f>
        <v>Cuarnens</v>
      </c>
      <c r="C46" s="8">
        <f>Données!C46+Données!D46</f>
        <v>1350209.5</v>
      </c>
      <c r="D46" s="8">
        <f>+Données!G46+Données!H46+Données!S46</f>
        <v>10154.02</v>
      </c>
      <c r="E46" s="8">
        <f>+Données!E46</f>
        <v>0</v>
      </c>
      <c r="F46" s="8">
        <f>+Données!I46</f>
        <v>-25685.4</v>
      </c>
      <c r="G46" s="8">
        <f>+Données!J46</f>
        <v>15477.41</v>
      </c>
      <c r="H46" s="8">
        <f>Données!U46</f>
        <v>-57619.12</v>
      </c>
      <c r="I46" s="215">
        <f>Données!V46</f>
        <v>0</v>
      </c>
      <c r="J46" s="215">
        <f>Données!W46</f>
        <v>0</v>
      </c>
      <c r="K46" s="8">
        <f>+Données!Q46</f>
        <v>0</v>
      </c>
      <c r="L46" s="457">
        <f t="shared" si="1"/>
        <v>1292536.4099999999</v>
      </c>
      <c r="M46" s="8">
        <f>+Données!F46</f>
        <v>0</v>
      </c>
      <c r="N46" s="8">
        <f>+Données!K46</f>
        <v>1464.25</v>
      </c>
      <c r="O46" s="8">
        <f>(Données!L46/Données!Y46)*1</f>
        <v>90803.45</v>
      </c>
      <c r="P46" s="457">
        <f t="shared" si="2"/>
        <v>1384804.1099999999</v>
      </c>
      <c r="Q46" s="240">
        <f>+Données!X46</f>
        <v>77</v>
      </c>
      <c r="R46" s="457">
        <f t="shared" si="3"/>
        <v>17984.468961038958</v>
      </c>
    </row>
    <row r="47" spans="1:18" x14ac:dyDescent="0.25">
      <c r="A47" s="7">
        <f>Données!A47</f>
        <v>5480</v>
      </c>
      <c r="B47" s="27" t="str">
        <f>Données!B47</f>
        <v>Daillens</v>
      </c>
      <c r="C47" s="8">
        <f>Données!C47+Données!D47</f>
        <v>2400639.6500000004</v>
      </c>
      <c r="D47" s="8">
        <f>+Données!G47+Données!H47+Données!S47</f>
        <v>-25836.65</v>
      </c>
      <c r="E47" s="8">
        <f>+Données!E47</f>
        <v>0</v>
      </c>
      <c r="F47" s="8">
        <f>+Données!I47</f>
        <v>0</v>
      </c>
      <c r="G47" s="8">
        <f>+Données!J47</f>
        <v>40898.230000000003</v>
      </c>
      <c r="H47" s="8">
        <f>Données!U47</f>
        <v>-61393.75</v>
      </c>
      <c r="I47" s="215">
        <f>Données!V47</f>
        <v>0</v>
      </c>
      <c r="J47" s="215">
        <f>Données!W47</f>
        <v>-1047.54</v>
      </c>
      <c r="K47" s="8">
        <f>+Données!Q47</f>
        <v>49270.01</v>
      </c>
      <c r="L47" s="457">
        <f t="shared" si="1"/>
        <v>2402529.9500000002</v>
      </c>
      <c r="M47" s="8">
        <f>+Données!F47</f>
        <v>0</v>
      </c>
      <c r="N47" s="8">
        <f>+Données!K47</f>
        <v>12107.15</v>
      </c>
      <c r="O47" s="8">
        <f>(Données!L47/Données!Y47)*1</f>
        <v>313076.83333333337</v>
      </c>
      <c r="P47" s="457">
        <f t="shared" si="2"/>
        <v>2727713.9333333336</v>
      </c>
      <c r="Q47" s="240">
        <f>+Données!X47</f>
        <v>66</v>
      </c>
      <c r="R47" s="457">
        <f t="shared" si="3"/>
        <v>41328.998989898995</v>
      </c>
    </row>
    <row r="48" spans="1:18" x14ac:dyDescent="0.25">
      <c r="A48" s="7">
        <f>Données!A48</f>
        <v>5481</v>
      </c>
      <c r="B48" s="27" t="str">
        <f>Données!B48</f>
        <v>Dizy</v>
      </c>
      <c r="C48" s="8">
        <f>Données!C48+Données!D48</f>
        <v>553475.56000000006</v>
      </c>
      <c r="D48" s="8">
        <f>+Données!G48+Données!H48+Données!S48</f>
        <v>15028.059999999998</v>
      </c>
      <c r="E48" s="8">
        <f>+Données!E48</f>
        <v>0</v>
      </c>
      <c r="F48" s="8">
        <f>+Données!I48</f>
        <v>0</v>
      </c>
      <c r="G48" s="8">
        <f>+Données!J48</f>
        <v>-833.47</v>
      </c>
      <c r="H48" s="8">
        <f>Données!U48</f>
        <v>-73.41</v>
      </c>
      <c r="I48" s="215">
        <f>Données!V48</f>
        <v>0</v>
      </c>
      <c r="J48" s="215">
        <f>Données!W48</f>
        <v>0</v>
      </c>
      <c r="K48" s="8">
        <f>+Données!Q48</f>
        <v>0</v>
      </c>
      <c r="L48" s="457">
        <f t="shared" si="1"/>
        <v>567596.74000000011</v>
      </c>
      <c r="M48" s="8">
        <f>+Données!F48</f>
        <v>0</v>
      </c>
      <c r="N48" s="8">
        <f>+Données!K48</f>
        <v>0</v>
      </c>
      <c r="O48" s="8">
        <f>(Données!L48/Données!Y48)*1</f>
        <v>41423.35</v>
      </c>
      <c r="P48" s="457">
        <f t="shared" si="2"/>
        <v>609020.09000000008</v>
      </c>
      <c r="Q48" s="240">
        <f>+Données!X48</f>
        <v>75</v>
      </c>
      <c r="R48" s="457">
        <f t="shared" si="3"/>
        <v>8120.2678666666679</v>
      </c>
    </row>
    <row r="49" spans="1:18" x14ac:dyDescent="0.25">
      <c r="A49" s="7">
        <f>Données!A49</f>
        <v>5482</v>
      </c>
      <c r="B49" s="27" t="str">
        <f>Données!B49</f>
        <v>Eclépens</v>
      </c>
      <c r="C49" s="8">
        <f>Données!C49+Données!D49</f>
        <v>1568402.1500000001</v>
      </c>
      <c r="D49" s="8">
        <f>+Données!G49+Données!H49+Données!S49</f>
        <v>402145.99999999994</v>
      </c>
      <c r="E49" s="8">
        <f>+Données!E49</f>
        <v>0</v>
      </c>
      <c r="F49" s="8">
        <f>+Données!I49</f>
        <v>0</v>
      </c>
      <c r="G49" s="8">
        <f>+Données!J49</f>
        <v>43014.7</v>
      </c>
      <c r="H49" s="8">
        <f>Données!U49</f>
        <v>-24344.36</v>
      </c>
      <c r="I49" s="215">
        <f>Données!V49</f>
        <v>0</v>
      </c>
      <c r="J49" s="215">
        <f>Données!W49</f>
        <v>-893.6</v>
      </c>
      <c r="K49" s="8">
        <f>+Données!Q49</f>
        <v>5313.64</v>
      </c>
      <c r="L49" s="457">
        <f t="shared" si="1"/>
        <v>1993638.5299999998</v>
      </c>
      <c r="M49" s="8">
        <f>+Données!F49</f>
        <v>0</v>
      </c>
      <c r="N49" s="8">
        <f>+Données!K49</f>
        <v>54198.35</v>
      </c>
      <c r="O49" s="8">
        <f>(Données!L49/Données!Y49)*1</f>
        <v>443951.55</v>
      </c>
      <c r="P49" s="457">
        <f t="shared" si="2"/>
        <v>2491788.4299999997</v>
      </c>
      <c r="Q49" s="240">
        <f>+Données!X49</f>
        <v>46</v>
      </c>
      <c r="R49" s="457">
        <f t="shared" si="3"/>
        <v>54169.31369565217</v>
      </c>
    </row>
    <row r="50" spans="1:18" x14ac:dyDescent="0.25">
      <c r="A50" s="7">
        <f>Données!A50</f>
        <v>5483</v>
      </c>
      <c r="B50" s="27" t="str">
        <f>Données!B50</f>
        <v>Ferreyres</v>
      </c>
      <c r="C50" s="8">
        <f>Données!C50+Données!D50</f>
        <v>749058.51</v>
      </c>
      <c r="D50" s="8">
        <f>+Données!G50+Données!H50+Données!S50</f>
        <v>2676.2499999999995</v>
      </c>
      <c r="E50" s="8">
        <f>+Données!E50</f>
        <v>0</v>
      </c>
      <c r="F50" s="8">
        <f>+Données!I50</f>
        <v>0</v>
      </c>
      <c r="G50" s="8">
        <f>+Données!J50</f>
        <v>2470.9699999999998</v>
      </c>
      <c r="H50" s="8">
        <f>Données!U50</f>
        <v>-9810.84</v>
      </c>
      <c r="I50" s="215">
        <f>Données!V50</f>
        <v>0</v>
      </c>
      <c r="J50" s="215">
        <f>Données!W50</f>
        <v>-850.75</v>
      </c>
      <c r="K50" s="8">
        <f>+Données!Q50</f>
        <v>0</v>
      </c>
      <c r="L50" s="457">
        <f t="shared" si="1"/>
        <v>743544.14</v>
      </c>
      <c r="M50" s="8">
        <f>+Données!F50</f>
        <v>0</v>
      </c>
      <c r="N50" s="8">
        <f>+Données!K50</f>
        <v>175.5</v>
      </c>
      <c r="O50" s="8">
        <f>(Données!L50/Données!Y50)*1</f>
        <v>57093.4</v>
      </c>
      <c r="P50" s="457">
        <f t="shared" si="2"/>
        <v>800813.04</v>
      </c>
      <c r="Q50" s="240">
        <f>+Données!X50</f>
        <v>76</v>
      </c>
      <c r="R50" s="457">
        <f t="shared" si="3"/>
        <v>10537.013684210528</v>
      </c>
    </row>
    <row r="51" spans="1:18" x14ac:dyDescent="0.25">
      <c r="A51" s="7">
        <f>Données!A51</f>
        <v>5484</v>
      </c>
      <c r="B51" s="27" t="str">
        <f>Données!B51</f>
        <v>Gollion</v>
      </c>
      <c r="C51" s="8">
        <f>Données!C51+Données!D51</f>
        <v>2384946.7400000002</v>
      </c>
      <c r="D51" s="8">
        <f>+Données!G51+Données!H51+Données!S51</f>
        <v>38349.629999999997</v>
      </c>
      <c r="E51" s="8">
        <f>+Données!E51</f>
        <v>0</v>
      </c>
      <c r="F51" s="8">
        <f>+Données!I51</f>
        <v>0</v>
      </c>
      <c r="G51" s="8">
        <f>+Données!J51</f>
        <v>23138.720000000001</v>
      </c>
      <c r="H51" s="8">
        <f>Données!U51</f>
        <v>-15238.01</v>
      </c>
      <c r="I51" s="215">
        <f>Données!V51</f>
        <v>0</v>
      </c>
      <c r="J51" s="215">
        <f>Données!W51</f>
        <v>-32.799999999999997</v>
      </c>
      <c r="K51" s="8">
        <f>+Données!Q51</f>
        <v>23617.33</v>
      </c>
      <c r="L51" s="457">
        <f t="shared" si="1"/>
        <v>2454781.6100000008</v>
      </c>
      <c r="M51" s="8">
        <f>+Données!F51</f>
        <v>0</v>
      </c>
      <c r="N51" s="8">
        <f>+Données!K51</f>
        <v>6192.35</v>
      </c>
      <c r="O51" s="8">
        <f>(Données!L51/Données!Y51)*1</f>
        <v>199256.8</v>
      </c>
      <c r="P51" s="457">
        <f t="shared" si="2"/>
        <v>2660230.7600000007</v>
      </c>
      <c r="Q51" s="240">
        <f>+Données!X51</f>
        <v>74</v>
      </c>
      <c r="R51" s="457">
        <f t="shared" si="3"/>
        <v>35949.064324324332</v>
      </c>
    </row>
    <row r="52" spans="1:18" x14ac:dyDescent="0.25">
      <c r="A52" s="7">
        <f>Données!A52</f>
        <v>5485</v>
      </c>
      <c r="B52" s="27" t="str">
        <f>Données!B52</f>
        <v>Grancy</v>
      </c>
      <c r="C52" s="8">
        <f>Données!C52+Données!D52</f>
        <v>1598727.6</v>
      </c>
      <c r="D52" s="8">
        <f>+Données!G52+Données!H52+Données!S52</f>
        <v>43201.48</v>
      </c>
      <c r="E52" s="8">
        <f>+Données!E52</f>
        <v>0</v>
      </c>
      <c r="F52" s="8">
        <f>+Données!I52</f>
        <v>0</v>
      </c>
      <c r="G52" s="8">
        <f>+Données!J52</f>
        <v>887.65</v>
      </c>
      <c r="H52" s="8">
        <f>Données!U52</f>
        <v>-9064.44</v>
      </c>
      <c r="I52" s="215">
        <f>Données!V52</f>
        <v>0</v>
      </c>
      <c r="J52" s="215">
        <f>Données!W52</f>
        <v>-268.92</v>
      </c>
      <c r="K52" s="8">
        <f>+Données!Q52</f>
        <v>1394.72</v>
      </c>
      <c r="L52" s="457">
        <f t="shared" si="1"/>
        <v>1634878.09</v>
      </c>
      <c r="M52" s="8">
        <f>+Données!F52</f>
        <v>0</v>
      </c>
      <c r="N52" s="8">
        <f>+Données!K52</f>
        <v>-244</v>
      </c>
      <c r="O52" s="8">
        <f>(Données!L52/Données!Y52)*1</f>
        <v>79438.55</v>
      </c>
      <c r="P52" s="457">
        <f t="shared" si="2"/>
        <v>1714072.6400000001</v>
      </c>
      <c r="Q52" s="240">
        <f>+Données!X52</f>
        <v>70</v>
      </c>
      <c r="R52" s="457">
        <f t="shared" si="3"/>
        <v>24486.752</v>
      </c>
    </row>
    <row r="53" spans="1:18" x14ac:dyDescent="0.25">
      <c r="A53" s="7">
        <f>Données!A53</f>
        <v>5486</v>
      </c>
      <c r="B53" s="27" t="str">
        <f>Données!B53</f>
        <v>L'Isle</v>
      </c>
      <c r="C53" s="8">
        <f>Données!C53+Données!D53</f>
        <v>1998582.23</v>
      </c>
      <c r="D53" s="8">
        <f>+Données!G53+Données!H53+Données!S53</f>
        <v>50148.57</v>
      </c>
      <c r="E53" s="8">
        <f>+Données!E53</f>
        <v>0</v>
      </c>
      <c r="F53" s="8">
        <f>+Données!I53</f>
        <v>-34441</v>
      </c>
      <c r="G53" s="8">
        <f>+Données!J53</f>
        <v>35680.080000000002</v>
      </c>
      <c r="H53" s="8">
        <f>Données!U53</f>
        <v>-76024.160000000003</v>
      </c>
      <c r="I53" s="215">
        <f>Données!V53</f>
        <v>0</v>
      </c>
      <c r="J53" s="215">
        <f>Données!W53</f>
        <v>-87.56</v>
      </c>
      <c r="K53" s="8">
        <f>+Données!Q53</f>
        <v>5560.12</v>
      </c>
      <c r="L53" s="457">
        <f t="shared" si="1"/>
        <v>1979418.2800000003</v>
      </c>
      <c r="M53" s="8">
        <f>+Données!F53</f>
        <v>0</v>
      </c>
      <c r="N53" s="8">
        <f>+Données!K53</f>
        <v>11348.3</v>
      </c>
      <c r="O53" s="8">
        <f>(Données!L53/Données!Y53)*1</f>
        <v>201357.5</v>
      </c>
      <c r="P53" s="457">
        <f t="shared" si="2"/>
        <v>2192124.08</v>
      </c>
      <c r="Q53" s="240">
        <f>+Données!X53</f>
        <v>75</v>
      </c>
      <c r="R53" s="457">
        <f t="shared" si="3"/>
        <v>29228.321066666667</v>
      </c>
    </row>
    <row r="54" spans="1:18" x14ac:dyDescent="0.25">
      <c r="A54" s="7">
        <f>Données!A54</f>
        <v>5487</v>
      </c>
      <c r="B54" s="27" t="str">
        <f>Données!B54</f>
        <v>Lussery-Villars</v>
      </c>
      <c r="C54" s="8">
        <f>Données!C54+Données!D54</f>
        <v>1164393.8</v>
      </c>
      <c r="D54" s="8">
        <f>+Données!G54+Données!H54+Données!S54</f>
        <v>6194.75</v>
      </c>
      <c r="E54" s="8">
        <f>+Données!E54</f>
        <v>0</v>
      </c>
      <c r="F54" s="8">
        <f>+Données!I54</f>
        <v>0</v>
      </c>
      <c r="G54" s="8">
        <f>+Données!J54</f>
        <v>331.33</v>
      </c>
      <c r="H54" s="8">
        <f>Données!U54</f>
        <v>-16121.17</v>
      </c>
      <c r="I54" s="215">
        <f>Données!V54</f>
        <v>0</v>
      </c>
      <c r="J54" s="215">
        <f>Données!W54</f>
        <v>-1.21</v>
      </c>
      <c r="K54" s="8">
        <f>+Données!Q54</f>
        <v>6371.44</v>
      </c>
      <c r="L54" s="457">
        <f t="shared" si="1"/>
        <v>1161168.9400000002</v>
      </c>
      <c r="M54" s="8">
        <f>+Données!F54</f>
        <v>0</v>
      </c>
      <c r="N54" s="8">
        <f>+Données!K54</f>
        <v>993.25</v>
      </c>
      <c r="O54" s="8">
        <f>(Données!L54/Données!Y54)*1</f>
        <v>84501.8</v>
      </c>
      <c r="P54" s="457">
        <f t="shared" si="2"/>
        <v>1246663.9900000002</v>
      </c>
      <c r="Q54" s="240">
        <f>+Données!X54</f>
        <v>75</v>
      </c>
      <c r="R54" s="457">
        <f t="shared" si="3"/>
        <v>16622.186533333337</v>
      </c>
    </row>
    <row r="55" spans="1:18" x14ac:dyDescent="0.25">
      <c r="A55" s="7">
        <f>Données!A55</f>
        <v>5488</v>
      </c>
      <c r="B55" s="27" t="str">
        <f>Données!B55</f>
        <v>Mauraz</v>
      </c>
      <c r="C55" s="8">
        <f>Données!C55+Données!D55</f>
        <v>125981.14</v>
      </c>
      <c r="D55" s="8">
        <f>+Données!G55+Données!H55+Données!S55</f>
        <v>688.26</v>
      </c>
      <c r="E55" s="8">
        <f>+Données!E55</f>
        <v>0</v>
      </c>
      <c r="F55" s="8">
        <f>+Données!I55</f>
        <v>0</v>
      </c>
      <c r="G55" s="8">
        <f>+Données!J55</f>
        <v>-2075.6799999999998</v>
      </c>
      <c r="H55" s="8">
        <f>Données!U55</f>
        <v>-12.59</v>
      </c>
      <c r="I55" s="215">
        <f>Données!V55</f>
        <v>0</v>
      </c>
      <c r="J55" s="215">
        <f>Données!W55</f>
        <v>-17.96</v>
      </c>
      <c r="K55" s="8">
        <f>+Données!Q55</f>
        <v>0</v>
      </c>
      <c r="L55" s="457">
        <f t="shared" si="1"/>
        <v>124563.17</v>
      </c>
      <c r="M55" s="8">
        <f>+Données!F55</f>
        <v>0</v>
      </c>
      <c r="N55" s="8">
        <f>+Données!K55</f>
        <v>0</v>
      </c>
      <c r="O55" s="8">
        <f>(Données!L55/Données!Y55)*1</f>
        <v>8582</v>
      </c>
      <c r="P55" s="457">
        <f t="shared" si="2"/>
        <v>133145.16999999998</v>
      </c>
      <c r="Q55" s="240">
        <f>+Données!X55</f>
        <v>77</v>
      </c>
      <c r="R55" s="457">
        <f t="shared" si="3"/>
        <v>1729.1580519480517</v>
      </c>
    </row>
    <row r="56" spans="1:18" x14ac:dyDescent="0.25">
      <c r="A56" s="7">
        <f>Données!A56</f>
        <v>5489</v>
      </c>
      <c r="B56" s="27" t="str">
        <f>Données!B56</f>
        <v>Mex</v>
      </c>
      <c r="C56" s="8">
        <f>Données!C56+Données!D56</f>
        <v>2440532.5499999998</v>
      </c>
      <c r="D56" s="8">
        <f>+Données!G56+Données!H56+Données!S56</f>
        <v>234722.05000000002</v>
      </c>
      <c r="E56" s="8">
        <f>+Données!E56</f>
        <v>0</v>
      </c>
      <c r="F56" s="8">
        <f>+Données!I56</f>
        <v>0</v>
      </c>
      <c r="G56" s="8">
        <f>+Données!J56</f>
        <v>80272.08</v>
      </c>
      <c r="H56" s="8">
        <f>Données!U56</f>
        <v>-23124.43</v>
      </c>
      <c r="I56" s="215">
        <f>Données!V56</f>
        <v>0</v>
      </c>
      <c r="J56" s="215">
        <f>Données!W56</f>
        <v>-49027.49</v>
      </c>
      <c r="K56" s="8">
        <f>+Données!Q56</f>
        <v>11010.02</v>
      </c>
      <c r="L56" s="457">
        <f t="shared" si="1"/>
        <v>2694384.7799999993</v>
      </c>
      <c r="M56" s="8">
        <f>+Données!F56</f>
        <v>0</v>
      </c>
      <c r="N56" s="8">
        <f>+Données!K56</f>
        <v>6591.5</v>
      </c>
      <c r="O56" s="8">
        <f>(Données!L56/Données!Y56)*1</f>
        <v>299794.45</v>
      </c>
      <c r="P56" s="457">
        <f t="shared" si="2"/>
        <v>3000770.7299999995</v>
      </c>
      <c r="Q56" s="240">
        <f>+Données!X56</f>
        <v>59.5</v>
      </c>
      <c r="R56" s="457">
        <f t="shared" si="3"/>
        <v>50433.121512605037</v>
      </c>
    </row>
    <row r="57" spans="1:18" x14ac:dyDescent="0.25">
      <c r="A57" s="7">
        <f>Données!A57</f>
        <v>5490</v>
      </c>
      <c r="B57" s="27" t="str">
        <f>Données!B57</f>
        <v>Moiry</v>
      </c>
      <c r="C57" s="8">
        <f>Données!C57+Données!D57</f>
        <v>662108.59</v>
      </c>
      <c r="D57" s="8">
        <f>+Données!G57+Données!H57+Données!S57</f>
        <v>4128.63</v>
      </c>
      <c r="E57" s="8">
        <f>+Données!E57</f>
        <v>0</v>
      </c>
      <c r="F57" s="8">
        <f>+Données!I57</f>
        <v>0</v>
      </c>
      <c r="G57" s="8">
        <f>+Données!J57</f>
        <v>2071.5300000000002</v>
      </c>
      <c r="H57" s="8">
        <f>Données!U57</f>
        <v>-13441.41</v>
      </c>
      <c r="I57" s="215">
        <f>Données!V57</f>
        <v>0</v>
      </c>
      <c r="J57" s="215">
        <f>Données!W57</f>
        <v>-368</v>
      </c>
      <c r="K57" s="8">
        <f>+Données!Q57</f>
        <v>0</v>
      </c>
      <c r="L57" s="457">
        <f t="shared" si="1"/>
        <v>654499.34</v>
      </c>
      <c r="M57" s="8">
        <f>+Données!F57</f>
        <v>0</v>
      </c>
      <c r="N57" s="8">
        <f>+Données!K57</f>
        <v>0</v>
      </c>
      <c r="O57" s="8">
        <f>(Données!L57/Données!Y57)*1</f>
        <v>47397.65</v>
      </c>
      <c r="P57" s="457">
        <f t="shared" si="2"/>
        <v>701896.99</v>
      </c>
      <c r="Q57" s="240">
        <f>+Données!X57</f>
        <v>77.5</v>
      </c>
      <c r="R57" s="457">
        <f t="shared" si="3"/>
        <v>9056.7353548387091</v>
      </c>
    </row>
    <row r="58" spans="1:18" x14ac:dyDescent="0.25">
      <c r="A58" s="7">
        <f>Données!A58</f>
        <v>5491</v>
      </c>
      <c r="B58" s="27" t="str">
        <f>Données!B58</f>
        <v>Mont-la-Ville</v>
      </c>
      <c r="C58" s="8">
        <f>Données!C58+Données!D58</f>
        <v>928692</v>
      </c>
      <c r="D58" s="8">
        <f>+Données!G58+Données!H58+Données!S58</f>
        <v>6354</v>
      </c>
      <c r="E58" s="8">
        <f>+Données!E58</f>
        <v>0</v>
      </c>
      <c r="F58" s="8">
        <f>+Données!I58</f>
        <v>0</v>
      </c>
      <c r="G58" s="8">
        <f>+Données!J58</f>
        <v>14479.83</v>
      </c>
      <c r="H58" s="8">
        <f>Données!U58</f>
        <v>-5240.1099999999997</v>
      </c>
      <c r="I58" s="215">
        <f>Données!V58</f>
        <v>0</v>
      </c>
      <c r="J58" s="215">
        <f>Données!W58</f>
        <v>-212.45</v>
      </c>
      <c r="K58" s="8">
        <f>+Données!Q58</f>
        <v>1150.07</v>
      </c>
      <c r="L58" s="457">
        <f t="shared" si="1"/>
        <v>945223.34</v>
      </c>
      <c r="M58" s="8">
        <f>+Données!F58</f>
        <v>2640</v>
      </c>
      <c r="N58" s="8">
        <f>+Données!K58</f>
        <v>-1278.5</v>
      </c>
      <c r="O58" s="8">
        <f>(Données!L58/Données!Y58)*1</f>
        <v>90714.25</v>
      </c>
      <c r="P58" s="457">
        <f t="shared" si="2"/>
        <v>1037299.09</v>
      </c>
      <c r="Q58" s="240">
        <f>+Données!X58</f>
        <v>76</v>
      </c>
      <c r="R58" s="457">
        <f t="shared" si="3"/>
        <v>13648.672236842105</v>
      </c>
    </row>
    <row r="59" spans="1:18" x14ac:dyDescent="0.25">
      <c r="A59" s="7">
        <f>Données!A59</f>
        <v>5492</v>
      </c>
      <c r="B59" s="27" t="str">
        <f>Données!B59</f>
        <v>Montricher</v>
      </c>
      <c r="C59" s="8">
        <f>Données!C59+Données!D59</f>
        <v>10797532.710000001</v>
      </c>
      <c r="D59" s="8">
        <f>+Données!G59+Données!H59+Données!S59</f>
        <v>68335.11</v>
      </c>
      <c r="E59" s="8">
        <f>+Données!E59</f>
        <v>0</v>
      </c>
      <c r="F59" s="8">
        <f>+Données!I59</f>
        <v>0</v>
      </c>
      <c r="G59" s="8">
        <f>+Données!J59</f>
        <v>111168.97</v>
      </c>
      <c r="H59" s="8">
        <f>Données!U59</f>
        <v>-11961.08</v>
      </c>
      <c r="I59" s="215">
        <f>Données!V59</f>
        <v>0</v>
      </c>
      <c r="J59" s="215">
        <f>Données!W59</f>
        <v>-3713.94</v>
      </c>
      <c r="K59" s="8">
        <f>+Données!Q59</f>
        <v>2782.2</v>
      </c>
      <c r="L59" s="457">
        <f t="shared" si="1"/>
        <v>10964143.970000001</v>
      </c>
      <c r="M59" s="8">
        <f>+Données!F59</f>
        <v>0</v>
      </c>
      <c r="N59" s="8">
        <f>+Données!K59</f>
        <v>3090.45</v>
      </c>
      <c r="O59" s="8">
        <f>(Données!L59/Données!Y59)*1</f>
        <v>249735.5</v>
      </c>
      <c r="P59" s="457">
        <f t="shared" si="2"/>
        <v>11216969.92</v>
      </c>
      <c r="Q59" s="240">
        <f>+Données!X59</f>
        <v>64</v>
      </c>
      <c r="R59" s="457">
        <f t="shared" si="3"/>
        <v>175265.155</v>
      </c>
    </row>
    <row r="60" spans="1:18" x14ac:dyDescent="0.25">
      <c r="A60" s="7">
        <f>Données!A60</f>
        <v>5493</v>
      </c>
      <c r="B60" s="27" t="str">
        <f>Données!B60</f>
        <v>Orny</v>
      </c>
      <c r="C60" s="8">
        <f>Données!C60+Données!D60</f>
        <v>894149.1</v>
      </c>
      <c r="D60" s="8">
        <f>+Données!G60+Données!H60+Données!S60</f>
        <v>7105.86</v>
      </c>
      <c r="E60" s="8">
        <f>+Données!E60</f>
        <v>0</v>
      </c>
      <c r="F60" s="8">
        <f>+Données!I60</f>
        <v>0</v>
      </c>
      <c r="G60" s="8">
        <f>+Données!J60</f>
        <v>6486.06</v>
      </c>
      <c r="H60" s="8">
        <f>Données!U60</f>
        <v>-9727.34</v>
      </c>
      <c r="I60" s="215">
        <f>Données!V60</f>
        <v>0</v>
      </c>
      <c r="J60" s="215">
        <f>Données!W60</f>
        <v>-296.35000000000002</v>
      </c>
      <c r="K60" s="8">
        <f>+Données!Q60</f>
        <v>2314.0100000000002</v>
      </c>
      <c r="L60" s="457">
        <f t="shared" si="1"/>
        <v>900031.34000000008</v>
      </c>
      <c r="M60" s="8">
        <f>+Données!F60</f>
        <v>0</v>
      </c>
      <c r="N60" s="8">
        <f>+Données!K60</f>
        <v>3388.55</v>
      </c>
      <c r="O60" s="8">
        <f>(Données!L60/Données!Y60)*1</f>
        <v>81324.230769230766</v>
      </c>
      <c r="P60" s="457">
        <f t="shared" si="2"/>
        <v>984744.12076923088</v>
      </c>
      <c r="Q60" s="240">
        <f>+Données!X60</f>
        <v>73</v>
      </c>
      <c r="R60" s="457">
        <f t="shared" si="3"/>
        <v>13489.645489989463</v>
      </c>
    </row>
    <row r="61" spans="1:18" x14ac:dyDescent="0.25">
      <c r="A61" s="7">
        <f>Données!A61</f>
        <v>5495</v>
      </c>
      <c r="B61" s="27" t="str">
        <f>Données!B61</f>
        <v>Penthalaz</v>
      </c>
      <c r="C61" s="8">
        <f>Données!C61+Données!D61</f>
        <v>6200907.3499999996</v>
      </c>
      <c r="D61" s="8">
        <f>+Données!G61+Données!H61+Données!S61</f>
        <v>158148.07</v>
      </c>
      <c r="E61" s="8">
        <f>+Données!E61</f>
        <v>0</v>
      </c>
      <c r="F61" s="8">
        <f>+Données!I61</f>
        <v>76501.600000000006</v>
      </c>
      <c r="G61" s="8">
        <f>+Données!J61</f>
        <v>145240.63</v>
      </c>
      <c r="H61" s="8">
        <f>Données!U61</f>
        <v>-132239.49</v>
      </c>
      <c r="I61" s="215">
        <f>Données!V61</f>
        <v>0</v>
      </c>
      <c r="J61" s="215">
        <f>Données!W61</f>
        <v>-1652.23</v>
      </c>
      <c r="K61" s="8">
        <f>+Données!Q61</f>
        <v>26975.93</v>
      </c>
      <c r="L61" s="457">
        <f t="shared" si="1"/>
        <v>6473881.8599999985</v>
      </c>
      <c r="M61" s="8">
        <f>+Données!F61</f>
        <v>0</v>
      </c>
      <c r="N61" s="8">
        <f>+Données!K61</f>
        <v>82139.850000000006</v>
      </c>
      <c r="O61" s="8">
        <f>(Données!L61/Données!Y61)*1</f>
        <v>496763.95</v>
      </c>
      <c r="P61" s="457">
        <f t="shared" si="2"/>
        <v>7052785.6599999983</v>
      </c>
      <c r="Q61" s="240">
        <f>+Données!X61</f>
        <v>74</v>
      </c>
      <c r="R61" s="457">
        <f t="shared" si="3"/>
        <v>95307.914324324302</v>
      </c>
    </row>
    <row r="62" spans="1:18" x14ac:dyDescent="0.25">
      <c r="A62" s="7">
        <f>Données!A62</f>
        <v>5496</v>
      </c>
      <c r="B62" s="27" t="str">
        <f>Données!B62</f>
        <v>Penthaz</v>
      </c>
      <c r="C62" s="8">
        <f>Données!C62+Données!D62</f>
        <v>3681922.24</v>
      </c>
      <c r="D62" s="8">
        <f>+Données!G62+Données!H62+Données!S62</f>
        <v>123957.93</v>
      </c>
      <c r="E62" s="8">
        <f>+Données!E62</f>
        <v>0</v>
      </c>
      <c r="F62" s="8">
        <f>+Données!I62</f>
        <v>0</v>
      </c>
      <c r="G62" s="8">
        <f>+Données!J62</f>
        <v>38286.129999999997</v>
      </c>
      <c r="H62" s="8">
        <f>Données!U62</f>
        <v>-766849.75</v>
      </c>
      <c r="I62" s="215">
        <f>Données!V62</f>
        <v>0</v>
      </c>
      <c r="J62" s="215">
        <f>Données!W62</f>
        <v>-170.96</v>
      </c>
      <c r="K62" s="8">
        <f>+Données!Q62</f>
        <v>465517.47</v>
      </c>
      <c r="L62" s="457">
        <f t="shared" si="1"/>
        <v>3542663.0600000005</v>
      </c>
      <c r="M62" s="8">
        <f>+Données!F62</f>
        <v>0</v>
      </c>
      <c r="N62" s="8">
        <f>+Données!K62</f>
        <v>18148.95</v>
      </c>
      <c r="O62" s="8">
        <f>(Données!L62/Données!Y62)*1</f>
        <v>349424.7</v>
      </c>
      <c r="P62" s="457">
        <f t="shared" si="2"/>
        <v>3910236.7100000009</v>
      </c>
      <c r="Q62" s="240">
        <f>+Données!X62</f>
        <v>69.5</v>
      </c>
      <c r="R62" s="457">
        <f t="shared" si="3"/>
        <v>56262.398705035986</v>
      </c>
    </row>
    <row r="63" spans="1:18" x14ac:dyDescent="0.25">
      <c r="A63" s="7">
        <f>Données!A63</f>
        <v>5497</v>
      </c>
      <c r="B63" s="27" t="str">
        <f>Données!B63</f>
        <v>Pompaples</v>
      </c>
      <c r="C63" s="8">
        <f>Données!C63+Données!D63</f>
        <v>1293920.31</v>
      </c>
      <c r="D63" s="8">
        <f>+Données!G63+Données!H63+Données!S63</f>
        <v>5989.92</v>
      </c>
      <c r="E63" s="8">
        <f>+Données!E63</f>
        <v>0</v>
      </c>
      <c r="F63" s="8">
        <f>+Données!I63</f>
        <v>0</v>
      </c>
      <c r="G63" s="8">
        <f>+Données!J63</f>
        <v>46697.02</v>
      </c>
      <c r="H63" s="8">
        <f>Données!U63</f>
        <v>-23118.81</v>
      </c>
      <c r="I63" s="215">
        <f>Données!V63</f>
        <v>0</v>
      </c>
      <c r="J63" s="215">
        <f>Données!W63</f>
        <v>-122.15</v>
      </c>
      <c r="K63" s="8">
        <f>+Données!Q63</f>
        <v>8088.05</v>
      </c>
      <c r="L63" s="457">
        <f t="shared" si="1"/>
        <v>1331454.3400000001</v>
      </c>
      <c r="M63" s="8">
        <f>+Données!F63</f>
        <v>0</v>
      </c>
      <c r="N63" s="8">
        <f>+Données!K63</f>
        <v>3863.6</v>
      </c>
      <c r="O63" s="8">
        <f>(Données!L63/Données!Y63)*1</f>
        <v>133394.5</v>
      </c>
      <c r="P63" s="457">
        <f t="shared" si="2"/>
        <v>1468712.4400000002</v>
      </c>
      <c r="Q63" s="240">
        <f>+Données!X63</f>
        <v>66</v>
      </c>
      <c r="R63" s="457">
        <f t="shared" si="3"/>
        <v>22253.218787878792</v>
      </c>
    </row>
    <row r="64" spans="1:18" x14ac:dyDescent="0.25">
      <c r="A64" s="7">
        <f>Données!A64</f>
        <v>5498</v>
      </c>
      <c r="B64" s="27" t="str">
        <f>Données!B64</f>
        <v>La Sarraz</v>
      </c>
      <c r="C64" s="8">
        <f>Données!C64+Données!D64</f>
        <v>4309360.63</v>
      </c>
      <c r="D64" s="8">
        <f>+Données!G64+Données!H64+Données!S64</f>
        <v>115688.02</v>
      </c>
      <c r="E64" s="8">
        <f>+Données!E64</f>
        <v>0</v>
      </c>
      <c r="F64" s="8">
        <f>+Données!I64</f>
        <v>0</v>
      </c>
      <c r="G64" s="8">
        <f>+Données!J64</f>
        <v>130280.65</v>
      </c>
      <c r="H64" s="8">
        <f>Données!U64</f>
        <v>-94105.54</v>
      </c>
      <c r="I64" s="215">
        <f>Données!V64</f>
        <v>0</v>
      </c>
      <c r="J64" s="215">
        <f>Données!W64</f>
        <v>-534.58000000000004</v>
      </c>
      <c r="K64" s="8">
        <f>+Données!Q64</f>
        <v>19513.57</v>
      </c>
      <c r="L64" s="457">
        <f t="shared" si="1"/>
        <v>4480202.75</v>
      </c>
      <c r="M64" s="8">
        <f>+Données!F64</f>
        <v>0</v>
      </c>
      <c r="N64" s="8">
        <f>+Données!K64</f>
        <v>36142.65</v>
      </c>
      <c r="O64" s="8">
        <f>(Données!L64/Données!Y64)*1</f>
        <v>412318.85</v>
      </c>
      <c r="P64" s="457">
        <f t="shared" si="2"/>
        <v>4928664.25</v>
      </c>
      <c r="Q64" s="240">
        <f>+Données!X64</f>
        <v>66</v>
      </c>
      <c r="R64" s="457">
        <f t="shared" si="3"/>
        <v>74676.731060606064</v>
      </c>
    </row>
    <row r="65" spans="1:18" x14ac:dyDescent="0.25">
      <c r="A65" s="7">
        <f>Données!A65</f>
        <v>5499</v>
      </c>
      <c r="B65" s="27" t="str">
        <f>Données!B65</f>
        <v>Senarclens</v>
      </c>
      <c r="C65" s="8">
        <f>Données!C65+Données!D65</f>
        <v>1103088.92</v>
      </c>
      <c r="D65" s="8">
        <f>+Données!G65+Données!H65+Données!S65</f>
        <v>31224.78</v>
      </c>
      <c r="E65" s="8">
        <f>+Données!E65</f>
        <v>0</v>
      </c>
      <c r="F65" s="8">
        <f>+Données!I65</f>
        <v>0</v>
      </c>
      <c r="G65" s="8">
        <f>+Données!J65</f>
        <v>18119.009999999998</v>
      </c>
      <c r="H65" s="8">
        <f>Données!U65</f>
        <v>-4300.05</v>
      </c>
      <c r="I65" s="215">
        <f>Données!V65</f>
        <v>0</v>
      </c>
      <c r="J65" s="215">
        <f>Données!W65</f>
        <v>-795.02</v>
      </c>
      <c r="K65" s="8">
        <f>+Données!Q65</f>
        <v>3622.18</v>
      </c>
      <c r="L65" s="457">
        <f t="shared" si="1"/>
        <v>1150959.8199999998</v>
      </c>
      <c r="M65" s="8">
        <f>+Données!F65</f>
        <v>0</v>
      </c>
      <c r="N65" s="8">
        <f>+Données!K65</f>
        <v>0</v>
      </c>
      <c r="O65" s="8">
        <f>(Données!L65/Données!Y65)*1</f>
        <v>98308.6</v>
      </c>
      <c r="P65" s="457">
        <f t="shared" si="2"/>
        <v>1249268.42</v>
      </c>
      <c r="Q65" s="240">
        <f>+Données!X65</f>
        <v>68.5</v>
      </c>
      <c r="R65" s="457">
        <f t="shared" si="3"/>
        <v>18237.495182481751</v>
      </c>
    </row>
    <row r="66" spans="1:18" x14ac:dyDescent="0.25">
      <c r="A66" s="7">
        <f>Données!A66</f>
        <v>5501</v>
      </c>
      <c r="B66" s="27" t="str">
        <f>Données!B66</f>
        <v>Sullens</v>
      </c>
      <c r="C66" s="8">
        <f>Données!C66+Données!D66</f>
        <v>2638989.94</v>
      </c>
      <c r="D66" s="8">
        <f>+Données!G66+Données!H66+Données!S66</f>
        <v>125858.07</v>
      </c>
      <c r="E66" s="8">
        <f>+Données!E66</f>
        <v>0</v>
      </c>
      <c r="F66" s="8">
        <f>+Données!I66</f>
        <v>0</v>
      </c>
      <c r="G66" s="8">
        <f>+Données!J66</f>
        <v>-15312.01</v>
      </c>
      <c r="H66" s="8">
        <f>Données!U66</f>
        <v>-18807.830000000002</v>
      </c>
      <c r="I66" s="215">
        <f>Données!V66</f>
        <v>0</v>
      </c>
      <c r="J66" s="215">
        <f>Données!W66</f>
        <v>-6767.46</v>
      </c>
      <c r="K66" s="8">
        <f>+Données!Q66</f>
        <v>149.38999999999999</v>
      </c>
      <c r="L66" s="457">
        <f t="shared" si="1"/>
        <v>2724110.1</v>
      </c>
      <c r="M66" s="8">
        <f>+Données!F66</f>
        <v>0</v>
      </c>
      <c r="N66" s="8">
        <f>+Données!K66</f>
        <v>0</v>
      </c>
      <c r="O66" s="8">
        <f>(Données!L66/Données!Y66)*1</f>
        <v>234399.4</v>
      </c>
      <c r="P66" s="457">
        <f t="shared" si="2"/>
        <v>2958509.5</v>
      </c>
      <c r="Q66" s="240">
        <f>+Données!X66</f>
        <v>68.5</v>
      </c>
      <c r="R66" s="457">
        <f t="shared" si="3"/>
        <v>43189.9197080292</v>
      </c>
    </row>
    <row r="67" spans="1:18" x14ac:dyDescent="0.25">
      <c r="A67" s="7">
        <f>Données!A67</f>
        <v>5503</v>
      </c>
      <c r="B67" s="27" t="str">
        <f>Données!B67</f>
        <v>Vufflens-la-Ville</v>
      </c>
      <c r="C67" s="8">
        <f>Données!C67+Données!D67</f>
        <v>4416780.83</v>
      </c>
      <c r="D67" s="8">
        <f>+Données!G67+Données!H67+Données!S67</f>
        <v>386970.49</v>
      </c>
      <c r="E67" s="8">
        <f>+Données!E67</f>
        <v>0</v>
      </c>
      <c r="F67" s="8">
        <f>+Données!I67</f>
        <v>0</v>
      </c>
      <c r="G67" s="8">
        <f>+Données!J67</f>
        <v>104703.15</v>
      </c>
      <c r="H67" s="8">
        <f>Données!U67</f>
        <v>-47973.53</v>
      </c>
      <c r="I67" s="215">
        <f>Données!V67</f>
        <v>0</v>
      </c>
      <c r="J67" s="215">
        <f>Données!W67</f>
        <v>-24815.29</v>
      </c>
      <c r="K67" s="8">
        <f>+Données!Q67</f>
        <v>1765.97</v>
      </c>
      <c r="L67" s="457">
        <f t="shared" si="1"/>
        <v>4837431.62</v>
      </c>
      <c r="M67" s="8">
        <f>+Données!F67</f>
        <v>0</v>
      </c>
      <c r="N67" s="8">
        <f>+Données!K67</f>
        <v>79251.8</v>
      </c>
      <c r="O67" s="8">
        <f>(Données!L67/Données!Y67)*1</f>
        <v>419512.66666666669</v>
      </c>
      <c r="P67" s="457">
        <f t="shared" si="2"/>
        <v>5336196.0866666669</v>
      </c>
      <c r="Q67" s="240">
        <f>+Données!X67</f>
        <v>67</v>
      </c>
      <c r="R67" s="457">
        <f t="shared" si="3"/>
        <v>79644.71771144279</v>
      </c>
    </row>
    <row r="68" spans="1:18" x14ac:dyDescent="0.25">
      <c r="A68" s="7">
        <f>Données!A68</f>
        <v>5511</v>
      </c>
      <c r="B68" s="27" t="str">
        <f>Données!B68</f>
        <v>Assens</v>
      </c>
      <c r="C68" s="8">
        <f>Données!C68+Données!D68</f>
        <v>4202893.95</v>
      </c>
      <c r="D68" s="8">
        <f>+Données!G68+Données!H68+Données!S68</f>
        <v>433327.1</v>
      </c>
      <c r="E68" s="8">
        <f>+Données!E68</f>
        <v>0</v>
      </c>
      <c r="F68" s="8">
        <f>+Données!I68</f>
        <v>0</v>
      </c>
      <c r="G68" s="8">
        <f>+Données!J68</f>
        <v>76305.59</v>
      </c>
      <c r="H68" s="8">
        <f>Données!U68</f>
        <v>-37630.479999999996</v>
      </c>
      <c r="I68" s="215">
        <f>Données!V68</f>
        <v>0</v>
      </c>
      <c r="J68" s="215">
        <f>Données!W68</f>
        <v>-233304.37</v>
      </c>
      <c r="K68" s="8">
        <f>+Données!Q68</f>
        <v>8446.89</v>
      </c>
      <c r="L68" s="457">
        <f t="shared" si="1"/>
        <v>4450038.6799999988</v>
      </c>
      <c r="M68" s="8">
        <f>+Données!F68</f>
        <v>0</v>
      </c>
      <c r="N68" s="8">
        <f>+Données!K68</f>
        <v>20380.8</v>
      </c>
      <c r="O68" s="8">
        <f>(Données!L68/Données!Y68)*1</f>
        <v>389156.19047619053</v>
      </c>
      <c r="P68" s="457">
        <f t="shared" si="2"/>
        <v>4859575.6704761889</v>
      </c>
      <c r="Q68" s="240">
        <f>+Données!X68</f>
        <v>69.36</v>
      </c>
      <c r="R68" s="457">
        <f t="shared" si="3"/>
        <v>70063.08636788046</v>
      </c>
    </row>
    <row r="69" spans="1:18" x14ac:dyDescent="0.25">
      <c r="A69" s="7">
        <f>Données!A69</f>
        <v>5512</v>
      </c>
      <c r="B69" s="27" t="str">
        <f>Données!B69</f>
        <v>Bercher</v>
      </c>
      <c r="C69" s="8">
        <f>Données!C69+Données!D69</f>
        <v>2842158.5199999996</v>
      </c>
      <c r="D69" s="8">
        <f>+Données!G69+Données!H69+Données!S69</f>
        <v>86929.94</v>
      </c>
      <c r="E69" s="8">
        <f>+Données!E69</f>
        <v>0</v>
      </c>
      <c r="F69" s="8">
        <f>+Données!I69</f>
        <v>0</v>
      </c>
      <c r="G69" s="8">
        <f>+Données!J69</f>
        <v>56775.6</v>
      </c>
      <c r="H69" s="8">
        <f>Données!U69</f>
        <v>-59212.84</v>
      </c>
      <c r="I69" s="215">
        <f>Données!V69</f>
        <v>0</v>
      </c>
      <c r="J69" s="215">
        <f>Données!W69</f>
        <v>-491.2</v>
      </c>
      <c r="K69" s="8">
        <f>+Données!Q69</f>
        <v>16132.58</v>
      </c>
      <c r="L69" s="457">
        <f t="shared" si="1"/>
        <v>2942292.5999999996</v>
      </c>
      <c r="M69" s="8">
        <f>+Données!F69</f>
        <v>0</v>
      </c>
      <c r="N69" s="8">
        <f>+Données!K69</f>
        <v>10795.6</v>
      </c>
      <c r="O69" s="8">
        <f>(Données!L69/Données!Y69)*1</f>
        <v>267009</v>
      </c>
      <c r="P69" s="457">
        <f t="shared" si="2"/>
        <v>3220097.1999999997</v>
      </c>
      <c r="Q69" s="240">
        <f>+Données!X69</f>
        <v>79</v>
      </c>
      <c r="R69" s="457">
        <f t="shared" si="3"/>
        <v>40760.724050632911</v>
      </c>
    </row>
    <row r="70" spans="1:18" x14ac:dyDescent="0.25">
      <c r="A70" s="7">
        <f>Données!A70</f>
        <v>5514</v>
      </c>
      <c r="B70" s="27" t="str">
        <f>Données!B70</f>
        <v>Bottens</v>
      </c>
      <c r="C70" s="8">
        <f>Données!C70+Données!D70</f>
        <v>2873494.97</v>
      </c>
      <c r="D70" s="8">
        <f>+Données!G70+Données!H70+Données!S70</f>
        <v>11165.52</v>
      </c>
      <c r="E70" s="8">
        <f>+Données!E70</f>
        <v>0</v>
      </c>
      <c r="F70" s="8">
        <f>+Données!I70</f>
        <v>41017.800000000003</v>
      </c>
      <c r="G70" s="8">
        <f>+Données!J70</f>
        <v>50858.18</v>
      </c>
      <c r="H70" s="8">
        <f>Données!U70</f>
        <v>-23602.05</v>
      </c>
      <c r="I70" s="215">
        <f>Données!V70</f>
        <v>0</v>
      </c>
      <c r="J70" s="215">
        <f>Données!W70</f>
        <v>-75.77</v>
      </c>
      <c r="K70" s="8">
        <f>+Données!Q70</f>
        <v>1638.86</v>
      </c>
      <c r="L70" s="457">
        <f t="shared" si="1"/>
        <v>2954497.5100000002</v>
      </c>
      <c r="M70" s="8">
        <f>+Données!F70</f>
        <v>0</v>
      </c>
      <c r="N70" s="8">
        <f>+Données!K70</f>
        <v>11340</v>
      </c>
      <c r="O70" s="8">
        <f>(Données!L70/Données!Y70)*1</f>
        <v>240325.6</v>
      </c>
      <c r="P70" s="457">
        <f t="shared" si="2"/>
        <v>3206163.1100000003</v>
      </c>
      <c r="Q70" s="240">
        <f>+Données!X70</f>
        <v>72.5</v>
      </c>
      <c r="R70" s="457">
        <f t="shared" si="3"/>
        <v>44222.939448275865</v>
      </c>
    </row>
    <row r="71" spans="1:18" x14ac:dyDescent="0.25">
      <c r="A71" s="7">
        <f>Données!A71</f>
        <v>5515</v>
      </c>
      <c r="B71" s="27" t="str">
        <f>Données!B71</f>
        <v>Bretigny-sur-Morrens</v>
      </c>
      <c r="C71" s="8">
        <f>Données!C71+Données!D71</f>
        <v>2296329.58</v>
      </c>
      <c r="D71" s="8">
        <f>+Données!G71+Données!H71+Données!S71</f>
        <v>25939.82</v>
      </c>
      <c r="E71" s="8">
        <f>+Données!E71</f>
        <v>0</v>
      </c>
      <c r="F71" s="8">
        <f>+Données!I71</f>
        <v>0</v>
      </c>
      <c r="G71" s="8">
        <f>+Données!J71</f>
        <v>32009.33</v>
      </c>
      <c r="H71" s="8">
        <f>Données!U71</f>
        <v>-22673.65</v>
      </c>
      <c r="I71" s="215">
        <f>Données!V71</f>
        <v>0</v>
      </c>
      <c r="J71" s="215">
        <f>Données!W71</f>
        <v>-48.95</v>
      </c>
      <c r="K71" s="8">
        <f>+Données!Q71</f>
        <v>509.96</v>
      </c>
      <c r="L71" s="457">
        <f t="shared" ref="L71:L134" si="4">SUM(C71:K71)</f>
        <v>2332066.09</v>
      </c>
      <c r="M71" s="8">
        <f>+Données!F71</f>
        <v>0</v>
      </c>
      <c r="N71" s="8">
        <f>+Données!K71</f>
        <v>12821.05</v>
      </c>
      <c r="O71" s="8">
        <f>(Données!L71/Données!Y71)*1</f>
        <v>178237.15</v>
      </c>
      <c r="P71" s="457">
        <f t="shared" ref="P71:P134" si="5">SUM(L71:O71)</f>
        <v>2523124.2899999996</v>
      </c>
      <c r="Q71" s="240">
        <f>+Données!X71</f>
        <v>78</v>
      </c>
      <c r="R71" s="457">
        <f t="shared" ref="R71:R134" si="6">P71/Q71</f>
        <v>32347.747307692302</v>
      </c>
    </row>
    <row r="72" spans="1:18" x14ac:dyDescent="0.25">
      <c r="A72" s="7">
        <f>Données!A72</f>
        <v>5516</v>
      </c>
      <c r="B72" s="27" t="str">
        <f>Données!B72</f>
        <v>Cugy</v>
      </c>
      <c r="C72" s="8">
        <f>Données!C72+Données!D72</f>
        <v>7749736.7199999997</v>
      </c>
      <c r="D72" s="8">
        <f>+Données!G72+Données!H72+Données!S72</f>
        <v>222427.80000000002</v>
      </c>
      <c r="E72" s="8">
        <f>+Données!E72</f>
        <v>0</v>
      </c>
      <c r="F72" s="8">
        <f>+Données!I72</f>
        <v>82048.100000000006</v>
      </c>
      <c r="G72" s="8">
        <f>+Données!J72</f>
        <v>103872.75</v>
      </c>
      <c r="H72" s="8">
        <f>Données!U72</f>
        <v>-83943.7</v>
      </c>
      <c r="I72" s="215">
        <f>Données!V72</f>
        <v>0</v>
      </c>
      <c r="J72" s="215">
        <f>Données!W72</f>
        <v>-2859.82</v>
      </c>
      <c r="K72" s="8">
        <f>+Données!Q72</f>
        <v>9516.2199999999993</v>
      </c>
      <c r="L72" s="457">
        <f t="shared" si="4"/>
        <v>8080798.0699999984</v>
      </c>
      <c r="M72" s="8">
        <f>+Données!F72</f>
        <v>0</v>
      </c>
      <c r="N72" s="8">
        <f>+Données!K72</f>
        <v>26325.5</v>
      </c>
      <c r="O72" s="8">
        <f>(Données!L72/Données!Y72)*1</f>
        <v>597372.375</v>
      </c>
      <c r="P72" s="457">
        <f t="shared" si="5"/>
        <v>8704495.9449999984</v>
      </c>
      <c r="Q72" s="240">
        <f>+Données!X72</f>
        <v>78</v>
      </c>
      <c r="R72" s="457">
        <f t="shared" si="6"/>
        <v>111596.10185897433</v>
      </c>
    </row>
    <row r="73" spans="1:18" x14ac:dyDescent="0.25">
      <c r="A73" s="7">
        <f>Données!A73</f>
        <v>5518</v>
      </c>
      <c r="B73" s="27" t="str">
        <f>Données!B73</f>
        <v>Echallens</v>
      </c>
      <c r="C73" s="8">
        <f>Données!C73+Données!D73</f>
        <v>11551913.399999999</v>
      </c>
      <c r="D73" s="8">
        <f>+Données!G73+Données!H73+Données!S73</f>
        <v>507098.61000000004</v>
      </c>
      <c r="E73" s="8">
        <f>+Données!E73</f>
        <v>0</v>
      </c>
      <c r="F73" s="8">
        <f>+Données!I73</f>
        <v>0</v>
      </c>
      <c r="G73" s="8">
        <f>+Données!J73</f>
        <v>149018.43</v>
      </c>
      <c r="H73" s="8">
        <f>Données!U73</f>
        <v>-144405.91</v>
      </c>
      <c r="I73" s="215">
        <f>Données!V73</f>
        <v>0</v>
      </c>
      <c r="J73" s="215">
        <f>Données!W73</f>
        <v>-4657.82</v>
      </c>
      <c r="K73" s="8">
        <f>+Données!Q73</f>
        <v>36285.79</v>
      </c>
      <c r="L73" s="457">
        <f t="shared" si="4"/>
        <v>12095252.499999996</v>
      </c>
      <c r="M73" s="8">
        <f>+Données!F73</f>
        <v>0</v>
      </c>
      <c r="N73" s="8">
        <f>+Données!K73</f>
        <v>70964.3</v>
      </c>
      <c r="O73" s="8">
        <f>(Données!L73/Données!Y73)*1</f>
        <v>1101927.8500000001</v>
      </c>
      <c r="P73" s="457">
        <f t="shared" si="5"/>
        <v>13268144.649999997</v>
      </c>
      <c r="Q73" s="240">
        <f>+Données!X73</f>
        <v>72.5</v>
      </c>
      <c r="R73" s="457">
        <f t="shared" si="6"/>
        <v>183008.89172413788</v>
      </c>
    </row>
    <row r="74" spans="1:18" x14ac:dyDescent="0.25">
      <c r="A74" s="7">
        <f>Données!A74</f>
        <v>5520</v>
      </c>
      <c r="B74" s="27" t="str">
        <f>Données!B74</f>
        <v>Essertines-sur-Yverdon</v>
      </c>
      <c r="C74" s="8">
        <f>Données!C74+Données!D74</f>
        <v>2081625.6300000001</v>
      </c>
      <c r="D74" s="8">
        <f>+Données!G74+Données!H74+Données!S74</f>
        <v>30122.94</v>
      </c>
      <c r="E74" s="8">
        <f>+Données!E74</f>
        <v>0</v>
      </c>
      <c r="F74" s="8">
        <f>+Données!I74</f>
        <v>0</v>
      </c>
      <c r="G74" s="8">
        <f>+Données!J74</f>
        <v>24016.799999999999</v>
      </c>
      <c r="H74" s="8">
        <f>Données!U74</f>
        <v>-50287.94</v>
      </c>
      <c r="I74" s="215">
        <f>Données!V74</f>
        <v>0</v>
      </c>
      <c r="J74" s="215">
        <f>Données!W74</f>
        <v>-147.56</v>
      </c>
      <c r="K74" s="8">
        <f>+Données!Q74</f>
        <v>26731.01</v>
      </c>
      <c r="L74" s="457">
        <f t="shared" si="4"/>
        <v>2112060.88</v>
      </c>
      <c r="M74" s="8">
        <f>+Données!F74</f>
        <v>0</v>
      </c>
      <c r="N74" s="8">
        <f>+Données!K74</f>
        <v>5999.75</v>
      </c>
      <c r="O74" s="8">
        <f>(Données!L74/Données!Y74)*1</f>
        <v>195705.3</v>
      </c>
      <c r="P74" s="457">
        <f t="shared" si="5"/>
        <v>2313765.9299999997</v>
      </c>
      <c r="Q74" s="240">
        <f>+Données!X74</f>
        <v>73</v>
      </c>
      <c r="R74" s="457">
        <f t="shared" si="6"/>
        <v>31695.423698630133</v>
      </c>
    </row>
    <row r="75" spans="1:18" x14ac:dyDescent="0.25">
      <c r="A75" s="7">
        <f>Données!A75</f>
        <v>5521</v>
      </c>
      <c r="B75" s="27" t="str">
        <f>Données!B75</f>
        <v>Etagnières</v>
      </c>
      <c r="C75" s="8">
        <f>Données!C75+Données!D75</f>
        <v>2600178.6999999997</v>
      </c>
      <c r="D75" s="8">
        <f>+Données!G75+Données!H75+Données!S75</f>
        <v>189062.04</v>
      </c>
      <c r="E75" s="8">
        <f>+Données!E75</f>
        <v>0</v>
      </c>
      <c r="F75" s="8">
        <f>+Données!I75</f>
        <v>0</v>
      </c>
      <c r="G75" s="8">
        <f>+Données!J75</f>
        <v>64995.76</v>
      </c>
      <c r="H75" s="8">
        <f>Données!U75</f>
        <v>-48097.07</v>
      </c>
      <c r="I75" s="215">
        <f>Données!V75</f>
        <v>0</v>
      </c>
      <c r="J75" s="215">
        <f>Données!W75</f>
        <v>-1329.45</v>
      </c>
      <c r="K75" s="8">
        <f>+Données!Q75</f>
        <v>25334.83</v>
      </c>
      <c r="L75" s="457">
        <f t="shared" si="4"/>
        <v>2830144.8099999996</v>
      </c>
      <c r="M75" s="8">
        <f>+Données!F75</f>
        <v>0</v>
      </c>
      <c r="N75" s="8">
        <f>+Données!K75</f>
        <v>17341.25</v>
      </c>
      <c r="O75" s="8">
        <f>(Données!L75/Données!Y75)*1</f>
        <v>265040.45</v>
      </c>
      <c r="P75" s="457">
        <f t="shared" si="5"/>
        <v>3112526.51</v>
      </c>
      <c r="Q75" s="240">
        <f>+Données!X75</f>
        <v>73</v>
      </c>
      <c r="R75" s="457">
        <f t="shared" si="6"/>
        <v>42637.34945205479</v>
      </c>
    </row>
    <row r="76" spans="1:18" x14ac:dyDescent="0.25">
      <c r="A76" s="7">
        <f>Données!A76</f>
        <v>5522</v>
      </c>
      <c r="B76" s="27" t="str">
        <f>Données!B76</f>
        <v>Fey</v>
      </c>
      <c r="C76" s="8">
        <f>Données!C76+Données!D76</f>
        <v>1603806.68</v>
      </c>
      <c r="D76" s="8">
        <f>+Données!G76+Données!H76+Données!S76</f>
        <v>21487.620000000003</v>
      </c>
      <c r="E76" s="8">
        <f>+Données!E76</f>
        <v>0</v>
      </c>
      <c r="F76" s="8">
        <f>+Données!I76</f>
        <v>0</v>
      </c>
      <c r="G76" s="8">
        <f>+Données!J76</f>
        <v>9160.84</v>
      </c>
      <c r="H76" s="8">
        <f>Données!U76</f>
        <v>-4006.55</v>
      </c>
      <c r="I76" s="215">
        <f>Données!V76</f>
        <v>0</v>
      </c>
      <c r="J76" s="215">
        <f>Données!W76</f>
        <v>-45.25</v>
      </c>
      <c r="K76" s="8">
        <f>+Données!Q76</f>
        <v>15815.26</v>
      </c>
      <c r="L76" s="457">
        <f t="shared" si="4"/>
        <v>1646218.6</v>
      </c>
      <c r="M76" s="8">
        <f>+Données!F76</f>
        <v>0</v>
      </c>
      <c r="N76" s="8">
        <f>+Données!K76</f>
        <v>4017.55</v>
      </c>
      <c r="O76" s="8">
        <f>(Données!L76/Données!Y76)*1</f>
        <v>144022.39999999999</v>
      </c>
      <c r="P76" s="457">
        <f t="shared" si="5"/>
        <v>1794258.55</v>
      </c>
      <c r="Q76" s="240">
        <f>+Données!X76</f>
        <v>75</v>
      </c>
      <c r="R76" s="457">
        <f t="shared" si="6"/>
        <v>23923.447333333334</v>
      </c>
    </row>
    <row r="77" spans="1:18" x14ac:dyDescent="0.25">
      <c r="A77" s="7">
        <f>Données!A77</f>
        <v>5523</v>
      </c>
      <c r="B77" s="27" t="str">
        <f>Données!B77</f>
        <v>Froideville</v>
      </c>
      <c r="C77" s="8">
        <f>Données!C77+Données!D77</f>
        <v>6024252.0999999996</v>
      </c>
      <c r="D77" s="8">
        <f>+Données!G77+Données!H77+Données!S77</f>
        <v>122908.36</v>
      </c>
      <c r="E77" s="8">
        <f>+Données!E77</f>
        <v>0</v>
      </c>
      <c r="F77" s="8">
        <f>+Données!I77</f>
        <v>0</v>
      </c>
      <c r="G77" s="8">
        <f>+Données!J77</f>
        <v>78967.53</v>
      </c>
      <c r="H77" s="8">
        <f>Données!U77</f>
        <v>-63743.97</v>
      </c>
      <c r="I77" s="215">
        <f>Données!V77</f>
        <v>0</v>
      </c>
      <c r="J77" s="215">
        <f>Données!W77</f>
        <v>-1275.46</v>
      </c>
      <c r="K77" s="8">
        <f>+Données!Q77</f>
        <v>11243</v>
      </c>
      <c r="L77" s="457">
        <f t="shared" si="4"/>
        <v>6172351.5600000005</v>
      </c>
      <c r="M77" s="8">
        <f>+Données!F77</f>
        <v>15640</v>
      </c>
      <c r="N77" s="8">
        <f>+Données!K77</f>
        <v>29608.05</v>
      </c>
      <c r="O77" s="8">
        <f>(Données!L77/Données!Y77)*1</f>
        <v>531378.64</v>
      </c>
      <c r="P77" s="457">
        <f t="shared" si="5"/>
        <v>6748978.25</v>
      </c>
      <c r="Q77" s="240">
        <f>+Données!X77</f>
        <v>72</v>
      </c>
      <c r="R77" s="457">
        <f t="shared" si="6"/>
        <v>93735.809027777781</v>
      </c>
    </row>
    <row r="78" spans="1:18" x14ac:dyDescent="0.25">
      <c r="A78" s="7">
        <f>Données!A78</f>
        <v>5527</v>
      </c>
      <c r="B78" s="27" t="str">
        <f>Données!B78</f>
        <v>Morrens</v>
      </c>
      <c r="C78" s="8">
        <f>Données!C78+Données!D78</f>
        <v>2656696.2199999997</v>
      </c>
      <c r="D78" s="8">
        <f>+Données!G78+Données!H78+Données!S78</f>
        <v>6413.11</v>
      </c>
      <c r="E78" s="8">
        <f>+Données!E78</f>
        <v>0</v>
      </c>
      <c r="F78" s="8">
        <f>+Données!I78</f>
        <v>0</v>
      </c>
      <c r="G78" s="8">
        <f>+Données!J78</f>
        <v>33555.919999999998</v>
      </c>
      <c r="H78" s="8">
        <f>Données!U78</f>
        <v>-29012.71</v>
      </c>
      <c r="I78" s="215">
        <f>Données!V78</f>
        <v>0</v>
      </c>
      <c r="J78" s="215">
        <f>Données!W78</f>
        <v>-111</v>
      </c>
      <c r="K78" s="8">
        <f>+Données!Q78</f>
        <v>432.99</v>
      </c>
      <c r="L78" s="457">
        <f t="shared" si="4"/>
        <v>2667974.5299999998</v>
      </c>
      <c r="M78" s="8">
        <f>+Données!F78</f>
        <v>0</v>
      </c>
      <c r="N78" s="8">
        <f>+Données!K78</f>
        <v>-2491.75</v>
      </c>
      <c r="O78" s="8">
        <f>(Données!L78/Données!Y78)*1</f>
        <v>243459.75</v>
      </c>
      <c r="P78" s="457">
        <f t="shared" si="5"/>
        <v>2908942.53</v>
      </c>
      <c r="Q78" s="240">
        <f>+Données!X78</f>
        <v>74</v>
      </c>
      <c r="R78" s="457">
        <f t="shared" si="6"/>
        <v>39310.034189189188</v>
      </c>
    </row>
    <row r="79" spans="1:18" x14ac:dyDescent="0.25">
      <c r="A79" s="7">
        <f>Données!A79</f>
        <v>5529</v>
      </c>
      <c r="B79" s="27" t="str">
        <f>Données!B79</f>
        <v>Oulens-sous-Echallens</v>
      </c>
      <c r="C79" s="8">
        <f>Données!C79+Données!D79</f>
        <v>1344002.45</v>
      </c>
      <c r="D79" s="8">
        <f>+Données!G79+Données!H79+Données!S79</f>
        <v>3585.31</v>
      </c>
      <c r="E79" s="8">
        <f>+Données!E79</f>
        <v>0</v>
      </c>
      <c r="F79" s="8">
        <f>+Données!I79</f>
        <v>0</v>
      </c>
      <c r="G79" s="8">
        <f>+Données!J79</f>
        <v>20148.03</v>
      </c>
      <c r="H79" s="8">
        <f>Données!U79</f>
        <v>-17823.47</v>
      </c>
      <c r="I79" s="215">
        <f>Données!V79</f>
        <v>0</v>
      </c>
      <c r="J79" s="215">
        <f>Données!W79</f>
        <v>-28.32</v>
      </c>
      <c r="K79" s="8">
        <f>+Données!Q79</f>
        <v>0</v>
      </c>
      <c r="L79" s="457">
        <f t="shared" si="4"/>
        <v>1349884</v>
      </c>
      <c r="M79" s="8">
        <f>+Données!F79</f>
        <v>0</v>
      </c>
      <c r="N79" s="8">
        <f>+Données!K79</f>
        <v>3248.55</v>
      </c>
      <c r="O79" s="8">
        <f>(Données!L79/Données!Y79)*1</f>
        <v>128212.6</v>
      </c>
      <c r="P79" s="457">
        <f t="shared" si="5"/>
        <v>1481345.1500000001</v>
      </c>
      <c r="Q79" s="240">
        <f>+Données!X79</f>
        <v>70</v>
      </c>
      <c r="R79" s="457">
        <f t="shared" si="6"/>
        <v>21162.073571428573</v>
      </c>
    </row>
    <row r="80" spans="1:18" x14ac:dyDescent="0.25">
      <c r="A80" s="7">
        <f>Données!A80</f>
        <v>5530</v>
      </c>
      <c r="B80" s="27" t="str">
        <f>Données!B80</f>
        <v>Pailly</v>
      </c>
      <c r="C80" s="8">
        <f>Données!C80+Données!D80</f>
        <v>1361314.42</v>
      </c>
      <c r="D80" s="8">
        <f>+Données!G80+Données!H80+Données!S80</f>
        <v>-1681.15</v>
      </c>
      <c r="E80" s="8">
        <f>+Données!E80</f>
        <v>0</v>
      </c>
      <c r="F80" s="8">
        <f>+Données!I80</f>
        <v>0</v>
      </c>
      <c r="G80" s="8">
        <f>+Données!J80</f>
        <v>12489.9</v>
      </c>
      <c r="H80" s="8">
        <f>Données!U80</f>
        <v>-16302.61</v>
      </c>
      <c r="I80" s="215">
        <f>Données!V80</f>
        <v>0</v>
      </c>
      <c r="J80" s="215">
        <f>Données!W80</f>
        <v>-90.34</v>
      </c>
      <c r="K80" s="8">
        <f>+Données!Q80</f>
        <v>0</v>
      </c>
      <c r="L80" s="457">
        <f t="shared" si="4"/>
        <v>1355730.2199999997</v>
      </c>
      <c r="M80" s="8">
        <f>+Données!F80</f>
        <v>0</v>
      </c>
      <c r="N80" s="8">
        <f>+Données!K80</f>
        <v>847.5</v>
      </c>
      <c r="O80" s="8">
        <f>(Données!L80/Données!Y80)*1</f>
        <v>110858.04166666667</v>
      </c>
      <c r="P80" s="457">
        <f t="shared" si="5"/>
        <v>1467435.7616666665</v>
      </c>
      <c r="Q80" s="240">
        <f>+Données!X80</f>
        <v>76</v>
      </c>
      <c r="R80" s="457">
        <f t="shared" si="6"/>
        <v>19308.365285087715</v>
      </c>
    </row>
    <row r="81" spans="1:18" x14ac:dyDescent="0.25">
      <c r="A81" s="7">
        <f>Données!A81</f>
        <v>5531</v>
      </c>
      <c r="B81" s="27" t="str">
        <f>Données!B81</f>
        <v>Penthéréaz</v>
      </c>
      <c r="C81" s="8">
        <f>Données!C81+Données!D81</f>
        <v>951279.59</v>
      </c>
      <c r="D81" s="8">
        <f>+Données!G81+Données!H81+Données!S81</f>
        <v>7099.54</v>
      </c>
      <c r="E81" s="8">
        <f>+Données!E81</f>
        <v>0</v>
      </c>
      <c r="F81" s="8">
        <f>+Données!I81</f>
        <v>0</v>
      </c>
      <c r="G81" s="8">
        <f>+Données!J81</f>
        <v>16344.72</v>
      </c>
      <c r="H81" s="8">
        <f>Données!U81</f>
        <v>-984.26</v>
      </c>
      <c r="I81" s="215">
        <f>Données!V81</f>
        <v>0</v>
      </c>
      <c r="J81" s="215">
        <f>Données!W81</f>
        <v>-118.71</v>
      </c>
      <c r="K81" s="8">
        <f>+Données!Q81</f>
        <v>469.37</v>
      </c>
      <c r="L81" s="457">
        <f t="shared" si="4"/>
        <v>974090.25</v>
      </c>
      <c r="M81" s="8">
        <f>+Données!F81</f>
        <v>0</v>
      </c>
      <c r="N81" s="8">
        <f>+Données!K81</f>
        <v>1130.3</v>
      </c>
      <c r="O81" s="8">
        <f>(Données!L81/Données!Y81)*1</f>
        <v>83018</v>
      </c>
      <c r="P81" s="457">
        <f t="shared" si="5"/>
        <v>1058238.55</v>
      </c>
      <c r="Q81" s="240">
        <f>+Données!X81</f>
        <v>74</v>
      </c>
      <c r="R81" s="457">
        <f t="shared" si="6"/>
        <v>14300.520945945947</v>
      </c>
    </row>
    <row r="82" spans="1:18" x14ac:dyDescent="0.25">
      <c r="A82" s="7">
        <f>Données!A82</f>
        <v>5533</v>
      </c>
      <c r="B82" s="27" t="str">
        <f>Données!B82</f>
        <v>Poliez-Pittet</v>
      </c>
      <c r="C82" s="8">
        <f>Données!C82+Données!D82</f>
        <v>1728508.7</v>
      </c>
      <c r="D82" s="8">
        <f>+Données!G82+Données!H82+Données!S82</f>
        <v>148657.72999999998</v>
      </c>
      <c r="E82" s="8">
        <f>+Données!E82</f>
        <v>0</v>
      </c>
      <c r="F82" s="8">
        <f>+Données!I82</f>
        <v>0</v>
      </c>
      <c r="G82" s="8">
        <f>+Données!J82</f>
        <v>2679.43</v>
      </c>
      <c r="H82" s="8">
        <f>Données!U82</f>
        <v>-30247.360000000001</v>
      </c>
      <c r="I82" s="215">
        <f>Données!V82</f>
        <v>0</v>
      </c>
      <c r="J82" s="215">
        <f>Données!W82</f>
        <v>-170.62</v>
      </c>
      <c r="K82" s="8">
        <f>+Données!Q82</f>
        <v>1153.5</v>
      </c>
      <c r="L82" s="457">
        <f t="shared" si="4"/>
        <v>1850581.3799999997</v>
      </c>
      <c r="M82" s="8">
        <f>+Données!F82</f>
        <v>0</v>
      </c>
      <c r="N82" s="8">
        <f>+Données!K82</f>
        <v>10363.25</v>
      </c>
      <c r="O82" s="8">
        <f>(Données!L82/Données!Y82)*1</f>
        <v>146244.20000000001</v>
      </c>
      <c r="P82" s="457">
        <f t="shared" si="5"/>
        <v>2007188.8299999996</v>
      </c>
      <c r="Q82" s="240">
        <f>+Données!X82</f>
        <v>73</v>
      </c>
      <c r="R82" s="457">
        <f t="shared" si="6"/>
        <v>27495.737397260269</v>
      </c>
    </row>
    <row r="83" spans="1:18" x14ac:dyDescent="0.25">
      <c r="A83" s="7">
        <f>Données!A83</f>
        <v>5534</v>
      </c>
      <c r="B83" s="27" t="str">
        <f>Données!B83</f>
        <v>Rueyres</v>
      </c>
      <c r="C83" s="8">
        <f>Données!C83+Données!D83</f>
        <v>676081.73</v>
      </c>
      <c r="D83" s="8">
        <f>+Données!G83+Données!H83+Données!S83</f>
        <v>189017.86000000002</v>
      </c>
      <c r="E83" s="8">
        <f>+Données!E83</f>
        <v>0</v>
      </c>
      <c r="F83" s="8">
        <f>+Données!I83</f>
        <v>0</v>
      </c>
      <c r="G83" s="8">
        <f>+Données!J83</f>
        <v>16118.93</v>
      </c>
      <c r="H83" s="8">
        <f>Données!U83</f>
        <v>-9983.39</v>
      </c>
      <c r="I83" s="215">
        <f>Données!V83</f>
        <v>0</v>
      </c>
      <c r="J83" s="215">
        <f>Données!W83</f>
        <v>-7.73</v>
      </c>
      <c r="K83" s="8">
        <f>+Données!Q83</f>
        <v>3702.83</v>
      </c>
      <c r="L83" s="457">
        <f t="shared" si="4"/>
        <v>874930.23</v>
      </c>
      <c r="M83" s="8">
        <f>+Données!F83</f>
        <v>0</v>
      </c>
      <c r="N83" s="8">
        <f>+Données!K83</f>
        <v>907</v>
      </c>
      <c r="O83" s="8">
        <f>(Données!L83/Données!Y83)*1</f>
        <v>80388.916666666672</v>
      </c>
      <c r="P83" s="457">
        <f t="shared" si="5"/>
        <v>956226.14666666661</v>
      </c>
      <c r="Q83" s="240">
        <f>+Données!X83</f>
        <v>73</v>
      </c>
      <c r="R83" s="457">
        <f t="shared" si="6"/>
        <v>13098.988310502282</v>
      </c>
    </row>
    <row r="84" spans="1:18" x14ac:dyDescent="0.25">
      <c r="A84" s="7">
        <f>Données!A84</f>
        <v>5535</v>
      </c>
      <c r="B84" s="27" t="str">
        <f>Données!B84</f>
        <v>Saint-Barthélemy</v>
      </c>
      <c r="C84" s="8">
        <f>Données!C84+Données!D84</f>
        <v>1707805.1099999999</v>
      </c>
      <c r="D84" s="8">
        <f>+Données!G84+Données!H84+Données!S84</f>
        <v>6809.98</v>
      </c>
      <c r="E84" s="8">
        <f>+Données!E84</f>
        <v>0</v>
      </c>
      <c r="F84" s="8">
        <f>+Données!I84</f>
        <v>0</v>
      </c>
      <c r="G84" s="8">
        <f>+Données!J84</f>
        <v>24603.42</v>
      </c>
      <c r="H84" s="8">
        <f>Données!U84</f>
        <v>-16801.96</v>
      </c>
      <c r="I84" s="215">
        <f>Données!V84</f>
        <v>0</v>
      </c>
      <c r="J84" s="215">
        <f>Données!W84</f>
        <v>-48.07</v>
      </c>
      <c r="K84" s="8">
        <f>+Données!Q84</f>
        <v>8960.16</v>
      </c>
      <c r="L84" s="457">
        <f t="shared" si="4"/>
        <v>1731328.6399999997</v>
      </c>
      <c r="M84" s="8">
        <f>+Données!F84</f>
        <v>0</v>
      </c>
      <c r="N84" s="8">
        <f>+Données!K84</f>
        <v>1575.8</v>
      </c>
      <c r="O84" s="8">
        <f>(Données!L84/Données!Y84)*1</f>
        <v>148098.4</v>
      </c>
      <c r="P84" s="457">
        <f t="shared" si="5"/>
        <v>1881002.8399999996</v>
      </c>
      <c r="Q84" s="240">
        <f>+Données!X84</f>
        <v>75</v>
      </c>
      <c r="R84" s="457">
        <f t="shared" si="6"/>
        <v>25080.037866666662</v>
      </c>
    </row>
    <row r="85" spans="1:18" x14ac:dyDescent="0.25">
      <c r="A85" s="7">
        <f>Données!A85</f>
        <v>5537</v>
      </c>
      <c r="B85" s="27" t="str">
        <f>Données!B85</f>
        <v>Villars-le-Terroir</v>
      </c>
      <c r="C85" s="8">
        <f>Données!C85+Données!D85</f>
        <v>3026329.73</v>
      </c>
      <c r="D85" s="8">
        <f>+Données!G85+Données!H85+Données!S85</f>
        <v>17329.57</v>
      </c>
      <c r="E85" s="8">
        <f>+Données!E85</f>
        <v>0</v>
      </c>
      <c r="F85" s="8">
        <f>+Données!I85</f>
        <v>0</v>
      </c>
      <c r="G85" s="8">
        <f>+Données!J85</f>
        <v>20564.37</v>
      </c>
      <c r="H85" s="8">
        <f>Données!U85</f>
        <v>-64205.39</v>
      </c>
      <c r="I85" s="215">
        <f>Données!V85</f>
        <v>0</v>
      </c>
      <c r="J85" s="215">
        <f>Données!W85</f>
        <v>-100.48</v>
      </c>
      <c r="K85" s="8">
        <f>+Données!Q85</f>
        <v>9549.9500000000007</v>
      </c>
      <c r="L85" s="457">
        <f t="shared" si="4"/>
        <v>3009467.75</v>
      </c>
      <c r="M85" s="8">
        <f>+Données!F85</f>
        <v>7390</v>
      </c>
      <c r="N85" s="8">
        <f>+Données!K85</f>
        <v>3191.5</v>
      </c>
      <c r="O85" s="8">
        <f>(Données!L85/Données!Y85)*1</f>
        <v>241651.20000000001</v>
      </c>
      <c r="P85" s="457">
        <f t="shared" si="5"/>
        <v>3261700.45</v>
      </c>
      <c r="Q85" s="240">
        <f>+Données!X85</f>
        <v>76</v>
      </c>
      <c r="R85" s="457">
        <f t="shared" si="6"/>
        <v>42917.111184210531</v>
      </c>
    </row>
    <row r="86" spans="1:18" x14ac:dyDescent="0.25">
      <c r="A86" s="7">
        <f>Données!A86</f>
        <v>5539</v>
      </c>
      <c r="B86" s="27" t="str">
        <f>Données!B86</f>
        <v>Vuarrens</v>
      </c>
      <c r="C86" s="8">
        <f>Données!C86+Données!D86</f>
        <v>2253974.0499999998</v>
      </c>
      <c r="D86" s="8">
        <f>+Données!G86+Données!H86+Données!S86</f>
        <v>28790.31</v>
      </c>
      <c r="E86" s="8">
        <f>+Données!E86</f>
        <v>0</v>
      </c>
      <c r="F86" s="8">
        <f>+Données!I86</f>
        <v>0</v>
      </c>
      <c r="G86" s="8">
        <f>+Données!J86</f>
        <v>29378.59</v>
      </c>
      <c r="H86" s="8">
        <f>Données!U86</f>
        <v>-30262.43</v>
      </c>
      <c r="I86" s="215">
        <f>Données!V86</f>
        <v>0</v>
      </c>
      <c r="J86" s="215">
        <f>Données!W86</f>
        <v>-64.599999999999994</v>
      </c>
      <c r="K86" s="8">
        <f>+Données!Q86</f>
        <v>58365.03</v>
      </c>
      <c r="L86" s="457">
        <f t="shared" si="4"/>
        <v>2340180.9499999993</v>
      </c>
      <c r="M86" s="8">
        <f>+Données!F86</f>
        <v>0</v>
      </c>
      <c r="N86" s="8">
        <f>+Données!K86</f>
        <v>4278.3</v>
      </c>
      <c r="O86" s="8">
        <f>(Données!L86/Données!Y86)*1</f>
        <v>195468.25</v>
      </c>
      <c r="P86" s="457">
        <f t="shared" si="5"/>
        <v>2539927.4999999991</v>
      </c>
      <c r="Q86" s="240">
        <f>+Données!X86</f>
        <v>73.5</v>
      </c>
      <c r="R86" s="457">
        <f t="shared" si="6"/>
        <v>34556.836734693868</v>
      </c>
    </row>
    <row r="87" spans="1:18" x14ac:dyDescent="0.25">
      <c r="A87" s="7">
        <f>Données!A87</f>
        <v>5540</v>
      </c>
      <c r="B87" s="27" t="str">
        <f>Données!B87</f>
        <v>Montilliez</v>
      </c>
      <c r="C87" s="8">
        <f>Données!C87+Données!D87</f>
        <v>4058277.16</v>
      </c>
      <c r="D87" s="8">
        <f>+Données!G87+Données!H87+Données!S87</f>
        <v>153336.21999999997</v>
      </c>
      <c r="E87" s="8">
        <f>+Données!E87</f>
        <v>0</v>
      </c>
      <c r="F87" s="8">
        <f>+Données!I87</f>
        <v>0</v>
      </c>
      <c r="G87" s="8">
        <f>+Données!J87</f>
        <v>46256.83</v>
      </c>
      <c r="H87" s="8">
        <f>Données!U87</f>
        <v>-37361.97</v>
      </c>
      <c r="I87" s="215">
        <f>Données!V87</f>
        <v>0</v>
      </c>
      <c r="J87" s="215">
        <f>Données!W87</f>
        <v>-404.05</v>
      </c>
      <c r="K87" s="8">
        <f>+Données!Q87</f>
        <v>5243.6</v>
      </c>
      <c r="L87" s="457">
        <f t="shared" si="4"/>
        <v>4225347.79</v>
      </c>
      <c r="M87" s="8">
        <f>+Données!F87</f>
        <v>0</v>
      </c>
      <c r="N87" s="8">
        <f>+Données!K87</f>
        <v>12051.5</v>
      </c>
      <c r="O87" s="8">
        <f>(Données!L87/Données!Y87)*1</f>
        <v>352536.06249999994</v>
      </c>
      <c r="P87" s="457">
        <f t="shared" si="5"/>
        <v>4589935.3525</v>
      </c>
      <c r="Q87" s="240">
        <f>+Données!X87</f>
        <v>72.5</v>
      </c>
      <c r="R87" s="457">
        <f t="shared" si="6"/>
        <v>63309.453137931036</v>
      </c>
    </row>
    <row r="88" spans="1:18" x14ac:dyDescent="0.25">
      <c r="A88" s="7">
        <f>Données!A88</f>
        <v>5541</v>
      </c>
      <c r="B88" s="27" t="str">
        <f>Données!B88</f>
        <v>Goumoëns</v>
      </c>
      <c r="C88" s="8">
        <f>Données!C88+Données!D88</f>
        <v>2811224.79</v>
      </c>
      <c r="D88" s="8">
        <f>+Données!G88+Données!H88+Données!S88</f>
        <v>64076.079999999994</v>
      </c>
      <c r="E88" s="8">
        <f>+Données!E88</f>
        <v>0</v>
      </c>
      <c r="F88" s="8">
        <f>+Données!I88</f>
        <v>0</v>
      </c>
      <c r="G88" s="8">
        <f>+Données!J88</f>
        <v>33424.400000000001</v>
      </c>
      <c r="H88" s="8">
        <f>Données!U88</f>
        <v>-15345.72</v>
      </c>
      <c r="I88" s="215">
        <f>Données!V88</f>
        <v>0</v>
      </c>
      <c r="J88" s="215">
        <f>Données!W88</f>
        <v>-208.48</v>
      </c>
      <c r="K88" s="8">
        <f>+Données!Q88</f>
        <v>1332.85</v>
      </c>
      <c r="L88" s="457">
        <f t="shared" si="4"/>
        <v>2894503.92</v>
      </c>
      <c r="M88" s="8">
        <f>+Données!F88</f>
        <v>0</v>
      </c>
      <c r="N88" s="8">
        <f>+Données!K88</f>
        <v>1552.15</v>
      </c>
      <c r="O88" s="8">
        <f>(Données!L88/Données!Y88)*1</f>
        <v>220312.85</v>
      </c>
      <c r="P88" s="457">
        <f t="shared" si="5"/>
        <v>3116368.92</v>
      </c>
      <c r="Q88" s="240">
        <f>+Données!X88</f>
        <v>75.5</v>
      </c>
      <c r="R88" s="457">
        <f t="shared" si="6"/>
        <v>41276.409536423838</v>
      </c>
    </row>
    <row r="89" spans="1:18" x14ac:dyDescent="0.25">
      <c r="A89" s="7">
        <f>Données!A89</f>
        <v>5551</v>
      </c>
      <c r="B89" s="27" t="str">
        <f>Données!B89</f>
        <v>Bonvillars</v>
      </c>
      <c r="C89" s="8">
        <f>Données!C89+Données!D89</f>
        <v>848687.09</v>
      </c>
      <c r="D89" s="8">
        <f>+Données!G89+Données!H89+Données!S89</f>
        <v>52038.34</v>
      </c>
      <c r="E89" s="8">
        <f>+Données!E89</f>
        <v>0</v>
      </c>
      <c r="F89" s="8">
        <f>+Données!I89</f>
        <v>0</v>
      </c>
      <c r="G89" s="8">
        <f>+Données!J89</f>
        <v>2023.19</v>
      </c>
      <c r="H89" s="8">
        <f>Données!U89</f>
        <v>-96.02</v>
      </c>
      <c r="I89" s="215">
        <f>Données!V89</f>
        <v>0</v>
      </c>
      <c r="J89" s="215">
        <f>Données!W89</f>
        <v>-509.54</v>
      </c>
      <c r="K89" s="8">
        <f>+Données!Q89</f>
        <v>0</v>
      </c>
      <c r="L89" s="457">
        <f t="shared" si="4"/>
        <v>902143.05999999982</v>
      </c>
      <c r="M89" s="8">
        <f>+Données!F89</f>
        <v>0</v>
      </c>
      <c r="N89" s="8">
        <f>+Données!K89</f>
        <v>12424.7</v>
      </c>
      <c r="O89" s="8">
        <f>(Données!L89/Données!Y89)*1</f>
        <v>114179.05</v>
      </c>
      <c r="P89" s="457">
        <f t="shared" si="5"/>
        <v>1028746.8099999998</v>
      </c>
      <c r="Q89" s="240">
        <f>+Données!X89</f>
        <v>55</v>
      </c>
      <c r="R89" s="457">
        <f t="shared" si="6"/>
        <v>18704.487454545451</v>
      </c>
    </row>
    <row r="90" spans="1:18" x14ac:dyDescent="0.25">
      <c r="A90" s="7">
        <f>Données!A90</f>
        <v>5552</v>
      </c>
      <c r="B90" s="27" t="str">
        <f>Données!B90</f>
        <v>Bullet</v>
      </c>
      <c r="C90" s="8">
        <f>Données!C90+Données!D90</f>
        <v>1230077.1000000001</v>
      </c>
      <c r="D90" s="8">
        <f>+Données!G90+Données!H90+Données!S90</f>
        <v>23488.589999999997</v>
      </c>
      <c r="E90" s="8">
        <f>+Données!E90</f>
        <v>0</v>
      </c>
      <c r="F90" s="8">
        <f>+Données!I90</f>
        <v>0</v>
      </c>
      <c r="G90" s="8">
        <f>+Données!J90</f>
        <v>17186.439999999999</v>
      </c>
      <c r="H90" s="8">
        <f>Données!U90</f>
        <v>-14953.53</v>
      </c>
      <c r="I90" s="215">
        <f>Données!V90</f>
        <v>0</v>
      </c>
      <c r="J90" s="215">
        <f>Données!W90</f>
        <v>-722.76</v>
      </c>
      <c r="K90" s="8">
        <f>+Données!Q90</f>
        <v>11328.51</v>
      </c>
      <c r="L90" s="457">
        <f t="shared" si="4"/>
        <v>1266404.3500000001</v>
      </c>
      <c r="M90" s="8">
        <f>+Données!F90</f>
        <v>0</v>
      </c>
      <c r="N90" s="8">
        <f>+Données!K90</f>
        <v>3712.6</v>
      </c>
      <c r="O90" s="8">
        <f>(Données!L90/Données!Y90)*1</f>
        <v>131181.29999999999</v>
      </c>
      <c r="P90" s="457">
        <f t="shared" si="5"/>
        <v>1401298.2500000002</v>
      </c>
      <c r="Q90" s="240">
        <f>+Données!X90</f>
        <v>71.5</v>
      </c>
      <c r="R90" s="457">
        <f t="shared" si="6"/>
        <v>19598.576923076926</v>
      </c>
    </row>
    <row r="91" spans="1:18" x14ac:dyDescent="0.25">
      <c r="A91" s="7">
        <f>Données!A91</f>
        <v>5553</v>
      </c>
      <c r="B91" s="27" t="str">
        <f>Données!B91</f>
        <v>Champagne</v>
      </c>
      <c r="C91" s="8">
        <f>Données!C91+Données!D91</f>
        <v>2113611.94</v>
      </c>
      <c r="D91" s="8">
        <f>+Données!G91+Données!H91+Données!S91</f>
        <v>215386.58</v>
      </c>
      <c r="E91" s="8">
        <f>+Données!E91</f>
        <v>0</v>
      </c>
      <c r="F91" s="8">
        <f>+Données!I91</f>
        <v>0</v>
      </c>
      <c r="G91" s="8">
        <f>+Données!J91</f>
        <v>48540.18</v>
      </c>
      <c r="H91" s="8">
        <f>Données!U91</f>
        <v>-20140.669999999998</v>
      </c>
      <c r="I91" s="215">
        <f>Données!V91</f>
        <v>0</v>
      </c>
      <c r="J91" s="215">
        <f>Données!W91</f>
        <v>-7313.13</v>
      </c>
      <c r="K91" s="8">
        <f>+Données!Q91</f>
        <v>0</v>
      </c>
      <c r="L91" s="457">
        <f t="shared" si="4"/>
        <v>2350084.9000000004</v>
      </c>
      <c r="M91" s="8">
        <f>+Données!F91</f>
        <v>0</v>
      </c>
      <c r="N91" s="8">
        <f>+Données!K91</f>
        <v>21370.05</v>
      </c>
      <c r="O91" s="8">
        <f>(Données!L91/Données!Y91)*1</f>
        <v>233568.45</v>
      </c>
      <c r="P91" s="457">
        <f t="shared" si="5"/>
        <v>2605023.4000000004</v>
      </c>
      <c r="Q91" s="240">
        <f>+Données!X91</f>
        <v>65</v>
      </c>
      <c r="R91" s="457">
        <f t="shared" si="6"/>
        <v>40077.283076923086</v>
      </c>
    </row>
    <row r="92" spans="1:18" x14ac:dyDescent="0.25">
      <c r="A92" s="7">
        <f>Données!A92</f>
        <v>5554</v>
      </c>
      <c r="B92" s="27" t="str">
        <f>Données!B92</f>
        <v>Concise</v>
      </c>
      <c r="C92" s="8">
        <f>Données!C92+Données!D92</f>
        <v>2116058.58</v>
      </c>
      <c r="D92" s="8">
        <f>+Données!G92+Données!H92+Données!S92</f>
        <v>61452.820000000007</v>
      </c>
      <c r="E92" s="8">
        <f>+Données!E92</f>
        <v>0</v>
      </c>
      <c r="F92" s="8">
        <f>+Données!I92</f>
        <v>0</v>
      </c>
      <c r="G92" s="8">
        <f>+Données!J92</f>
        <v>31332.63</v>
      </c>
      <c r="H92" s="8">
        <f>Données!U92</f>
        <v>-39597.93</v>
      </c>
      <c r="I92" s="215">
        <f>Données!V92</f>
        <v>0</v>
      </c>
      <c r="J92" s="215">
        <f>Données!W92</f>
        <v>-1339.63</v>
      </c>
      <c r="K92" s="8">
        <f>+Données!Q92</f>
        <v>6877.31</v>
      </c>
      <c r="L92" s="457">
        <f t="shared" si="4"/>
        <v>2174783.7799999998</v>
      </c>
      <c r="M92" s="8">
        <f>+Données!F92</f>
        <v>0</v>
      </c>
      <c r="N92" s="8">
        <f>+Données!K92</f>
        <v>2051.9</v>
      </c>
      <c r="O92" s="8">
        <f>(Données!L92/Données!Y92)*1</f>
        <v>185608.15</v>
      </c>
      <c r="P92" s="457">
        <f t="shared" si="5"/>
        <v>2362443.8299999996</v>
      </c>
      <c r="Q92" s="240">
        <f>+Données!X92</f>
        <v>75</v>
      </c>
      <c r="R92" s="457">
        <f t="shared" si="6"/>
        <v>31499.25106666666</v>
      </c>
    </row>
    <row r="93" spans="1:18" x14ac:dyDescent="0.25">
      <c r="A93" s="7">
        <f>Données!A93</f>
        <v>5555</v>
      </c>
      <c r="B93" s="27" t="str">
        <f>Données!B93</f>
        <v>Corcelles-près-Concise</v>
      </c>
      <c r="C93" s="8">
        <f>Données!C93+Données!D93</f>
        <v>830178.77</v>
      </c>
      <c r="D93" s="8">
        <f>+Données!G93+Données!H93+Données!S93</f>
        <v>12633.5</v>
      </c>
      <c r="E93" s="8">
        <f>+Données!E93</f>
        <v>0</v>
      </c>
      <c r="F93" s="8">
        <f>+Données!I93</f>
        <v>0</v>
      </c>
      <c r="G93" s="8">
        <f>+Données!J93</f>
        <v>26612.47</v>
      </c>
      <c r="H93" s="8">
        <f>Données!U93</f>
        <v>-7241.25</v>
      </c>
      <c r="I93" s="215">
        <f>Données!V93</f>
        <v>0</v>
      </c>
      <c r="J93" s="215">
        <f>Données!W93</f>
        <v>-102.53</v>
      </c>
      <c r="K93" s="8">
        <f>+Données!Q93</f>
        <v>877.19</v>
      </c>
      <c r="L93" s="457">
        <f t="shared" si="4"/>
        <v>862958.14999999991</v>
      </c>
      <c r="M93" s="8">
        <f>+Données!F93</f>
        <v>0</v>
      </c>
      <c r="N93" s="8">
        <f>+Données!K93</f>
        <v>2228.6999999999998</v>
      </c>
      <c r="O93" s="8">
        <f>(Données!L93/Données!Y93)*1</f>
        <v>92373.15</v>
      </c>
      <c r="P93" s="457">
        <f t="shared" si="5"/>
        <v>957559.99999999988</v>
      </c>
      <c r="Q93" s="240">
        <f>+Données!X93</f>
        <v>69</v>
      </c>
      <c r="R93" s="457">
        <f t="shared" si="6"/>
        <v>13877.681159420288</v>
      </c>
    </row>
    <row r="94" spans="1:18" x14ac:dyDescent="0.25">
      <c r="A94" s="7">
        <f>Données!A94</f>
        <v>5556</v>
      </c>
      <c r="B94" s="27" t="str">
        <f>Données!B94</f>
        <v>Fiez</v>
      </c>
      <c r="C94" s="8">
        <f>Données!C94+Données!D94</f>
        <v>814385.51</v>
      </c>
      <c r="D94" s="8">
        <f>+Données!G94+Données!H94+Données!S94</f>
        <v>68683.700000000012</v>
      </c>
      <c r="E94" s="8">
        <f>+Données!E94</f>
        <v>0</v>
      </c>
      <c r="F94" s="8">
        <f>+Données!I94</f>
        <v>0</v>
      </c>
      <c r="G94" s="8">
        <f>+Données!J94</f>
        <v>16887.919999999998</v>
      </c>
      <c r="H94" s="8">
        <f>Données!U94</f>
        <v>27216.78</v>
      </c>
      <c r="I94" s="215">
        <f>Données!V94</f>
        <v>0</v>
      </c>
      <c r="J94" s="215">
        <f>Données!W94</f>
        <v>0</v>
      </c>
      <c r="K94" s="8">
        <f>+Données!Q94</f>
        <v>0</v>
      </c>
      <c r="L94" s="457">
        <f t="shared" si="4"/>
        <v>927173.91</v>
      </c>
      <c r="M94" s="8">
        <f>+Données!F94</f>
        <v>2480</v>
      </c>
      <c r="N94" s="8">
        <f>+Données!K94</f>
        <v>1271.6500000000001</v>
      </c>
      <c r="O94" s="8">
        <f>(Données!L94/Données!Y94)*1</f>
        <v>74721.208333333328</v>
      </c>
      <c r="P94" s="457">
        <f t="shared" si="5"/>
        <v>1005646.7683333334</v>
      </c>
      <c r="Q94" s="240">
        <f>+Données!X94</f>
        <v>69</v>
      </c>
      <c r="R94" s="457">
        <f t="shared" si="6"/>
        <v>14574.59084541063</v>
      </c>
    </row>
    <row r="95" spans="1:18" x14ac:dyDescent="0.25">
      <c r="A95" s="7">
        <f>Données!A95</f>
        <v>5557</v>
      </c>
      <c r="B95" s="27" t="str">
        <f>Données!B95</f>
        <v>Fontaines-sur-Grandson</v>
      </c>
      <c r="C95" s="8">
        <f>Données!C95+Données!D95</f>
        <v>280987.96999999997</v>
      </c>
      <c r="D95" s="8">
        <f>+Données!G95+Données!H95+Données!S95</f>
        <v>833.49</v>
      </c>
      <c r="E95" s="8">
        <f>+Données!E95</f>
        <v>0</v>
      </c>
      <c r="F95" s="8">
        <f>+Données!I95</f>
        <v>0</v>
      </c>
      <c r="G95" s="8">
        <f>+Données!J95</f>
        <v>436.59</v>
      </c>
      <c r="H95" s="8">
        <f>Données!U95</f>
        <v>-26565.58</v>
      </c>
      <c r="I95" s="215">
        <f>Données!V95</f>
        <v>0</v>
      </c>
      <c r="J95" s="215">
        <f>Données!W95</f>
        <v>-0.03</v>
      </c>
      <c r="K95" s="8">
        <f>+Données!Q95</f>
        <v>0</v>
      </c>
      <c r="L95" s="457">
        <f t="shared" si="4"/>
        <v>255692.43999999997</v>
      </c>
      <c r="M95" s="8">
        <f>+Données!F95</f>
        <v>899.15</v>
      </c>
      <c r="N95" s="8">
        <f>+Données!K95</f>
        <v>-284.55</v>
      </c>
      <c r="O95" s="8">
        <f>(Données!L95/Données!Y95)*1</f>
        <v>35749.800000000003</v>
      </c>
      <c r="P95" s="457">
        <f t="shared" si="5"/>
        <v>292056.83999999997</v>
      </c>
      <c r="Q95" s="240">
        <f>+Données!X95</f>
        <v>69</v>
      </c>
      <c r="R95" s="457">
        <f t="shared" si="6"/>
        <v>4232.7078260869557</v>
      </c>
    </row>
    <row r="96" spans="1:18" x14ac:dyDescent="0.25">
      <c r="A96" s="7">
        <f>Données!A96</f>
        <v>5559</v>
      </c>
      <c r="B96" s="27" t="str">
        <f>Données!B96</f>
        <v>Giez</v>
      </c>
      <c r="C96" s="8">
        <f>Données!C96+Données!D96</f>
        <v>1246409.25</v>
      </c>
      <c r="D96" s="8">
        <f>+Données!G96+Données!H96+Données!S96</f>
        <v>202207.55</v>
      </c>
      <c r="E96" s="8">
        <f>+Données!E96</f>
        <v>0</v>
      </c>
      <c r="F96" s="8">
        <f>+Données!I96</f>
        <v>0</v>
      </c>
      <c r="G96" s="8">
        <f>+Données!J96</f>
        <v>18587.939999999999</v>
      </c>
      <c r="H96" s="8">
        <f>Données!U96</f>
        <v>-15550.54</v>
      </c>
      <c r="I96" s="215">
        <f>Données!V96</f>
        <v>0</v>
      </c>
      <c r="J96" s="215">
        <f>Données!W96</f>
        <v>-1278.21</v>
      </c>
      <c r="K96" s="8">
        <f>+Données!Q96</f>
        <v>20.75</v>
      </c>
      <c r="L96" s="457">
        <f t="shared" si="4"/>
        <v>1450396.74</v>
      </c>
      <c r="M96" s="8">
        <f>+Données!F96</f>
        <v>0</v>
      </c>
      <c r="N96" s="8">
        <f>+Données!K96</f>
        <v>4011.5</v>
      </c>
      <c r="O96" s="8">
        <f>(Données!L96/Données!Y96)*1</f>
        <v>91808.1</v>
      </c>
      <c r="P96" s="457">
        <f t="shared" si="5"/>
        <v>1546216.34</v>
      </c>
      <c r="Q96" s="240">
        <f>+Données!X96</f>
        <v>66</v>
      </c>
      <c r="R96" s="457">
        <f t="shared" si="6"/>
        <v>23427.520303030306</v>
      </c>
    </row>
    <row r="97" spans="1:18" x14ac:dyDescent="0.25">
      <c r="A97" s="7">
        <f>Données!A97</f>
        <v>5560</v>
      </c>
      <c r="B97" s="27" t="str">
        <f>Données!B97</f>
        <v>Grandevent</v>
      </c>
      <c r="C97" s="8">
        <f>Données!C97+Données!D97</f>
        <v>412162.55</v>
      </c>
      <c r="D97" s="8">
        <f>+Données!G97+Données!H97+Données!S97</f>
        <v>9777.61</v>
      </c>
      <c r="E97" s="8">
        <f>+Données!E97</f>
        <v>0</v>
      </c>
      <c r="F97" s="8">
        <f>+Données!I97</f>
        <v>0</v>
      </c>
      <c r="G97" s="8">
        <f>+Données!J97</f>
        <v>11463.26</v>
      </c>
      <c r="H97" s="8">
        <f>Données!U97</f>
        <v>-530.83000000000004</v>
      </c>
      <c r="I97" s="215">
        <f>Données!V97</f>
        <v>0</v>
      </c>
      <c r="J97" s="215">
        <f>Données!W97</f>
        <v>0</v>
      </c>
      <c r="K97" s="8">
        <f>+Données!Q97</f>
        <v>0</v>
      </c>
      <c r="L97" s="457">
        <f t="shared" si="4"/>
        <v>432872.58999999997</v>
      </c>
      <c r="M97" s="8">
        <f>+Données!F97</f>
        <v>0</v>
      </c>
      <c r="N97" s="8">
        <f>+Données!K97</f>
        <v>624.20000000000005</v>
      </c>
      <c r="O97" s="8">
        <f>(Données!L97/Données!Y97)*1</f>
        <v>42727.75</v>
      </c>
      <c r="P97" s="457">
        <f t="shared" si="5"/>
        <v>476224.54</v>
      </c>
      <c r="Q97" s="240">
        <f>+Données!X97</f>
        <v>68</v>
      </c>
      <c r="R97" s="457">
        <f t="shared" si="6"/>
        <v>7003.3020588235295</v>
      </c>
    </row>
    <row r="98" spans="1:18" x14ac:dyDescent="0.25">
      <c r="A98" s="7">
        <f>Données!A98</f>
        <v>5561</v>
      </c>
      <c r="B98" s="27" t="str">
        <f>Données!B98</f>
        <v>Grandson</v>
      </c>
      <c r="C98" s="8">
        <f>Données!C98+Données!D98</f>
        <v>6987138.8900000006</v>
      </c>
      <c r="D98" s="8">
        <f>+Données!G98+Données!H98+Données!S98</f>
        <v>211023.78</v>
      </c>
      <c r="E98" s="8">
        <f>+Données!E98</f>
        <v>0</v>
      </c>
      <c r="F98" s="8">
        <f>+Données!I98</f>
        <v>0</v>
      </c>
      <c r="G98" s="8">
        <f>+Données!J98</f>
        <v>111885.77</v>
      </c>
      <c r="H98" s="8">
        <f>Données!U98</f>
        <v>-118347.03</v>
      </c>
      <c r="I98" s="215">
        <f>Données!V98</f>
        <v>0</v>
      </c>
      <c r="J98" s="215">
        <f>Données!W98</f>
        <v>-2119.89</v>
      </c>
      <c r="K98" s="8">
        <f>+Données!Q98</f>
        <v>30628.639999999999</v>
      </c>
      <c r="L98" s="457">
        <f t="shared" si="4"/>
        <v>7220210.1600000001</v>
      </c>
      <c r="M98" s="8">
        <f>+Données!F98</f>
        <v>0</v>
      </c>
      <c r="N98" s="8">
        <f>+Données!K98</f>
        <v>41708.949999999997</v>
      </c>
      <c r="O98" s="8">
        <f>(Données!L98/Données!Y98)*1</f>
        <v>638346.1</v>
      </c>
      <c r="P98" s="457">
        <f t="shared" si="5"/>
        <v>7900265.21</v>
      </c>
      <c r="Q98" s="240">
        <f>+Données!X98</f>
        <v>69</v>
      </c>
      <c r="R98" s="457">
        <f t="shared" si="6"/>
        <v>114496.59724637681</v>
      </c>
    </row>
    <row r="99" spans="1:18" x14ac:dyDescent="0.25">
      <c r="A99" s="7">
        <f>Données!A99</f>
        <v>5562</v>
      </c>
      <c r="B99" s="27" t="str">
        <f>Données!B99</f>
        <v>Mauborget</v>
      </c>
      <c r="C99" s="8">
        <f>Données!C99+Données!D99</f>
        <v>386683.26</v>
      </c>
      <c r="D99" s="8">
        <f>+Données!G99+Données!H99+Données!S99</f>
        <v>1471.6399999999999</v>
      </c>
      <c r="E99" s="8">
        <f>+Données!E99</f>
        <v>0</v>
      </c>
      <c r="F99" s="8">
        <f>+Données!I99</f>
        <v>0</v>
      </c>
      <c r="G99" s="8">
        <f>+Données!J99</f>
        <v>5376.73</v>
      </c>
      <c r="H99" s="8">
        <f>Données!U99</f>
        <v>-3768.08</v>
      </c>
      <c r="I99" s="215">
        <f>Données!V99</f>
        <v>0</v>
      </c>
      <c r="J99" s="215">
        <f>Données!W99</f>
        <v>-38.15</v>
      </c>
      <c r="K99" s="8">
        <f>+Données!Q99</f>
        <v>3932.26</v>
      </c>
      <c r="L99" s="457">
        <f t="shared" si="4"/>
        <v>393657.66</v>
      </c>
      <c r="M99" s="8">
        <f>+Données!F99</f>
        <v>920</v>
      </c>
      <c r="N99" s="8">
        <f>+Données!K99</f>
        <v>1974.5</v>
      </c>
      <c r="O99" s="8">
        <f>(Données!L99/Données!Y99)*1</f>
        <v>30407.708333333336</v>
      </c>
      <c r="P99" s="457">
        <f t="shared" si="5"/>
        <v>426959.86833333329</v>
      </c>
      <c r="Q99" s="240">
        <f>+Données!X99</f>
        <v>70</v>
      </c>
      <c r="R99" s="457">
        <f t="shared" si="6"/>
        <v>6099.4266904761898</v>
      </c>
    </row>
    <row r="100" spans="1:18" x14ac:dyDescent="0.25">
      <c r="A100" s="7">
        <f>Données!A100</f>
        <v>5563</v>
      </c>
      <c r="B100" s="27" t="str">
        <f>Données!B100</f>
        <v>Mutrux</v>
      </c>
      <c r="C100" s="8">
        <f>Données!C100+Données!D100</f>
        <v>321881.7</v>
      </c>
      <c r="D100" s="8">
        <f>+Données!G100+Données!H100+Données!S100</f>
        <v>539.38</v>
      </c>
      <c r="E100" s="8">
        <f>+Données!E100</f>
        <v>0</v>
      </c>
      <c r="F100" s="8">
        <f>+Données!I100</f>
        <v>0</v>
      </c>
      <c r="G100" s="8">
        <f>+Données!J100</f>
        <v>728.75</v>
      </c>
      <c r="H100" s="8">
        <f>Données!U100</f>
        <v>-2986.73</v>
      </c>
      <c r="I100" s="215">
        <f>Données!V100</f>
        <v>0</v>
      </c>
      <c r="J100" s="215">
        <f>Données!W100</f>
        <v>0</v>
      </c>
      <c r="K100" s="8">
        <f>+Données!Q100</f>
        <v>0</v>
      </c>
      <c r="L100" s="457">
        <f t="shared" si="4"/>
        <v>320163.10000000003</v>
      </c>
      <c r="M100" s="8">
        <f>+Données!F100</f>
        <v>540</v>
      </c>
      <c r="N100" s="8">
        <f>+Données!K100</f>
        <v>0</v>
      </c>
      <c r="O100" s="8">
        <f>(Données!L100/Données!Y100)*1</f>
        <v>21873.75</v>
      </c>
      <c r="P100" s="457">
        <f t="shared" si="5"/>
        <v>342576.85000000003</v>
      </c>
      <c r="Q100" s="240">
        <f>+Données!X100</f>
        <v>80</v>
      </c>
      <c r="R100" s="457">
        <f t="shared" si="6"/>
        <v>4282.2106250000006</v>
      </c>
    </row>
    <row r="101" spans="1:18" x14ac:dyDescent="0.25">
      <c r="A101" s="7">
        <f>Données!A101</f>
        <v>5564</v>
      </c>
      <c r="B101" s="27" t="str">
        <f>Données!B101</f>
        <v>Novalles</v>
      </c>
      <c r="C101" s="8">
        <f>Données!C101+Données!D101</f>
        <v>146122.71</v>
      </c>
      <c r="D101" s="8">
        <f>+Données!G101+Données!H101+Données!S101</f>
        <v>90.78</v>
      </c>
      <c r="E101" s="8">
        <f>+Données!E101</f>
        <v>0</v>
      </c>
      <c r="F101" s="8">
        <f>+Données!I101</f>
        <v>0</v>
      </c>
      <c r="G101" s="8">
        <f>+Données!J101</f>
        <v>0</v>
      </c>
      <c r="H101" s="8">
        <f>Données!U101</f>
        <v>-916.18</v>
      </c>
      <c r="I101" s="215">
        <f>Données!V101</f>
        <v>0</v>
      </c>
      <c r="J101" s="215">
        <f>Données!W101</f>
        <v>0</v>
      </c>
      <c r="K101" s="8">
        <f>+Données!Q101</f>
        <v>0</v>
      </c>
      <c r="L101" s="457">
        <f t="shared" si="4"/>
        <v>145297.31</v>
      </c>
      <c r="M101" s="8">
        <f>+Données!F101</f>
        <v>0</v>
      </c>
      <c r="N101" s="8">
        <f>+Données!K101</f>
        <v>0</v>
      </c>
      <c r="O101" s="8">
        <f>(Données!L101/Données!Y101)*1</f>
        <v>14268.0625</v>
      </c>
      <c r="P101" s="457">
        <f t="shared" si="5"/>
        <v>159565.3725</v>
      </c>
      <c r="Q101" s="240">
        <f>+Données!X101</f>
        <v>76</v>
      </c>
      <c r="R101" s="457">
        <f t="shared" si="6"/>
        <v>2099.5443749999999</v>
      </c>
    </row>
    <row r="102" spans="1:18" x14ac:dyDescent="0.25">
      <c r="A102" s="7">
        <f>Données!A102</f>
        <v>5565</v>
      </c>
      <c r="B102" s="27" t="str">
        <f>Données!B102</f>
        <v>Onnens</v>
      </c>
      <c r="C102" s="8">
        <f>Données!C102+Données!D102</f>
        <v>887833.05999999994</v>
      </c>
      <c r="D102" s="8">
        <f>+Données!G102+Données!H102+Données!S102</f>
        <v>395782.16</v>
      </c>
      <c r="E102" s="8">
        <f>+Données!E102</f>
        <v>0</v>
      </c>
      <c r="F102" s="8">
        <f>+Données!I102</f>
        <v>0</v>
      </c>
      <c r="G102" s="8">
        <f>+Données!J102</f>
        <v>6667.67</v>
      </c>
      <c r="H102" s="8">
        <f>Données!U102</f>
        <v>-4179</v>
      </c>
      <c r="I102" s="215">
        <f>Données!V102</f>
        <v>0</v>
      </c>
      <c r="J102" s="215">
        <f>Données!W102</f>
        <v>-0.6</v>
      </c>
      <c r="K102" s="8">
        <f>+Données!Q102</f>
        <v>3.4</v>
      </c>
      <c r="L102" s="457">
        <f t="shared" si="4"/>
        <v>1286106.6899999997</v>
      </c>
      <c r="M102" s="8">
        <f>+Données!F102</f>
        <v>0</v>
      </c>
      <c r="N102" s="8">
        <f>+Données!K102</f>
        <v>24118.65</v>
      </c>
      <c r="O102" s="8">
        <f>(Données!L102/Données!Y102)*1</f>
        <v>130218.95</v>
      </c>
      <c r="P102" s="457">
        <f t="shared" si="5"/>
        <v>1440444.2899999996</v>
      </c>
      <c r="Q102" s="240">
        <f>+Données!X102</f>
        <v>63.5</v>
      </c>
      <c r="R102" s="457">
        <f t="shared" si="6"/>
        <v>22684.162047244088</v>
      </c>
    </row>
    <row r="103" spans="1:18" x14ac:dyDescent="0.25">
      <c r="A103" s="7">
        <f>Données!A103</f>
        <v>5566</v>
      </c>
      <c r="B103" s="27" t="str">
        <f>Données!B103</f>
        <v>Provence</v>
      </c>
      <c r="C103" s="8">
        <f>Données!C103+Données!D103</f>
        <v>681714.19</v>
      </c>
      <c r="D103" s="8">
        <f>+Données!G103+Données!H103+Données!S103</f>
        <v>16573.84</v>
      </c>
      <c r="E103" s="8">
        <f>+Données!E103</f>
        <v>0</v>
      </c>
      <c r="F103" s="8">
        <f>+Données!I103</f>
        <v>0</v>
      </c>
      <c r="G103" s="8">
        <f>+Données!J103</f>
        <v>8166.81</v>
      </c>
      <c r="H103" s="8">
        <f>Données!U103</f>
        <v>-16284.01</v>
      </c>
      <c r="I103" s="215">
        <f>Données!V103</f>
        <v>0</v>
      </c>
      <c r="J103" s="215">
        <f>Données!W103</f>
        <v>-0.1</v>
      </c>
      <c r="K103" s="8">
        <f>+Données!Q103</f>
        <v>12552.74</v>
      </c>
      <c r="L103" s="457">
        <f t="shared" si="4"/>
        <v>702723.47</v>
      </c>
      <c r="M103" s="8">
        <f>+Données!F103</f>
        <v>2630</v>
      </c>
      <c r="N103" s="8">
        <f>+Données!K103</f>
        <v>371.05</v>
      </c>
      <c r="O103" s="8">
        <f>(Données!L103/Données!Y103)*1</f>
        <v>53829.4</v>
      </c>
      <c r="P103" s="457">
        <f t="shared" si="5"/>
        <v>759553.92</v>
      </c>
      <c r="Q103" s="240">
        <f>+Données!X103</f>
        <v>81</v>
      </c>
      <c r="R103" s="457">
        <f t="shared" si="6"/>
        <v>9377.2088888888902</v>
      </c>
    </row>
    <row r="104" spans="1:18" x14ac:dyDescent="0.25">
      <c r="A104" s="7">
        <f>Données!A104</f>
        <v>5568</v>
      </c>
      <c r="B104" s="27" t="str">
        <f>Données!B104</f>
        <v>Sainte-Croix</v>
      </c>
      <c r="C104" s="8">
        <f>Données!C104+Données!D104</f>
        <v>6477301.0600000005</v>
      </c>
      <c r="D104" s="8">
        <f>+Données!G104+Données!H104+Données!S104</f>
        <v>447853.24</v>
      </c>
      <c r="E104" s="8">
        <f>+Données!E104</f>
        <v>0</v>
      </c>
      <c r="F104" s="8">
        <f>+Données!I104</f>
        <v>45476.55</v>
      </c>
      <c r="G104" s="8">
        <f>+Données!J104</f>
        <v>118781.81</v>
      </c>
      <c r="H104" s="8">
        <f>Données!U104</f>
        <v>-188721.09</v>
      </c>
      <c r="I104" s="215">
        <f>Données!V104</f>
        <v>0</v>
      </c>
      <c r="J104" s="215">
        <f>Données!W104</f>
        <v>-3069.98</v>
      </c>
      <c r="K104" s="8">
        <f>+Données!Q104</f>
        <v>43024.68</v>
      </c>
      <c r="L104" s="457">
        <f t="shared" si="4"/>
        <v>6940646.2699999996</v>
      </c>
      <c r="M104" s="8">
        <f>+Données!F104</f>
        <v>0</v>
      </c>
      <c r="N104" s="8">
        <f>+Données!K104</f>
        <v>58362.9</v>
      </c>
      <c r="O104" s="8">
        <f>(Données!L104/Données!Y104)*1</f>
        <v>641637.55000000005</v>
      </c>
      <c r="P104" s="457">
        <f t="shared" si="5"/>
        <v>7640646.7199999997</v>
      </c>
      <c r="Q104" s="240">
        <f>+Données!X104</f>
        <v>70</v>
      </c>
      <c r="R104" s="457">
        <f t="shared" si="6"/>
        <v>109152.09599999999</v>
      </c>
    </row>
    <row r="105" spans="1:18" x14ac:dyDescent="0.25">
      <c r="A105" s="7">
        <f>Données!A105</f>
        <v>5571</v>
      </c>
      <c r="B105" s="27" t="str">
        <f>Données!B105</f>
        <v>Tévenon</v>
      </c>
      <c r="C105" s="8">
        <f>Données!C105+Données!D105</f>
        <v>1612117.02</v>
      </c>
      <c r="D105" s="8">
        <f>+Données!G105+Données!H105+Données!S105</f>
        <v>9812.6299999999992</v>
      </c>
      <c r="E105" s="8">
        <f>+Données!E105</f>
        <v>0</v>
      </c>
      <c r="F105" s="8">
        <f>+Données!I105</f>
        <v>0</v>
      </c>
      <c r="G105" s="8">
        <f>+Données!J105</f>
        <v>21713.79</v>
      </c>
      <c r="H105" s="8">
        <f>Données!U105</f>
        <v>-8173.95</v>
      </c>
      <c r="I105" s="215">
        <f>Données!V105</f>
        <v>0</v>
      </c>
      <c r="J105" s="215">
        <f>Données!W105</f>
        <v>0</v>
      </c>
      <c r="K105" s="8">
        <f>+Données!Q105</f>
        <v>0</v>
      </c>
      <c r="L105" s="457">
        <f t="shared" si="4"/>
        <v>1635469.49</v>
      </c>
      <c r="M105" s="8">
        <f>+Données!F105</f>
        <v>0</v>
      </c>
      <c r="N105" s="8">
        <f>+Données!K105</f>
        <v>7355.2</v>
      </c>
      <c r="O105" s="8">
        <f>(Données!L105/Données!Y105)*1</f>
        <v>167899.625</v>
      </c>
      <c r="P105" s="457">
        <f t="shared" si="5"/>
        <v>1810724.3149999999</v>
      </c>
      <c r="Q105" s="240">
        <f>+Données!X105</f>
        <v>71.5</v>
      </c>
      <c r="R105" s="457">
        <f t="shared" si="6"/>
        <v>25324.815594405594</v>
      </c>
    </row>
    <row r="106" spans="1:18" x14ac:dyDescent="0.25">
      <c r="A106" s="7">
        <f>Données!A106</f>
        <v>5581</v>
      </c>
      <c r="B106" s="27" t="str">
        <f>Données!B106</f>
        <v>Belmont-sur-Lausanne</v>
      </c>
      <c r="C106" s="8">
        <f>Données!C106+Données!D106</f>
        <v>14292407.800000001</v>
      </c>
      <c r="D106" s="8">
        <f>+Données!G106+Données!H106+Données!S106</f>
        <v>169416.85</v>
      </c>
      <c r="E106" s="8">
        <f>+Données!E106</f>
        <v>0</v>
      </c>
      <c r="F106" s="8">
        <f>+Données!I106</f>
        <v>59666.6</v>
      </c>
      <c r="G106" s="8">
        <f>+Données!J106</f>
        <v>50492.89</v>
      </c>
      <c r="H106" s="8">
        <f>Données!U106</f>
        <v>-65096.46</v>
      </c>
      <c r="I106" s="215">
        <f>Données!V106</f>
        <v>0</v>
      </c>
      <c r="J106" s="215">
        <f>Données!W106</f>
        <v>-15831.7</v>
      </c>
      <c r="K106" s="8">
        <f>+Données!Q106</f>
        <v>13964.06</v>
      </c>
      <c r="L106" s="457">
        <f t="shared" si="4"/>
        <v>14505020.040000001</v>
      </c>
      <c r="M106" s="8">
        <f>+Données!F106</f>
        <v>0</v>
      </c>
      <c r="N106" s="8">
        <f>+Données!K106</f>
        <v>35196.15</v>
      </c>
      <c r="O106" s="8">
        <f>(Données!L106/Données!Y106)*1</f>
        <v>970648.03333333333</v>
      </c>
      <c r="P106" s="457">
        <f t="shared" si="5"/>
        <v>15510864.223333335</v>
      </c>
      <c r="Q106" s="240">
        <f>+Données!X106</f>
        <v>72</v>
      </c>
      <c r="R106" s="457">
        <f t="shared" si="6"/>
        <v>215428.66976851854</v>
      </c>
    </row>
    <row r="107" spans="1:18" x14ac:dyDescent="0.25">
      <c r="A107" s="7">
        <f>Données!A107</f>
        <v>5582</v>
      </c>
      <c r="B107" s="27" t="str">
        <f>Données!B107</f>
        <v>Cheseaux-sur-Lausanne</v>
      </c>
      <c r="C107" s="8">
        <f>Données!C107+Données!D107</f>
        <v>10548941.83</v>
      </c>
      <c r="D107" s="8">
        <f>+Données!G107+Données!H107+Données!S107</f>
        <v>483699.20000000001</v>
      </c>
      <c r="E107" s="8">
        <f>+Données!E107</f>
        <v>0</v>
      </c>
      <c r="F107" s="8">
        <f>+Données!I107</f>
        <v>-27176.23</v>
      </c>
      <c r="G107" s="8">
        <f>+Données!J107</f>
        <v>312399.43</v>
      </c>
      <c r="H107" s="8">
        <f>Données!U107</f>
        <v>-145996.04999999999</v>
      </c>
      <c r="I107" s="215">
        <f>Données!V107</f>
        <v>0</v>
      </c>
      <c r="J107" s="215">
        <f>Données!W107</f>
        <v>-12825.31</v>
      </c>
      <c r="K107" s="8">
        <f>+Données!Q107</f>
        <v>32911</v>
      </c>
      <c r="L107" s="457">
        <f t="shared" si="4"/>
        <v>11191953.869999997</v>
      </c>
      <c r="M107" s="8">
        <f>+Données!F107</f>
        <v>0</v>
      </c>
      <c r="N107" s="8">
        <f>+Données!K107</f>
        <v>83192.45</v>
      </c>
      <c r="O107" s="8">
        <f>(Données!L107/Données!Y107)*1</f>
        <v>951358.4</v>
      </c>
      <c r="P107" s="457">
        <f t="shared" si="5"/>
        <v>12226504.719999997</v>
      </c>
      <c r="Q107" s="240">
        <f>+Données!X107</f>
        <v>73</v>
      </c>
      <c r="R107" s="457">
        <f t="shared" si="6"/>
        <v>167486.36602739722</v>
      </c>
    </row>
    <row r="108" spans="1:18" x14ac:dyDescent="0.25">
      <c r="A108" s="7">
        <f>Données!A108</f>
        <v>5583</v>
      </c>
      <c r="B108" s="27" t="str">
        <f>Données!B108</f>
        <v>Crissier</v>
      </c>
      <c r="C108" s="8">
        <f>Données!C108+Données!D108</f>
        <v>13412336.809999999</v>
      </c>
      <c r="D108" s="8">
        <f>+Données!G108+Données!H108+Données!S108</f>
        <v>4327361.43</v>
      </c>
      <c r="E108" s="8">
        <f>+Données!E108</f>
        <v>0</v>
      </c>
      <c r="F108" s="8">
        <f>+Données!I108</f>
        <v>0</v>
      </c>
      <c r="G108" s="8">
        <f>+Données!J108</f>
        <v>969801.07</v>
      </c>
      <c r="H108" s="8">
        <f>Données!U108</f>
        <v>-222182.55</v>
      </c>
      <c r="I108" s="215">
        <f>Données!V108</f>
        <v>0</v>
      </c>
      <c r="J108" s="215">
        <f>Données!W108</f>
        <v>-2314.4499999999998</v>
      </c>
      <c r="K108" s="8">
        <f>+Données!Q108</f>
        <v>43662.31</v>
      </c>
      <c r="L108" s="457">
        <f t="shared" si="4"/>
        <v>18528664.619999997</v>
      </c>
      <c r="M108" s="8">
        <f>+Données!F108</f>
        <v>0</v>
      </c>
      <c r="N108" s="8">
        <f>+Données!K108</f>
        <v>388664.15</v>
      </c>
      <c r="O108" s="8">
        <f>(Données!L108/Données!Y108)*1</f>
        <v>2503743.2999999998</v>
      </c>
      <c r="P108" s="457">
        <f t="shared" si="5"/>
        <v>21421072.069999997</v>
      </c>
      <c r="Q108" s="240">
        <f>+Données!X108</f>
        <v>63.5</v>
      </c>
      <c r="R108" s="457">
        <f t="shared" si="6"/>
        <v>337339.7176377952</v>
      </c>
    </row>
    <row r="109" spans="1:18" x14ac:dyDescent="0.25">
      <c r="A109" s="7">
        <f>Données!A109</f>
        <v>5584</v>
      </c>
      <c r="B109" s="27" t="str">
        <f>Données!B109</f>
        <v>Epalinges</v>
      </c>
      <c r="C109" s="8">
        <f>Données!C109+Données!D109</f>
        <v>28814473.259999998</v>
      </c>
      <c r="D109" s="8">
        <f>+Données!G109+Données!H109+Données!S109</f>
        <v>1763368.14</v>
      </c>
      <c r="E109" s="8">
        <f>+Données!E109</f>
        <v>0</v>
      </c>
      <c r="F109" s="8">
        <f>+Données!I109</f>
        <v>318905.75</v>
      </c>
      <c r="G109" s="8">
        <f>+Données!J109</f>
        <v>249842.53</v>
      </c>
      <c r="H109" s="8">
        <f>Données!U109</f>
        <v>-363450.84</v>
      </c>
      <c r="I109" s="215">
        <f>Données!V109</f>
        <v>0</v>
      </c>
      <c r="J109" s="215">
        <f>Données!W109</f>
        <v>-32342.31</v>
      </c>
      <c r="K109" s="8">
        <f>+Données!Q109</f>
        <v>60504.7</v>
      </c>
      <c r="L109" s="457">
        <f t="shared" si="4"/>
        <v>30811301.23</v>
      </c>
      <c r="M109" s="8">
        <f>+Données!F109</f>
        <v>0</v>
      </c>
      <c r="N109" s="8">
        <f>+Données!K109</f>
        <v>165858.70000000001</v>
      </c>
      <c r="O109" s="8">
        <f>(Données!L109/Données!Y109)*1</f>
        <v>2348850.7999999998</v>
      </c>
      <c r="P109" s="457">
        <f t="shared" si="5"/>
        <v>33326010.73</v>
      </c>
      <c r="Q109" s="240">
        <f>+Données!X109</f>
        <v>64.5</v>
      </c>
      <c r="R109" s="457">
        <f t="shared" si="6"/>
        <v>516682.33689922479</v>
      </c>
    </row>
    <row r="110" spans="1:18" x14ac:dyDescent="0.25">
      <c r="A110" s="7">
        <f>Données!A110</f>
        <v>5585</v>
      </c>
      <c r="B110" s="27" t="str">
        <f>Données!B110</f>
        <v>Jouxtens-Mézery</v>
      </c>
      <c r="C110" s="8">
        <f>Données!C110+Données!D110</f>
        <v>10509398.02</v>
      </c>
      <c r="D110" s="8">
        <f>+Données!G110+Données!H110+Données!S110</f>
        <v>47351.58</v>
      </c>
      <c r="E110" s="8">
        <f>+Données!E110</f>
        <v>0</v>
      </c>
      <c r="F110" s="8">
        <f>+Données!I110</f>
        <v>144304.92000000001</v>
      </c>
      <c r="G110" s="8">
        <f>+Données!J110</f>
        <v>46659.46</v>
      </c>
      <c r="H110" s="8">
        <f>Données!U110</f>
        <v>-15901.99</v>
      </c>
      <c r="I110" s="215">
        <f>Données!V110</f>
        <v>0</v>
      </c>
      <c r="J110" s="215">
        <f>Données!W110</f>
        <v>-2588.84</v>
      </c>
      <c r="K110" s="8">
        <f>+Données!Q110</f>
        <v>0</v>
      </c>
      <c r="L110" s="457">
        <f t="shared" si="4"/>
        <v>10729223.15</v>
      </c>
      <c r="M110" s="8">
        <f>+Données!F110</f>
        <v>0</v>
      </c>
      <c r="N110" s="8">
        <f>+Données!K110</f>
        <v>7803.5</v>
      </c>
      <c r="O110" s="8">
        <f>(Données!L110/Données!Y110)*1</f>
        <v>575774.35</v>
      </c>
      <c r="P110" s="457">
        <f t="shared" si="5"/>
        <v>11312801</v>
      </c>
      <c r="Q110" s="240">
        <f>+Données!X110</f>
        <v>59</v>
      </c>
      <c r="R110" s="457">
        <f t="shared" si="6"/>
        <v>191742.38983050847</v>
      </c>
    </row>
    <row r="111" spans="1:18" x14ac:dyDescent="0.25">
      <c r="A111" s="7">
        <f>Données!A111</f>
        <v>5586</v>
      </c>
      <c r="B111" s="27" t="str">
        <f>Données!B111</f>
        <v>Lausanne</v>
      </c>
      <c r="C111" s="8">
        <f>Données!C111+Données!D111</f>
        <v>358279754.54000002</v>
      </c>
      <c r="D111" s="8">
        <f>+Données!G111+Données!H111+Données!S111</f>
        <v>91210783.150000006</v>
      </c>
      <c r="E111" s="8">
        <f>+Données!E111</f>
        <v>0</v>
      </c>
      <c r="F111" s="8">
        <f>+Données!I111</f>
        <v>6608887.4400000004</v>
      </c>
      <c r="G111" s="8">
        <f>+Données!J111</f>
        <v>20383530.43</v>
      </c>
      <c r="H111" s="8">
        <f>Données!U111</f>
        <v>-7446520.7599999998</v>
      </c>
      <c r="I111" s="215">
        <f>Données!V111</f>
        <v>0</v>
      </c>
      <c r="J111" s="215">
        <f>Données!W111</f>
        <v>-598538.9</v>
      </c>
      <c r="K111" s="8">
        <f>+Données!Q111</f>
        <v>2236041.6</v>
      </c>
      <c r="L111" s="457">
        <f t="shared" si="4"/>
        <v>470673937.50000012</v>
      </c>
      <c r="M111" s="8">
        <f>+Données!F111</f>
        <v>0</v>
      </c>
      <c r="N111" s="8">
        <f>+Données!K111</f>
        <v>6198102.4000000004</v>
      </c>
      <c r="O111" s="8">
        <f>(Données!L111/Données!Y111)*1</f>
        <v>30073126.766666666</v>
      </c>
      <c r="P111" s="457">
        <f t="shared" si="5"/>
        <v>506945166.66666675</v>
      </c>
      <c r="Q111" s="240">
        <f>+Données!X111</f>
        <v>78.5</v>
      </c>
      <c r="R111" s="457">
        <f t="shared" si="6"/>
        <v>6457900.2123142257</v>
      </c>
    </row>
    <row r="112" spans="1:18" x14ac:dyDescent="0.25">
      <c r="A112" s="7">
        <f>Données!A112</f>
        <v>5587</v>
      </c>
      <c r="B112" s="27" t="str">
        <f>Données!B112</f>
        <v>Le Mont-sur-Lausanne</v>
      </c>
      <c r="C112" s="8">
        <f>Données!C112+Données!D112</f>
        <v>29290460.959999997</v>
      </c>
      <c r="D112" s="8">
        <f>+Données!G112+Données!H112+Données!S112</f>
        <v>3465000.62</v>
      </c>
      <c r="E112" s="8">
        <f>+Données!E112</f>
        <v>0</v>
      </c>
      <c r="F112" s="8">
        <f>+Données!I112</f>
        <v>278338.5</v>
      </c>
      <c r="G112" s="8">
        <f>+Données!J112</f>
        <v>552894.36</v>
      </c>
      <c r="H112" s="8">
        <f>Données!U112</f>
        <v>-292181.78000000003</v>
      </c>
      <c r="I112" s="215">
        <f>Données!V112</f>
        <v>0</v>
      </c>
      <c r="J112" s="215">
        <f>Données!W112</f>
        <v>-37059.47</v>
      </c>
      <c r="K112" s="8">
        <f>+Données!Q112</f>
        <v>49691.75</v>
      </c>
      <c r="L112" s="457">
        <f t="shared" si="4"/>
        <v>33307144.939999998</v>
      </c>
      <c r="M112" s="8">
        <f>+Données!F112</f>
        <v>0</v>
      </c>
      <c r="N112" s="8">
        <f>+Données!K112</f>
        <v>369721.85</v>
      </c>
      <c r="O112" s="8">
        <f>(Données!L112/Données!Y112)*1</f>
        <v>2699189.8333333335</v>
      </c>
      <c r="P112" s="457">
        <f t="shared" si="5"/>
        <v>36376056.623333335</v>
      </c>
      <c r="Q112" s="240">
        <f>+Données!X112</f>
        <v>73.5</v>
      </c>
      <c r="R112" s="457">
        <f t="shared" si="6"/>
        <v>494912.33501133788</v>
      </c>
    </row>
    <row r="113" spans="1:18" x14ac:dyDescent="0.25">
      <c r="A113" s="7">
        <f>Données!A113</f>
        <v>5588</v>
      </c>
      <c r="B113" s="27" t="str">
        <f>Données!B113</f>
        <v>Paudex</v>
      </c>
      <c r="C113" s="8">
        <f>Données!C113+Données!D113</f>
        <v>6858671.8800000008</v>
      </c>
      <c r="D113" s="8">
        <f>+Données!G113+Données!H113+Données!S113</f>
        <v>915302.84</v>
      </c>
      <c r="E113" s="8">
        <f>+Données!E113</f>
        <v>0</v>
      </c>
      <c r="F113" s="8">
        <f>+Données!I113</f>
        <v>649215.15</v>
      </c>
      <c r="G113" s="8">
        <f>+Données!J113</f>
        <v>391193.39</v>
      </c>
      <c r="H113" s="8">
        <f>Données!U113</f>
        <v>-30681.040000000001</v>
      </c>
      <c r="I113" s="215">
        <f>Données!V113</f>
        <v>0</v>
      </c>
      <c r="J113" s="215">
        <f>Données!W113</f>
        <v>-45516.02</v>
      </c>
      <c r="K113" s="8">
        <f>+Données!Q113</f>
        <v>2535</v>
      </c>
      <c r="L113" s="457">
        <f t="shared" si="4"/>
        <v>8740721.200000003</v>
      </c>
      <c r="M113" s="8">
        <f>+Données!F113</f>
        <v>0</v>
      </c>
      <c r="N113" s="8">
        <f>+Données!K113</f>
        <v>39501.050000000003</v>
      </c>
      <c r="O113" s="8">
        <f>(Données!L113/Données!Y113)*1</f>
        <v>564742.35714285716</v>
      </c>
      <c r="P113" s="457">
        <f t="shared" si="5"/>
        <v>9344964.6071428601</v>
      </c>
      <c r="Q113" s="240">
        <f>+Données!X113</f>
        <v>66.5</v>
      </c>
      <c r="R113" s="457">
        <f t="shared" si="6"/>
        <v>140525.78356605806</v>
      </c>
    </row>
    <row r="114" spans="1:18" x14ac:dyDescent="0.25">
      <c r="A114" s="7">
        <f>Données!A114</f>
        <v>5589</v>
      </c>
      <c r="B114" s="27" t="str">
        <f>Données!B114</f>
        <v>Prilly</v>
      </c>
      <c r="C114" s="8">
        <f>Données!C114+Données!D114</f>
        <v>21752919.669999998</v>
      </c>
      <c r="D114" s="8">
        <f>+Données!G114+Données!H114+Données!S114</f>
        <v>4977354.58</v>
      </c>
      <c r="E114" s="8">
        <f>+Données!E114</f>
        <v>0</v>
      </c>
      <c r="F114" s="8">
        <f>+Données!I114</f>
        <v>58264.7</v>
      </c>
      <c r="G114" s="8">
        <f>+Données!J114</f>
        <v>1230431.6399999999</v>
      </c>
      <c r="H114" s="8">
        <f>Données!U114</f>
        <v>-426252.15</v>
      </c>
      <c r="I114" s="215">
        <f>Données!V114</f>
        <v>0</v>
      </c>
      <c r="J114" s="215">
        <f>Données!W114</f>
        <v>-96008.36</v>
      </c>
      <c r="K114" s="8">
        <f>+Données!Q114</f>
        <v>118142.6</v>
      </c>
      <c r="L114" s="457">
        <f t="shared" si="4"/>
        <v>27614852.680000003</v>
      </c>
      <c r="M114" s="8">
        <f>+Données!F114</f>
        <v>0</v>
      </c>
      <c r="N114" s="8">
        <f>+Données!K114</f>
        <v>520616.25</v>
      </c>
      <c r="O114" s="8">
        <f>(Données!L114/Données!Y114)*1</f>
        <v>2266507.7307692305</v>
      </c>
      <c r="P114" s="457">
        <f t="shared" si="5"/>
        <v>30401976.660769235</v>
      </c>
      <c r="Q114" s="240">
        <f>+Données!X114</f>
        <v>72.5</v>
      </c>
      <c r="R114" s="457">
        <f t="shared" si="6"/>
        <v>419337.60911405843</v>
      </c>
    </row>
    <row r="115" spans="1:18" x14ac:dyDescent="0.25">
      <c r="A115" s="7">
        <f>Données!A115</f>
        <v>5590</v>
      </c>
      <c r="B115" s="27" t="str">
        <f>Données!B115</f>
        <v>Pully</v>
      </c>
      <c r="C115" s="8">
        <f>Données!C115+Données!D115</f>
        <v>74651093.030000001</v>
      </c>
      <c r="D115" s="8">
        <f>+Données!G115+Données!H115+Données!S115</f>
        <v>15969658.27</v>
      </c>
      <c r="E115" s="8">
        <f>+Données!E115</f>
        <v>0</v>
      </c>
      <c r="F115" s="8">
        <f>+Données!I115</f>
        <v>2088944.34</v>
      </c>
      <c r="G115" s="8">
        <f>+Données!J115</f>
        <v>899998.49</v>
      </c>
      <c r="H115" s="8">
        <f>Données!U115</f>
        <v>-686682.37</v>
      </c>
      <c r="I115" s="215">
        <f>Données!V115</f>
        <v>0</v>
      </c>
      <c r="J115" s="215">
        <f>Données!W115</f>
        <v>-1109983.06</v>
      </c>
      <c r="K115" s="8">
        <f>+Données!Q115</f>
        <v>154132.1</v>
      </c>
      <c r="L115" s="457">
        <f t="shared" si="4"/>
        <v>91967160.799999982</v>
      </c>
      <c r="M115" s="8">
        <f>+Données!F115</f>
        <v>0</v>
      </c>
      <c r="N115" s="8">
        <f>+Données!K115</f>
        <v>443570.25</v>
      </c>
      <c r="O115" s="8">
        <f>(Données!L115/Données!Y115)*1</f>
        <v>5324795.7857142854</v>
      </c>
      <c r="P115" s="457">
        <f t="shared" si="5"/>
        <v>97735526.835714266</v>
      </c>
      <c r="Q115" s="240">
        <f>+Données!X115</f>
        <v>61</v>
      </c>
      <c r="R115" s="457">
        <f t="shared" si="6"/>
        <v>1602221.7514051518</v>
      </c>
    </row>
    <row r="116" spans="1:18" x14ac:dyDescent="0.25">
      <c r="A116" s="7">
        <f>Données!A116</f>
        <v>5591</v>
      </c>
      <c r="B116" s="27" t="str">
        <f>Données!B116</f>
        <v>Renens</v>
      </c>
      <c r="C116" s="8">
        <f>Données!C116+Données!D116</f>
        <v>32272385.270000003</v>
      </c>
      <c r="D116" s="8">
        <f>+Données!G116+Données!H116+Données!S116</f>
        <v>5842562.4500000002</v>
      </c>
      <c r="E116" s="8">
        <f>+Données!E116</f>
        <v>0</v>
      </c>
      <c r="F116" s="8">
        <f>+Données!I116</f>
        <v>0</v>
      </c>
      <c r="G116" s="8">
        <f>+Données!J116</f>
        <v>2166767.0299999998</v>
      </c>
      <c r="H116" s="8">
        <f>Données!U116</f>
        <v>-1255483.56</v>
      </c>
      <c r="I116" s="215">
        <f>Données!V116</f>
        <v>0</v>
      </c>
      <c r="J116" s="215">
        <f>Données!W116</f>
        <v>-10126.68</v>
      </c>
      <c r="K116" s="8">
        <f>+Données!Q116</f>
        <v>342466.65</v>
      </c>
      <c r="L116" s="457">
        <f t="shared" si="4"/>
        <v>39358571.160000004</v>
      </c>
      <c r="M116" s="8">
        <f>+Données!F116</f>
        <v>0</v>
      </c>
      <c r="N116" s="8">
        <f>+Données!K116</f>
        <v>808812.05</v>
      </c>
      <c r="O116" s="8">
        <f>(Données!L116/Données!Y116)*1</f>
        <v>3687961.6785714286</v>
      </c>
      <c r="P116" s="457">
        <f t="shared" si="5"/>
        <v>43855344.888571426</v>
      </c>
      <c r="Q116" s="240">
        <f>+Données!X116</f>
        <v>77</v>
      </c>
      <c r="R116" s="457">
        <f t="shared" si="6"/>
        <v>569549.93361781072</v>
      </c>
    </row>
    <row r="117" spans="1:18" x14ac:dyDescent="0.25">
      <c r="A117" s="7">
        <f>Données!A117</f>
        <v>5592</v>
      </c>
      <c r="B117" s="27" t="str">
        <f>Données!B117</f>
        <v>Romanel-sur-Lausanne</v>
      </c>
      <c r="C117" s="8">
        <f>Données!C117+Données!D117</f>
        <v>6912367.1699999999</v>
      </c>
      <c r="D117" s="8">
        <f>+Données!G117+Données!H117+Données!S117</f>
        <v>636464.08000000007</v>
      </c>
      <c r="E117" s="8">
        <f>+Données!E117</f>
        <v>0</v>
      </c>
      <c r="F117" s="8">
        <f>+Données!I117</f>
        <v>49520.55</v>
      </c>
      <c r="G117" s="8">
        <f>+Données!J117</f>
        <v>193586.8</v>
      </c>
      <c r="H117" s="8">
        <f>Données!U117</f>
        <v>-98222.399999999994</v>
      </c>
      <c r="I117" s="215">
        <f>Données!V117</f>
        <v>0</v>
      </c>
      <c r="J117" s="215">
        <f>Données!W117</f>
        <v>-1524.84</v>
      </c>
      <c r="K117" s="8">
        <f>+Données!Q117</f>
        <v>51183.95</v>
      </c>
      <c r="L117" s="457">
        <f t="shared" si="4"/>
        <v>7743375.3099999996</v>
      </c>
      <c r="M117" s="8">
        <f>+Données!F117</f>
        <v>0</v>
      </c>
      <c r="N117" s="8">
        <f>+Données!K117</f>
        <v>68343.199999999997</v>
      </c>
      <c r="O117" s="8">
        <f>(Données!L117/Données!Y117)*1</f>
        <v>722916.92</v>
      </c>
      <c r="P117" s="457">
        <f t="shared" si="5"/>
        <v>8534635.4299999997</v>
      </c>
      <c r="Q117" s="240">
        <f>+Données!X117</f>
        <v>70.5</v>
      </c>
      <c r="R117" s="457">
        <f t="shared" si="6"/>
        <v>121058.65858156027</v>
      </c>
    </row>
    <row r="118" spans="1:18" x14ac:dyDescent="0.25">
      <c r="A118" s="7">
        <f>Données!A118</f>
        <v>5601</v>
      </c>
      <c r="B118" s="27" t="str">
        <f>Données!B118</f>
        <v>Chexbres</v>
      </c>
      <c r="C118" s="8">
        <f>Données!C118+Données!D118</f>
        <v>6361149.5</v>
      </c>
      <c r="D118" s="8">
        <f>+Données!G118+Données!H118+Données!S118</f>
        <v>189276.73</v>
      </c>
      <c r="E118" s="8">
        <f>+Données!E118</f>
        <v>0</v>
      </c>
      <c r="F118" s="8">
        <f>+Données!I118</f>
        <v>30402.67</v>
      </c>
      <c r="G118" s="8">
        <f>+Données!J118</f>
        <v>76507.83</v>
      </c>
      <c r="H118" s="8">
        <f>Données!U118</f>
        <v>-37059.879999999997</v>
      </c>
      <c r="I118" s="215">
        <f>Données!V118</f>
        <v>0</v>
      </c>
      <c r="J118" s="215">
        <f>Données!W118</f>
        <v>-5527.33</v>
      </c>
      <c r="K118" s="8">
        <f>+Données!Q118</f>
        <v>20962.3</v>
      </c>
      <c r="L118" s="457">
        <f t="shared" si="4"/>
        <v>6635711.8200000003</v>
      </c>
      <c r="M118" s="8">
        <f>+Données!F118</f>
        <v>0</v>
      </c>
      <c r="N118" s="8">
        <f>+Données!K118</f>
        <v>25888.799999999999</v>
      </c>
      <c r="O118" s="8">
        <f>(Données!L118/Données!Y118)*1</f>
        <v>490995.9</v>
      </c>
      <c r="P118" s="457">
        <f t="shared" si="5"/>
        <v>7152596.5200000005</v>
      </c>
      <c r="Q118" s="240">
        <f>+Données!X118</f>
        <v>67.5</v>
      </c>
      <c r="R118" s="457">
        <f t="shared" si="6"/>
        <v>105964.39288888889</v>
      </c>
    </row>
    <row r="119" spans="1:18" x14ac:dyDescent="0.25">
      <c r="A119" s="7">
        <f>Données!A119</f>
        <v>5604</v>
      </c>
      <c r="B119" s="27" t="str">
        <f>Données!B119</f>
        <v>Forel (Lavaux)</v>
      </c>
      <c r="C119" s="8">
        <f>Données!C119+Données!D119</f>
        <v>4443256.25</v>
      </c>
      <c r="D119" s="8">
        <f>+Données!G119+Données!H119+Données!S119</f>
        <v>274042.18</v>
      </c>
      <c r="E119" s="8">
        <f>+Données!E119</f>
        <v>0</v>
      </c>
      <c r="F119" s="8">
        <f>+Données!I119</f>
        <v>0</v>
      </c>
      <c r="G119" s="8">
        <f>+Données!J119</f>
        <v>82763.87</v>
      </c>
      <c r="H119" s="8">
        <f>Données!U119</f>
        <v>-40994.79</v>
      </c>
      <c r="I119" s="215">
        <f>Données!V119</f>
        <v>0</v>
      </c>
      <c r="J119" s="215">
        <f>Données!W119</f>
        <v>-3483.99</v>
      </c>
      <c r="K119" s="8">
        <f>+Données!Q119</f>
        <v>30434.84</v>
      </c>
      <c r="L119" s="457">
        <f t="shared" si="4"/>
        <v>4786018.3599999994</v>
      </c>
      <c r="M119" s="8">
        <f>+Données!F119</f>
        <v>0</v>
      </c>
      <c r="N119" s="8">
        <f>+Données!K119</f>
        <v>29910.35</v>
      </c>
      <c r="O119" s="8">
        <f>(Données!L119/Données!Y119)*1</f>
        <v>414729.65</v>
      </c>
      <c r="P119" s="457">
        <f t="shared" si="5"/>
        <v>5230658.3599999994</v>
      </c>
      <c r="Q119" s="240">
        <f>+Données!X119</f>
        <v>69</v>
      </c>
      <c r="R119" s="457">
        <f t="shared" si="6"/>
        <v>75806.642898550723</v>
      </c>
    </row>
    <row r="120" spans="1:18" x14ac:dyDescent="0.25">
      <c r="A120" s="7">
        <f>Données!A120</f>
        <v>5606</v>
      </c>
      <c r="B120" s="27" t="str">
        <f>Données!B120</f>
        <v>Lutry</v>
      </c>
      <c r="C120" s="8">
        <f>Données!C120+Données!D120</f>
        <v>41345098.869999997</v>
      </c>
      <c r="D120" s="8">
        <f>+Données!G120+Données!H120+Données!S120</f>
        <v>5702528.2499999991</v>
      </c>
      <c r="E120" s="8">
        <f>+Données!E120</f>
        <v>0</v>
      </c>
      <c r="F120" s="8">
        <f>+Données!I120</f>
        <v>1236629.21</v>
      </c>
      <c r="G120" s="8">
        <f>+Données!J120</f>
        <v>547446.17000000004</v>
      </c>
      <c r="H120" s="8">
        <f>Données!U120</f>
        <v>-370372.63</v>
      </c>
      <c r="I120" s="215">
        <f>Données!V120</f>
        <v>0</v>
      </c>
      <c r="J120" s="215">
        <f>Données!W120</f>
        <v>-132133.51999999999</v>
      </c>
      <c r="K120" s="8">
        <f>+Données!Q120</f>
        <v>103618.92</v>
      </c>
      <c r="L120" s="457">
        <f t="shared" si="4"/>
        <v>48432815.269999996</v>
      </c>
      <c r="M120" s="8">
        <f>+Données!F120</f>
        <v>0</v>
      </c>
      <c r="N120" s="8">
        <f>+Données!K120</f>
        <v>35287.949999999997</v>
      </c>
      <c r="O120" s="8">
        <f>(Données!L120/Données!Y120)*1</f>
        <v>3338769.7857142859</v>
      </c>
      <c r="P120" s="457">
        <f t="shared" si="5"/>
        <v>51806873.005714282</v>
      </c>
      <c r="Q120" s="240">
        <f>+Données!X120</f>
        <v>54</v>
      </c>
      <c r="R120" s="457">
        <f t="shared" si="6"/>
        <v>959386.53714285709</v>
      </c>
    </row>
    <row r="121" spans="1:18" x14ac:dyDescent="0.25">
      <c r="A121" s="7">
        <f>Données!A121</f>
        <v>5607</v>
      </c>
      <c r="B121" s="27" t="str">
        <f>Données!B121</f>
        <v>Puidoux</v>
      </c>
      <c r="C121" s="8">
        <f>Données!C121+Données!D121</f>
        <v>5770201.9100000001</v>
      </c>
      <c r="D121" s="8">
        <f>+Données!G121+Données!H121+Données!S121</f>
        <v>930331.28999999992</v>
      </c>
      <c r="E121" s="8">
        <f>+Données!E121</f>
        <v>0</v>
      </c>
      <c r="F121" s="8">
        <f>+Données!I121</f>
        <v>398.5</v>
      </c>
      <c r="G121" s="8">
        <f>+Données!J121</f>
        <v>170524.94</v>
      </c>
      <c r="H121" s="8">
        <f>Données!U121</f>
        <v>-59486.57</v>
      </c>
      <c r="I121" s="215">
        <f>Données!V121</f>
        <v>0</v>
      </c>
      <c r="J121" s="215">
        <f>Données!W121</f>
        <v>-8236.2000000000007</v>
      </c>
      <c r="K121" s="8">
        <f>+Données!Q121</f>
        <v>19247.150000000001</v>
      </c>
      <c r="L121" s="457">
        <f t="shared" si="4"/>
        <v>6822981.0200000005</v>
      </c>
      <c r="M121" s="8">
        <f>+Données!F121</f>
        <v>0</v>
      </c>
      <c r="N121" s="8">
        <f>+Données!K121</f>
        <v>113211.4</v>
      </c>
      <c r="O121" s="8">
        <f>(Données!L121/Données!Y121)*1</f>
        <v>704188.04347826098</v>
      </c>
      <c r="P121" s="457">
        <f t="shared" si="5"/>
        <v>7640380.4634782616</v>
      </c>
      <c r="Q121" s="240">
        <f>+Données!X121</f>
        <v>68.5</v>
      </c>
      <c r="R121" s="457">
        <f t="shared" si="6"/>
        <v>111538.40092668995</v>
      </c>
    </row>
    <row r="122" spans="1:18" x14ac:dyDescent="0.25">
      <c r="A122" s="7">
        <f>Données!A122</f>
        <v>5609</v>
      </c>
      <c r="B122" s="27" t="str">
        <f>Données!B122</f>
        <v>Rivaz</v>
      </c>
      <c r="C122" s="8">
        <f>Données!C122+Données!D122</f>
        <v>893966.39</v>
      </c>
      <c r="D122" s="8">
        <f>+Données!G122+Données!H122+Données!S122</f>
        <v>12456.369999999999</v>
      </c>
      <c r="E122" s="8">
        <f>+Données!E122</f>
        <v>0</v>
      </c>
      <c r="F122" s="8">
        <f>+Données!I122</f>
        <v>0</v>
      </c>
      <c r="G122" s="8">
        <f>+Données!J122</f>
        <v>-48435.360000000001</v>
      </c>
      <c r="H122" s="8">
        <f>Données!U122</f>
        <v>-101.79</v>
      </c>
      <c r="I122" s="215">
        <f>Données!V122</f>
        <v>0</v>
      </c>
      <c r="J122" s="215">
        <f>Données!W122</f>
        <v>-91.08</v>
      </c>
      <c r="K122" s="8">
        <f>+Données!Q122</f>
        <v>2806.56</v>
      </c>
      <c r="L122" s="457">
        <f t="shared" si="4"/>
        <v>860601.09000000008</v>
      </c>
      <c r="M122" s="8">
        <f>+Données!F122</f>
        <v>0</v>
      </c>
      <c r="N122" s="8">
        <f>+Données!K122</f>
        <v>1050.4000000000001</v>
      </c>
      <c r="O122" s="8">
        <f>(Données!L122/Données!Y122)*1</f>
        <v>61893.65</v>
      </c>
      <c r="P122" s="457">
        <f t="shared" si="5"/>
        <v>923545.14000000013</v>
      </c>
      <c r="Q122" s="240">
        <f>+Données!X122</f>
        <v>62</v>
      </c>
      <c r="R122" s="457">
        <f t="shared" si="6"/>
        <v>14895.889354838711</v>
      </c>
    </row>
    <row r="123" spans="1:18" x14ac:dyDescent="0.25">
      <c r="A123" s="7">
        <f>Données!A123</f>
        <v>5610</v>
      </c>
      <c r="B123" s="27" t="str">
        <f>Données!B123</f>
        <v>St-Saphorin (Lavaux)</v>
      </c>
      <c r="C123" s="8">
        <f>Données!C123+Données!D123</f>
        <v>1484069.74</v>
      </c>
      <c r="D123" s="8">
        <f>+Données!G123+Données!H123+Données!S123</f>
        <v>15301.97</v>
      </c>
      <c r="E123" s="8">
        <f>+Données!E123</f>
        <v>0</v>
      </c>
      <c r="F123" s="8">
        <f>+Données!I123</f>
        <v>50486.1</v>
      </c>
      <c r="G123" s="8">
        <f>+Données!J123</f>
        <v>24275.42</v>
      </c>
      <c r="H123" s="8">
        <f>Données!U123</f>
        <v>-6313.85</v>
      </c>
      <c r="I123" s="215">
        <f>Données!V123</f>
        <v>0</v>
      </c>
      <c r="J123" s="215">
        <f>Données!W123</f>
        <v>3687.37</v>
      </c>
      <c r="K123" s="8">
        <f>+Données!Q123</f>
        <v>2963.4</v>
      </c>
      <c r="L123" s="457">
        <f t="shared" si="4"/>
        <v>1574470.15</v>
      </c>
      <c r="M123" s="8">
        <f>+Données!F123</f>
        <v>0</v>
      </c>
      <c r="N123" s="8">
        <f>+Données!K123</f>
        <v>7110.45</v>
      </c>
      <c r="O123" s="8">
        <f>(Données!L123/Données!Y123)*1</f>
        <v>106661.375</v>
      </c>
      <c r="P123" s="457">
        <f t="shared" si="5"/>
        <v>1688241.9749999999</v>
      </c>
      <c r="Q123" s="240">
        <f>+Données!X123</f>
        <v>72</v>
      </c>
      <c r="R123" s="457">
        <f t="shared" si="6"/>
        <v>23447.805208333331</v>
      </c>
    </row>
    <row r="124" spans="1:18" x14ac:dyDescent="0.25">
      <c r="A124" s="7">
        <f>Données!A124</f>
        <v>5611</v>
      </c>
      <c r="B124" s="27" t="str">
        <f>Données!B124</f>
        <v>Savigny</v>
      </c>
      <c r="C124" s="8">
        <f>Données!C124+Données!D124</f>
        <v>8359482.3099999996</v>
      </c>
      <c r="D124" s="8">
        <f>+Données!G124+Données!H124+Données!S124</f>
        <v>477266.66000000003</v>
      </c>
      <c r="E124" s="8">
        <f>+Données!E124</f>
        <v>0</v>
      </c>
      <c r="F124" s="8">
        <f>+Données!I124</f>
        <v>133186.6</v>
      </c>
      <c r="G124" s="8">
        <f>+Données!J124</f>
        <v>137123.69</v>
      </c>
      <c r="H124" s="8">
        <f>Données!U124</f>
        <v>-75255.460000000006</v>
      </c>
      <c r="I124" s="215">
        <f>Données!V124</f>
        <v>0</v>
      </c>
      <c r="J124" s="215">
        <f>Données!W124</f>
        <v>-2819.69</v>
      </c>
      <c r="K124" s="8">
        <f>+Données!Q124</f>
        <v>7310.04</v>
      </c>
      <c r="L124" s="457">
        <f t="shared" si="4"/>
        <v>9036294.1499999966</v>
      </c>
      <c r="M124" s="8">
        <f>+Données!F124</f>
        <v>0</v>
      </c>
      <c r="N124" s="8">
        <f>+Données!K124</f>
        <v>11840.85</v>
      </c>
      <c r="O124" s="8">
        <f>(Données!L124/Données!Y124)*1</f>
        <v>678225.95833333337</v>
      </c>
      <c r="P124" s="457">
        <f t="shared" si="5"/>
        <v>9726360.9583333302</v>
      </c>
      <c r="Q124" s="240">
        <f>+Données!X124</f>
        <v>69</v>
      </c>
      <c r="R124" s="457">
        <f t="shared" si="6"/>
        <v>140961.75301932363</v>
      </c>
    </row>
    <row r="125" spans="1:18" x14ac:dyDescent="0.25">
      <c r="A125" s="7">
        <f>Données!A125</f>
        <v>5613</v>
      </c>
      <c r="B125" s="27" t="str">
        <f>Données!B125</f>
        <v>Bourg-en-Lavaux</v>
      </c>
      <c r="C125" s="8">
        <f>Données!C125+Données!D125</f>
        <v>20480376.380000003</v>
      </c>
      <c r="D125" s="8">
        <f>+Données!G125+Données!H125+Données!S125</f>
        <v>202234.57</v>
      </c>
      <c r="E125" s="8">
        <f>+Données!E125</f>
        <v>0</v>
      </c>
      <c r="F125" s="8">
        <f>+Données!I125</f>
        <v>133620.6</v>
      </c>
      <c r="G125" s="8">
        <f>+Données!J125</f>
        <v>108768.4</v>
      </c>
      <c r="H125" s="8">
        <f>Données!U125</f>
        <v>-108315.66</v>
      </c>
      <c r="I125" s="215">
        <f>Données!V125</f>
        <v>0</v>
      </c>
      <c r="J125" s="215">
        <f>Données!W125</f>
        <v>-37799.4</v>
      </c>
      <c r="K125" s="8">
        <f>+Données!Q125</f>
        <v>15380.43</v>
      </c>
      <c r="L125" s="457">
        <f t="shared" si="4"/>
        <v>20794265.320000004</v>
      </c>
      <c r="M125" s="8">
        <f>+Données!F125</f>
        <v>0</v>
      </c>
      <c r="N125" s="8">
        <f>+Données!K125</f>
        <v>27904.85</v>
      </c>
      <c r="O125" s="8">
        <f>(Données!L125/Données!Y125)*1</f>
        <v>1502865.4333333333</v>
      </c>
      <c r="P125" s="457">
        <f t="shared" si="5"/>
        <v>22325035.603333339</v>
      </c>
      <c r="Q125" s="240">
        <f>+Données!X125</f>
        <v>62.5</v>
      </c>
      <c r="R125" s="457">
        <f t="shared" si="6"/>
        <v>357200.5696533334</v>
      </c>
    </row>
    <row r="126" spans="1:18" x14ac:dyDescent="0.25">
      <c r="A126" s="7">
        <f>Données!A126</f>
        <v>5621</v>
      </c>
      <c r="B126" s="27" t="str">
        <f>Données!B126</f>
        <v>Aclens</v>
      </c>
      <c r="C126" s="8">
        <f>Données!C126+Données!D126</f>
        <v>1138637.58</v>
      </c>
      <c r="D126" s="8">
        <f>+Données!G126+Données!H126+Données!S126</f>
        <v>524415.53</v>
      </c>
      <c r="E126" s="8">
        <f>+Données!E126</f>
        <v>0</v>
      </c>
      <c r="F126" s="8">
        <f>+Données!I126</f>
        <v>0</v>
      </c>
      <c r="G126" s="8">
        <f>+Données!J126</f>
        <v>52181.27</v>
      </c>
      <c r="H126" s="8">
        <f>Données!U126</f>
        <v>-15984.06</v>
      </c>
      <c r="I126" s="215">
        <f>Données!V126</f>
        <v>0</v>
      </c>
      <c r="J126" s="215">
        <f>Données!W126</f>
        <v>-2607.86</v>
      </c>
      <c r="K126" s="8">
        <f>+Données!Q126</f>
        <v>2681.08</v>
      </c>
      <c r="L126" s="457">
        <f t="shared" si="4"/>
        <v>1699323.54</v>
      </c>
      <c r="M126" s="8">
        <f>+Données!F126</f>
        <v>0</v>
      </c>
      <c r="N126" s="8">
        <f>+Données!K126</f>
        <v>5486.25</v>
      </c>
      <c r="O126" s="8">
        <f>(Données!L126/Données!Y126)*1</f>
        <v>294389.45454545453</v>
      </c>
      <c r="P126" s="457">
        <f t="shared" si="5"/>
        <v>1999199.2445454546</v>
      </c>
      <c r="Q126" s="240">
        <f>+Données!X126</f>
        <v>62</v>
      </c>
      <c r="R126" s="457">
        <f t="shared" si="6"/>
        <v>32245.149105571847</v>
      </c>
    </row>
    <row r="127" spans="1:18" x14ac:dyDescent="0.25">
      <c r="A127" s="7">
        <f>Données!A127</f>
        <v>5622</v>
      </c>
      <c r="B127" s="27" t="str">
        <f>Données!B127</f>
        <v>Bremblens</v>
      </c>
      <c r="C127" s="8">
        <f>Données!C127+Données!D127</f>
        <v>1775237.06</v>
      </c>
      <c r="D127" s="8">
        <f>+Données!G127+Données!H127+Données!S127</f>
        <v>29691.599999999999</v>
      </c>
      <c r="E127" s="8">
        <f>+Données!E127</f>
        <v>0</v>
      </c>
      <c r="F127" s="8">
        <f>+Données!I127</f>
        <v>0</v>
      </c>
      <c r="G127" s="8">
        <f>+Données!J127</f>
        <v>-16815.63</v>
      </c>
      <c r="H127" s="8">
        <f>Données!U127</f>
        <v>-1341</v>
      </c>
      <c r="I127" s="215">
        <f>Données!V127</f>
        <v>0</v>
      </c>
      <c r="J127" s="215">
        <f>Données!W127</f>
        <v>-273.10000000000002</v>
      </c>
      <c r="K127" s="8">
        <f>+Données!Q127</f>
        <v>2408.12</v>
      </c>
      <c r="L127" s="457">
        <f t="shared" si="4"/>
        <v>1788907.0500000003</v>
      </c>
      <c r="M127" s="8">
        <f>+Données!F127</f>
        <v>0</v>
      </c>
      <c r="N127" s="8">
        <f>+Données!K127</f>
        <v>5220.5</v>
      </c>
      <c r="O127" s="8">
        <f>(Données!L127/Données!Y127)*1</f>
        <v>153568.5</v>
      </c>
      <c r="P127" s="457">
        <f t="shared" si="5"/>
        <v>1947696.0500000003</v>
      </c>
      <c r="Q127" s="240">
        <f>+Données!X127</f>
        <v>68</v>
      </c>
      <c r="R127" s="457">
        <f t="shared" si="6"/>
        <v>28642.58897058824</v>
      </c>
    </row>
    <row r="128" spans="1:18" x14ac:dyDescent="0.25">
      <c r="A128" s="7">
        <f>Données!A128</f>
        <v>5623</v>
      </c>
      <c r="B128" s="27" t="str">
        <f>Données!B128</f>
        <v>Buchillon</v>
      </c>
      <c r="C128" s="8">
        <f>Données!C128+Données!D128</f>
        <v>4027324.67</v>
      </c>
      <c r="D128" s="8">
        <f>+Données!G128+Données!H128+Données!S128</f>
        <v>134231.42000000001</v>
      </c>
      <c r="E128" s="8">
        <f>+Données!E128</f>
        <v>0</v>
      </c>
      <c r="F128" s="8">
        <f>+Données!I128</f>
        <v>70477.600000000006</v>
      </c>
      <c r="G128" s="8">
        <f>+Données!J128</f>
        <v>78045.86</v>
      </c>
      <c r="H128" s="8">
        <f>Données!U128</f>
        <v>-5919.64</v>
      </c>
      <c r="I128" s="215">
        <f>Données!V128</f>
        <v>0</v>
      </c>
      <c r="J128" s="215">
        <f>Données!W128</f>
        <v>-27725.95</v>
      </c>
      <c r="K128" s="8">
        <f>+Données!Q128</f>
        <v>3281.99</v>
      </c>
      <c r="L128" s="457">
        <f t="shared" si="4"/>
        <v>4279715.95</v>
      </c>
      <c r="M128" s="8">
        <f>+Données!F128</f>
        <v>0</v>
      </c>
      <c r="N128" s="8">
        <f>+Données!K128</f>
        <v>956.5</v>
      </c>
      <c r="O128" s="8">
        <f>(Données!L128/Données!Y128)*1</f>
        <v>358974.1</v>
      </c>
      <c r="P128" s="457">
        <f t="shared" si="5"/>
        <v>4639646.55</v>
      </c>
      <c r="Q128" s="240">
        <f>+Données!X128</f>
        <v>52</v>
      </c>
      <c r="R128" s="457">
        <f t="shared" si="6"/>
        <v>89223.972115384619</v>
      </c>
    </row>
    <row r="129" spans="1:18" x14ac:dyDescent="0.25">
      <c r="A129" s="7">
        <f>Données!A129</f>
        <v>5624</v>
      </c>
      <c r="B129" s="27" t="str">
        <f>Données!B129</f>
        <v>Bussigny</v>
      </c>
      <c r="C129" s="8">
        <f>Données!C129+Données!D129</f>
        <v>17706760.689999998</v>
      </c>
      <c r="D129" s="8">
        <f>+Données!G129+Données!H129+Données!S129</f>
        <v>6612779.7300000004</v>
      </c>
      <c r="E129" s="8">
        <f>+Données!E129</f>
        <v>0</v>
      </c>
      <c r="F129" s="8">
        <f>+Données!I129</f>
        <v>0</v>
      </c>
      <c r="G129" s="8">
        <f>+Données!J129</f>
        <v>829962.01</v>
      </c>
      <c r="H129" s="8">
        <f>Données!U129</f>
        <v>-239467.34</v>
      </c>
      <c r="I129" s="215">
        <f>Données!V129</f>
        <v>0</v>
      </c>
      <c r="J129" s="215">
        <f>Données!W129</f>
        <v>-875.77</v>
      </c>
      <c r="K129" s="8">
        <f>+Données!Q129</f>
        <v>40187.81</v>
      </c>
      <c r="L129" s="457">
        <f t="shared" si="4"/>
        <v>24949347.129999999</v>
      </c>
      <c r="M129" s="8">
        <f>+Données!F129</f>
        <v>0</v>
      </c>
      <c r="N129" s="8">
        <f>+Données!K129</f>
        <v>374353.85</v>
      </c>
      <c r="O129" s="8">
        <f>(Données!L129/Données!Y129)*1</f>
        <v>2279584.12</v>
      </c>
      <c r="P129" s="457">
        <f t="shared" si="5"/>
        <v>27603285.100000001</v>
      </c>
      <c r="Q129" s="240">
        <f>+Données!X129</f>
        <v>62.5</v>
      </c>
      <c r="R129" s="457">
        <f t="shared" si="6"/>
        <v>441652.56160000002</v>
      </c>
    </row>
    <row r="130" spans="1:18" x14ac:dyDescent="0.25">
      <c r="A130" s="7">
        <f>Données!A130</f>
        <v>5627</v>
      </c>
      <c r="B130" s="27" t="str">
        <f>Données!B130</f>
        <v>Chavannes-près-Renens</v>
      </c>
      <c r="C130" s="8">
        <f>Données!C130+Données!D130</f>
        <v>11493061.02</v>
      </c>
      <c r="D130" s="8">
        <f>+Données!G130+Données!H130+Données!S130</f>
        <v>1484981.75</v>
      </c>
      <c r="E130" s="8">
        <f>+Données!E130</f>
        <v>0</v>
      </c>
      <c r="F130" s="8">
        <f>+Données!I130</f>
        <v>0</v>
      </c>
      <c r="G130" s="8">
        <f>+Données!J130</f>
        <v>842647.95</v>
      </c>
      <c r="H130" s="8">
        <f>Données!U130</f>
        <v>-417827.59</v>
      </c>
      <c r="I130" s="215">
        <f>Données!V130</f>
        <v>0</v>
      </c>
      <c r="J130" s="215">
        <f>Données!W130</f>
        <v>-561.55999999999995</v>
      </c>
      <c r="K130" s="8">
        <f>+Données!Q130</f>
        <v>69857.63</v>
      </c>
      <c r="L130" s="457">
        <f t="shared" si="4"/>
        <v>13472159.199999999</v>
      </c>
      <c r="M130" s="8">
        <f>+Données!F130</f>
        <v>0</v>
      </c>
      <c r="N130" s="8">
        <f>+Données!K130</f>
        <v>355316.4</v>
      </c>
      <c r="O130" s="8">
        <f>(Données!L130/Données!Y130)*1</f>
        <v>1208585.2</v>
      </c>
      <c r="P130" s="457">
        <f t="shared" si="5"/>
        <v>15036060.799999999</v>
      </c>
      <c r="Q130" s="240">
        <f>+Données!X130</f>
        <v>77.5</v>
      </c>
      <c r="R130" s="457">
        <f t="shared" si="6"/>
        <v>194013.68774193546</v>
      </c>
    </row>
    <row r="131" spans="1:18" x14ac:dyDescent="0.25">
      <c r="A131" s="7">
        <f>Données!A131</f>
        <v>5628</v>
      </c>
      <c r="B131" s="27" t="str">
        <f>Données!B131</f>
        <v>Chigny</v>
      </c>
      <c r="C131" s="8">
        <f>Données!C131+Données!D131</f>
        <v>1484669.19</v>
      </c>
      <c r="D131" s="8">
        <f>+Données!G131+Données!H131+Données!S131</f>
        <v>4915.9399999999996</v>
      </c>
      <c r="E131" s="8">
        <f>+Données!E131</f>
        <v>0</v>
      </c>
      <c r="F131" s="8">
        <f>+Données!I131</f>
        <v>0</v>
      </c>
      <c r="G131" s="8">
        <f>+Données!J131</f>
        <v>3631.2</v>
      </c>
      <c r="H131" s="8">
        <f>Données!U131</f>
        <v>-1325.01</v>
      </c>
      <c r="I131" s="215">
        <f>Données!V131</f>
        <v>0</v>
      </c>
      <c r="J131" s="215">
        <f>Données!W131</f>
        <v>-57.45</v>
      </c>
      <c r="K131" s="8">
        <f>+Données!Q131</f>
        <v>0</v>
      </c>
      <c r="L131" s="457">
        <f t="shared" si="4"/>
        <v>1491833.8699999999</v>
      </c>
      <c r="M131" s="8">
        <f>+Données!F131</f>
        <v>0</v>
      </c>
      <c r="N131" s="8">
        <f>+Données!K131</f>
        <v>859.5</v>
      </c>
      <c r="O131" s="8">
        <f>(Données!L131/Données!Y131)*1</f>
        <v>106327.3</v>
      </c>
      <c r="P131" s="457">
        <f t="shared" si="5"/>
        <v>1599020.67</v>
      </c>
      <c r="Q131" s="240">
        <f>+Données!X131</f>
        <v>62</v>
      </c>
      <c r="R131" s="457">
        <f t="shared" si="6"/>
        <v>25790.655967741935</v>
      </c>
    </row>
    <row r="132" spans="1:18" x14ac:dyDescent="0.25">
      <c r="A132" s="7">
        <f>Données!A132</f>
        <v>5629</v>
      </c>
      <c r="B132" s="27" t="str">
        <f>Données!B132</f>
        <v>Clarmont</v>
      </c>
      <c r="C132" s="8">
        <f>Données!C132+Données!D132</f>
        <v>694425.01</v>
      </c>
      <c r="D132" s="8">
        <f>+Données!G132+Données!H132+Données!S132</f>
        <v>2925.8399999999997</v>
      </c>
      <c r="E132" s="8">
        <f>+Données!E132</f>
        <v>0</v>
      </c>
      <c r="F132" s="8">
        <f>+Données!I132</f>
        <v>0</v>
      </c>
      <c r="G132" s="8">
        <f>+Données!J132</f>
        <v>1562.05</v>
      </c>
      <c r="H132" s="8">
        <f>Données!U132</f>
        <v>-5124.25</v>
      </c>
      <c r="I132" s="215">
        <f>Données!V132</f>
        <v>0</v>
      </c>
      <c r="J132" s="215">
        <f>Données!W132</f>
        <v>0</v>
      </c>
      <c r="K132" s="8">
        <f>+Données!Q132</f>
        <v>120.52</v>
      </c>
      <c r="L132" s="457">
        <f t="shared" si="4"/>
        <v>693909.17</v>
      </c>
      <c r="M132" s="8">
        <f>+Données!F132</f>
        <v>0</v>
      </c>
      <c r="N132" s="8">
        <f>+Données!K132</f>
        <v>334.05</v>
      </c>
      <c r="O132" s="8">
        <f>(Données!L132/Données!Y132)*1</f>
        <v>36930.25</v>
      </c>
      <c r="P132" s="457">
        <f t="shared" si="5"/>
        <v>731173.47000000009</v>
      </c>
      <c r="Q132" s="240">
        <f>+Données!X132</f>
        <v>73.5</v>
      </c>
      <c r="R132" s="457">
        <f t="shared" si="6"/>
        <v>9947.9383673469401</v>
      </c>
    </row>
    <row r="133" spans="1:18" x14ac:dyDescent="0.25">
      <c r="A133" s="7">
        <f>Données!A133</f>
        <v>5631</v>
      </c>
      <c r="B133" s="27" t="str">
        <f>Données!B133</f>
        <v>Denens</v>
      </c>
      <c r="C133" s="8">
        <f>Données!C133+Données!D133</f>
        <v>2493325.6799999997</v>
      </c>
      <c r="D133" s="8">
        <f>+Données!G133+Données!H133+Données!S133</f>
        <v>8409.69</v>
      </c>
      <c r="E133" s="8">
        <f>+Données!E133</f>
        <v>0</v>
      </c>
      <c r="F133" s="8">
        <f>+Données!I133</f>
        <v>187945.55</v>
      </c>
      <c r="G133" s="8">
        <f>+Données!J133</f>
        <v>48989.72</v>
      </c>
      <c r="H133" s="8">
        <f>Données!U133</f>
        <v>-8475.25</v>
      </c>
      <c r="I133" s="215">
        <f>Données!V133</f>
        <v>0</v>
      </c>
      <c r="J133" s="215">
        <f>Données!W133</f>
        <v>-2872.06</v>
      </c>
      <c r="K133" s="8">
        <f>+Données!Q133</f>
        <v>994.86</v>
      </c>
      <c r="L133" s="457">
        <f t="shared" si="4"/>
        <v>2728318.1899999995</v>
      </c>
      <c r="M133" s="8">
        <f>+Données!F133</f>
        <v>0</v>
      </c>
      <c r="N133" s="8">
        <f>+Données!K133</f>
        <v>2815.65</v>
      </c>
      <c r="O133" s="8">
        <f>(Données!L133/Données!Y133)*1</f>
        <v>212575.75</v>
      </c>
      <c r="P133" s="457">
        <f t="shared" si="5"/>
        <v>2943709.5899999994</v>
      </c>
      <c r="Q133" s="240">
        <f>+Données!X133</f>
        <v>68</v>
      </c>
      <c r="R133" s="457">
        <f t="shared" si="6"/>
        <v>43289.846911764696</v>
      </c>
    </row>
    <row r="134" spans="1:18" x14ac:dyDescent="0.25">
      <c r="A134" s="7">
        <f>Données!A134</f>
        <v>5632</v>
      </c>
      <c r="B134" s="27" t="str">
        <f>Données!B134</f>
        <v>Denges</v>
      </c>
      <c r="C134" s="8">
        <f>Données!C134+Données!D134</f>
        <v>4071634.88</v>
      </c>
      <c r="D134" s="8">
        <f>+Données!G134+Données!H134+Données!S134</f>
        <v>335080.27999999997</v>
      </c>
      <c r="E134" s="8">
        <f>+Données!E134</f>
        <v>0</v>
      </c>
      <c r="F134" s="8">
        <f>+Données!I134</f>
        <v>0</v>
      </c>
      <c r="G134" s="8">
        <f>+Données!J134</f>
        <v>210065.67</v>
      </c>
      <c r="H134" s="8">
        <f>Données!U134</f>
        <v>-49186.16</v>
      </c>
      <c r="I134" s="215">
        <f>Données!V134</f>
        <v>0</v>
      </c>
      <c r="J134" s="215">
        <f>Données!W134</f>
        <v>-1965.9</v>
      </c>
      <c r="K134" s="8">
        <f>+Données!Q134</f>
        <v>3743.49</v>
      </c>
      <c r="L134" s="457">
        <f t="shared" si="4"/>
        <v>4569372.26</v>
      </c>
      <c r="M134" s="8">
        <f>+Données!F134</f>
        <v>0</v>
      </c>
      <c r="N134" s="8">
        <f>+Données!K134</f>
        <v>51013.1</v>
      </c>
      <c r="O134" s="8">
        <f>(Données!L134/Données!Y134)*1</f>
        <v>370904.4</v>
      </c>
      <c r="P134" s="457">
        <f t="shared" si="5"/>
        <v>4991289.76</v>
      </c>
      <c r="Q134" s="240">
        <f>+Données!X134</f>
        <v>62</v>
      </c>
      <c r="R134" s="457">
        <f t="shared" si="6"/>
        <v>80504.673548387087</v>
      </c>
    </row>
    <row r="135" spans="1:18" x14ac:dyDescent="0.25">
      <c r="A135" s="7">
        <f>Données!A135</f>
        <v>5633</v>
      </c>
      <c r="B135" s="27" t="str">
        <f>Données!B135</f>
        <v>Echandens</v>
      </c>
      <c r="C135" s="8">
        <f>Données!C135+Données!D135</f>
        <v>8998839.4600000009</v>
      </c>
      <c r="D135" s="8">
        <f>+Données!G135+Données!H135+Données!S135</f>
        <v>501285.14</v>
      </c>
      <c r="E135" s="8">
        <f>+Données!E135</f>
        <v>0</v>
      </c>
      <c r="F135" s="8">
        <f>+Données!I135</f>
        <v>0</v>
      </c>
      <c r="G135" s="8">
        <f>+Données!J135</f>
        <v>111804.69</v>
      </c>
      <c r="H135" s="8">
        <f>Données!U135</f>
        <v>-152465.9</v>
      </c>
      <c r="I135" s="215">
        <f>Données!V135</f>
        <v>0</v>
      </c>
      <c r="J135" s="215">
        <f>Données!W135</f>
        <v>-4028.35</v>
      </c>
      <c r="K135" s="8">
        <f>+Données!Q135</f>
        <v>50546.16</v>
      </c>
      <c r="L135" s="457">
        <f t="shared" ref="L135:L198" si="7">SUM(C135:K135)</f>
        <v>9505981.2000000011</v>
      </c>
      <c r="M135" s="8">
        <f>+Données!F135</f>
        <v>0</v>
      </c>
      <c r="N135" s="8">
        <f>+Données!K135</f>
        <v>35892.25</v>
      </c>
      <c r="O135" s="8">
        <f>(Données!L135/Données!Y135)*1</f>
        <v>671730.3</v>
      </c>
      <c r="P135" s="457">
        <f t="shared" ref="P135:P198" si="8">SUM(L135:O135)</f>
        <v>10213603.750000002</v>
      </c>
      <c r="Q135" s="240">
        <f>+Données!X135</f>
        <v>60.5</v>
      </c>
      <c r="R135" s="457">
        <f t="shared" ref="R135:R198" si="9">P135/Q135</f>
        <v>168819.8966942149</v>
      </c>
    </row>
    <row r="136" spans="1:18" x14ac:dyDescent="0.25">
      <c r="A136" s="7">
        <f>Données!A136</f>
        <v>5634</v>
      </c>
      <c r="B136" s="27" t="str">
        <f>Données!B136</f>
        <v>Echichens</v>
      </c>
      <c r="C136" s="8">
        <f>Données!C136+Données!D136</f>
        <v>8991360.6500000004</v>
      </c>
      <c r="D136" s="8">
        <f>+Données!G136+Données!H136+Données!S136</f>
        <v>171351.68000000002</v>
      </c>
      <c r="E136" s="8">
        <f>+Données!E136</f>
        <v>0</v>
      </c>
      <c r="F136" s="8">
        <f>+Données!I136</f>
        <v>67961.05</v>
      </c>
      <c r="G136" s="8">
        <f>+Données!J136</f>
        <v>96837.51</v>
      </c>
      <c r="H136" s="8">
        <f>Données!U136</f>
        <v>-17917.09</v>
      </c>
      <c r="I136" s="215">
        <f>Données!V136</f>
        <v>0</v>
      </c>
      <c r="J136" s="215">
        <f>Données!W136</f>
        <v>-8112.3</v>
      </c>
      <c r="K136" s="8">
        <f>+Données!Q136</f>
        <v>7269.84</v>
      </c>
      <c r="L136" s="457">
        <f t="shared" si="7"/>
        <v>9308751.3399999999</v>
      </c>
      <c r="M136" s="8">
        <f>+Données!F136</f>
        <v>0</v>
      </c>
      <c r="N136" s="8">
        <f>+Données!K136</f>
        <v>28641.9</v>
      </c>
      <c r="O136" s="8">
        <f>(Données!L136/Données!Y136)*1</f>
        <v>731624</v>
      </c>
      <c r="P136" s="457">
        <f t="shared" si="8"/>
        <v>10069017.24</v>
      </c>
      <c r="Q136" s="240">
        <f>+Données!X136</f>
        <v>66</v>
      </c>
      <c r="R136" s="457">
        <f t="shared" si="9"/>
        <v>152560.86727272728</v>
      </c>
    </row>
    <row r="137" spans="1:18" x14ac:dyDescent="0.25">
      <c r="A137" s="7">
        <f>Données!A137</f>
        <v>5635</v>
      </c>
      <c r="B137" s="27" t="str">
        <f>Données!B137</f>
        <v>Ecublens</v>
      </c>
      <c r="C137" s="8">
        <f>Données!C137+Données!D137</f>
        <v>20422841.82</v>
      </c>
      <c r="D137" s="8">
        <f>+Données!G137+Données!H137+Données!S137</f>
        <v>16630375.370000001</v>
      </c>
      <c r="E137" s="8">
        <f>+Données!E137</f>
        <v>0</v>
      </c>
      <c r="F137" s="8">
        <f>+Données!I137</f>
        <v>0</v>
      </c>
      <c r="G137" s="8">
        <f>+Données!J137</f>
        <v>1224895.53</v>
      </c>
      <c r="H137" s="8">
        <f>Données!U137</f>
        <v>-398566.14</v>
      </c>
      <c r="I137" s="215">
        <f>Données!V137</f>
        <v>0</v>
      </c>
      <c r="J137" s="215">
        <f>Données!W137</f>
        <v>-20305.93</v>
      </c>
      <c r="K137" s="8">
        <f>+Données!Q137</f>
        <v>89322.18</v>
      </c>
      <c r="L137" s="457">
        <f t="shared" si="7"/>
        <v>37948562.829999998</v>
      </c>
      <c r="M137" s="8">
        <f>+Données!F137</f>
        <v>0</v>
      </c>
      <c r="N137" s="8">
        <f>+Données!K137</f>
        <v>330560.59999999998</v>
      </c>
      <c r="O137" s="8">
        <f>(Données!L137/Données!Y137)*1</f>
        <v>2716889.9583333335</v>
      </c>
      <c r="P137" s="457">
        <f t="shared" si="8"/>
        <v>40996013.388333336</v>
      </c>
      <c r="Q137" s="240">
        <f>+Données!X137</f>
        <v>62.5</v>
      </c>
      <c r="R137" s="457">
        <f t="shared" si="9"/>
        <v>655936.21421333333</v>
      </c>
    </row>
    <row r="138" spans="1:18" x14ac:dyDescent="0.25">
      <c r="A138" s="7">
        <f>Données!A138</f>
        <v>5636</v>
      </c>
      <c r="B138" s="27" t="str">
        <f>Données!B138</f>
        <v>Etoy</v>
      </c>
      <c r="C138" s="8">
        <f>Données!C138+Données!D138</f>
        <v>7000237.3600000003</v>
      </c>
      <c r="D138" s="8">
        <f>+Données!G138+Données!H138+Données!S138</f>
        <v>2374021.3600000003</v>
      </c>
      <c r="E138" s="8">
        <f>+Données!E138</f>
        <v>0</v>
      </c>
      <c r="F138" s="8">
        <f>+Données!I138</f>
        <v>1173.25</v>
      </c>
      <c r="G138" s="8">
        <f>+Données!J138</f>
        <v>473653.92</v>
      </c>
      <c r="H138" s="8">
        <f>Données!U138</f>
        <v>-82175.960000000006</v>
      </c>
      <c r="I138" s="215">
        <f>Données!V138</f>
        <v>0</v>
      </c>
      <c r="J138" s="215">
        <f>Données!W138</f>
        <v>-3730.07</v>
      </c>
      <c r="K138" s="8">
        <f>+Données!Q138</f>
        <v>6392.63</v>
      </c>
      <c r="L138" s="457">
        <f t="shared" si="7"/>
        <v>9769572.4900000002</v>
      </c>
      <c r="M138" s="8">
        <f>+Données!F138</f>
        <v>0</v>
      </c>
      <c r="N138" s="8">
        <f>+Données!K138</f>
        <v>259740.79999999999</v>
      </c>
      <c r="O138" s="8">
        <f>(Données!L138/Données!Y138)*1</f>
        <v>1187161</v>
      </c>
      <c r="P138" s="457">
        <f t="shared" si="8"/>
        <v>11216474.290000001</v>
      </c>
      <c r="Q138" s="240">
        <f>+Données!X138</f>
        <v>60</v>
      </c>
      <c r="R138" s="457">
        <f t="shared" si="9"/>
        <v>186941.23816666668</v>
      </c>
    </row>
    <row r="139" spans="1:18" x14ac:dyDescent="0.25">
      <c r="A139" s="7">
        <f>Données!A139</f>
        <v>5637</v>
      </c>
      <c r="B139" s="27" t="str">
        <f>Données!B139</f>
        <v>Lavigny</v>
      </c>
      <c r="C139" s="8">
        <f>Données!C139+Données!D139</f>
        <v>2538315.11</v>
      </c>
      <c r="D139" s="8">
        <f>+Données!G139+Données!H139+Données!S139</f>
        <v>37706.200000000004</v>
      </c>
      <c r="E139" s="8">
        <f>+Données!E139</f>
        <v>0</v>
      </c>
      <c r="F139" s="8">
        <f>+Données!I139</f>
        <v>0</v>
      </c>
      <c r="G139" s="8">
        <f>+Données!J139</f>
        <v>2127.4499999999998</v>
      </c>
      <c r="H139" s="8">
        <f>Données!U139</f>
        <v>-14815.91</v>
      </c>
      <c r="I139" s="215">
        <f>Données!V139</f>
        <v>0</v>
      </c>
      <c r="J139" s="215">
        <f>Données!W139</f>
        <v>-1570.94</v>
      </c>
      <c r="K139" s="8">
        <f>+Données!Q139</f>
        <v>0</v>
      </c>
      <c r="L139" s="457">
        <f t="shared" si="7"/>
        <v>2561761.91</v>
      </c>
      <c r="M139" s="8">
        <f>+Données!F139</f>
        <v>0</v>
      </c>
      <c r="N139" s="8">
        <f>+Données!K139</f>
        <v>8991.35</v>
      </c>
      <c r="O139" s="8">
        <f>(Données!L139/Données!Y139)*1</f>
        <v>195903</v>
      </c>
      <c r="P139" s="457">
        <f t="shared" si="8"/>
        <v>2766656.2600000002</v>
      </c>
      <c r="Q139" s="240">
        <f>+Données!X139</f>
        <v>73</v>
      </c>
      <c r="R139" s="457">
        <f t="shared" si="9"/>
        <v>37899.400821917814</v>
      </c>
    </row>
    <row r="140" spans="1:18" x14ac:dyDescent="0.25">
      <c r="A140" s="7">
        <f>Données!A140</f>
        <v>5638</v>
      </c>
      <c r="B140" s="27" t="str">
        <f>Données!B140</f>
        <v>Lonay</v>
      </c>
      <c r="C140" s="8">
        <f>Données!C140+Données!D140</f>
        <v>7579507.8999999994</v>
      </c>
      <c r="D140" s="8">
        <f>+Données!G140+Données!H140+Données!S140</f>
        <v>822766.85</v>
      </c>
      <c r="E140" s="8">
        <f>+Données!E140</f>
        <v>0</v>
      </c>
      <c r="F140" s="8">
        <f>+Données!I140</f>
        <v>248392.75</v>
      </c>
      <c r="G140" s="8">
        <f>+Données!J140</f>
        <v>173538.12</v>
      </c>
      <c r="H140" s="8">
        <f>Données!U140</f>
        <v>-26311.53</v>
      </c>
      <c r="I140" s="215">
        <f>Données!V140</f>
        <v>0</v>
      </c>
      <c r="J140" s="215">
        <f>Données!W140</f>
        <v>-9128.07</v>
      </c>
      <c r="K140" s="8">
        <f>+Données!Q140</f>
        <v>46639.73</v>
      </c>
      <c r="L140" s="457">
        <f t="shared" si="7"/>
        <v>8835405.75</v>
      </c>
      <c r="M140" s="8">
        <f>+Données!F140</f>
        <v>0</v>
      </c>
      <c r="N140" s="8">
        <f>+Données!K140</f>
        <v>66248.100000000006</v>
      </c>
      <c r="O140" s="8">
        <f>(Données!L140/Données!Y140)*1</f>
        <v>674733</v>
      </c>
      <c r="P140" s="457">
        <f t="shared" si="8"/>
        <v>9576386.8499999996</v>
      </c>
      <c r="Q140" s="240">
        <f>+Données!X140</f>
        <v>55</v>
      </c>
      <c r="R140" s="457">
        <f t="shared" si="9"/>
        <v>174116.12454545454</v>
      </c>
    </row>
    <row r="141" spans="1:18" x14ac:dyDescent="0.25">
      <c r="A141" s="7">
        <f>Données!A141</f>
        <v>5639</v>
      </c>
      <c r="B141" s="27" t="str">
        <f>Données!B141</f>
        <v>Lully</v>
      </c>
      <c r="C141" s="8">
        <f>Données!C141+Données!D141</f>
        <v>2967105.21</v>
      </c>
      <c r="D141" s="8">
        <f>+Données!G141+Données!H141+Données!S141</f>
        <v>97387.39</v>
      </c>
      <c r="E141" s="8">
        <f>+Données!E141</f>
        <v>0</v>
      </c>
      <c r="F141" s="8">
        <f>+Données!I141</f>
        <v>0</v>
      </c>
      <c r="G141" s="8">
        <f>+Données!J141</f>
        <v>8717.4699999999993</v>
      </c>
      <c r="H141" s="8">
        <f>Données!U141</f>
        <v>-3113.34</v>
      </c>
      <c r="I141" s="215">
        <f>Données!V141</f>
        <v>0</v>
      </c>
      <c r="J141" s="215">
        <f>Données!W141</f>
        <v>-1123.2</v>
      </c>
      <c r="K141" s="8">
        <f>+Données!Q141</f>
        <v>100</v>
      </c>
      <c r="L141" s="457">
        <f t="shared" si="7"/>
        <v>3069073.5300000003</v>
      </c>
      <c r="M141" s="8">
        <f>+Données!F141</f>
        <v>0</v>
      </c>
      <c r="N141" s="8">
        <f>+Données!K141</f>
        <v>-2986.65</v>
      </c>
      <c r="O141" s="8">
        <f>(Données!L141/Données!Y141)*1</f>
        <v>209999.52000000002</v>
      </c>
      <c r="P141" s="457">
        <f t="shared" si="8"/>
        <v>3276086.4000000004</v>
      </c>
      <c r="Q141" s="240">
        <f>+Données!X141</f>
        <v>61</v>
      </c>
      <c r="R141" s="457">
        <f t="shared" si="9"/>
        <v>53706.334426229514</v>
      </c>
    </row>
    <row r="142" spans="1:18" x14ac:dyDescent="0.25">
      <c r="A142" s="7">
        <f>Données!A142</f>
        <v>5640</v>
      </c>
      <c r="B142" s="27" t="str">
        <f>Données!B142</f>
        <v>Lussy-sur-Morges</v>
      </c>
      <c r="C142" s="8">
        <f>Données!C142+Données!D142</f>
        <v>4196947.04</v>
      </c>
      <c r="D142" s="8">
        <f>+Données!G142+Données!H142+Données!S142</f>
        <v>57023.649999999994</v>
      </c>
      <c r="E142" s="8">
        <f>+Données!E142</f>
        <v>0</v>
      </c>
      <c r="F142" s="8">
        <f>+Données!I142</f>
        <v>91375.2</v>
      </c>
      <c r="G142" s="8">
        <f>+Données!J142</f>
        <v>3882.25</v>
      </c>
      <c r="H142" s="8">
        <f>Données!U142</f>
        <v>-4482.5200000000004</v>
      </c>
      <c r="I142" s="215">
        <f>Données!V142</f>
        <v>0</v>
      </c>
      <c r="J142" s="215">
        <f>Données!W142</f>
        <v>-24599.439999999999</v>
      </c>
      <c r="K142" s="8">
        <f>+Données!Q142</f>
        <v>2635.17</v>
      </c>
      <c r="L142" s="457">
        <f t="shared" si="7"/>
        <v>4322781.3500000006</v>
      </c>
      <c r="M142" s="8">
        <f>+Données!F142</f>
        <v>0</v>
      </c>
      <c r="N142" s="8">
        <f>+Données!K142</f>
        <v>10428.75</v>
      </c>
      <c r="O142" s="8">
        <f>(Données!L142/Données!Y142)*1</f>
        <v>215657.65</v>
      </c>
      <c r="P142" s="457">
        <f t="shared" si="8"/>
        <v>4548867.7500000009</v>
      </c>
      <c r="Q142" s="240">
        <f>+Données!X142</f>
        <v>64.5</v>
      </c>
      <c r="R142" s="457">
        <f t="shared" si="9"/>
        <v>70525.081395348854</v>
      </c>
    </row>
    <row r="143" spans="1:18" x14ac:dyDescent="0.25">
      <c r="A143" s="7">
        <f>Données!A143</f>
        <v>5642</v>
      </c>
      <c r="B143" s="27" t="str">
        <f>Données!B143</f>
        <v>Morges</v>
      </c>
      <c r="C143" s="8">
        <f>Données!C143+Données!D143</f>
        <v>42027966.07</v>
      </c>
      <c r="D143" s="8">
        <f>+Données!G143+Données!H143+Données!S143</f>
        <v>9522896.6699999999</v>
      </c>
      <c r="E143" s="8">
        <f>+Données!E143</f>
        <v>0</v>
      </c>
      <c r="F143" s="8">
        <f>+Données!I143</f>
        <v>-886329.76</v>
      </c>
      <c r="G143" s="8">
        <f>+Données!J143</f>
        <v>2165278.56</v>
      </c>
      <c r="H143" s="8">
        <f>Données!U143</f>
        <v>-539005.03</v>
      </c>
      <c r="I143" s="215">
        <f>Données!V143</f>
        <v>0</v>
      </c>
      <c r="J143" s="215">
        <f>Données!W143</f>
        <v>-94427.27</v>
      </c>
      <c r="K143" s="8">
        <f>+Données!Q143</f>
        <v>51028.26</v>
      </c>
      <c r="L143" s="457">
        <f t="shared" si="7"/>
        <v>52247407.5</v>
      </c>
      <c r="M143" s="8">
        <f>+Données!F143</f>
        <v>0</v>
      </c>
      <c r="N143" s="8">
        <f>+Données!K143</f>
        <v>524306.9</v>
      </c>
      <c r="O143" s="8">
        <f>(Données!L143/Données!Y143)*1</f>
        <v>3380590.7</v>
      </c>
      <c r="P143" s="457">
        <f t="shared" si="8"/>
        <v>56152305.100000001</v>
      </c>
      <c r="Q143" s="240">
        <f>+Données!X143</f>
        <v>67</v>
      </c>
      <c r="R143" s="457">
        <f t="shared" si="9"/>
        <v>838094.10597014928</v>
      </c>
    </row>
    <row r="144" spans="1:18" x14ac:dyDescent="0.25">
      <c r="A144" s="7">
        <f>Données!A144</f>
        <v>5643</v>
      </c>
      <c r="B144" s="27" t="str">
        <f>Données!B144</f>
        <v>Préverenges</v>
      </c>
      <c r="C144" s="8">
        <f>Données!C144+Données!D144</f>
        <v>13730012.449999999</v>
      </c>
      <c r="D144" s="8">
        <f>+Données!G144+Données!H144+Données!S144</f>
        <v>654713.87</v>
      </c>
      <c r="E144" s="8">
        <f>+Données!E144</f>
        <v>0</v>
      </c>
      <c r="F144" s="8">
        <f>+Données!I144</f>
        <v>365406.59</v>
      </c>
      <c r="G144" s="8">
        <f>+Données!J144</f>
        <v>196489.56</v>
      </c>
      <c r="H144" s="8">
        <f>Données!U144</f>
        <v>-160578.53</v>
      </c>
      <c r="I144" s="215">
        <f>Données!V144</f>
        <v>0</v>
      </c>
      <c r="J144" s="215">
        <f>Données!W144</f>
        <v>-17962.939999999999</v>
      </c>
      <c r="K144" s="8">
        <f>+Données!Q144</f>
        <v>70180.77</v>
      </c>
      <c r="L144" s="457">
        <f t="shared" si="7"/>
        <v>14838261.77</v>
      </c>
      <c r="M144" s="8">
        <f>+Données!F144</f>
        <v>0</v>
      </c>
      <c r="N144" s="8">
        <f>+Données!K144</f>
        <v>130915.1</v>
      </c>
      <c r="O144" s="8">
        <f>(Données!L144/Données!Y144)*1</f>
        <v>1138350.72</v>
      </c>
      <c r="P144" s="457">
        <f t="shared" si="8"/>
        <v>16107527.59</v>
      </c>
      <c r="Q144" s="240">
        <f>+Données!X144</f>
        <v>62.5</v>
      </c>
      <c r="R144" s="457">
        <f t="shared" si="9"/>
        <v>257720.44144</v>
      </c>
    </row>
    <row r="145" spans="1:18" x14ac:dyDescent="0.25">
      <c r="A145" s="7">
        <f>Données!A145</f>
        <v>5645</v>
      </c>
      <c r="B145" s="27" t="str">
        <f>Données!B145</f>
        <v>Romanel-sur-Morges</v>
      </c>
      <c r="C145" s="8">
        <f>Données!C145+Données!D145</f>
        <v>1086010.06</v>
      </c>
      <c r="D145" s="8">
        <f>+Données!G145+Données!H145+Données!S145</f>
        <v>170803.81000000003</v>
      </c>
      <c r="E145" s="8">
        <f>+Données!E145</f>
        <v>0</v>
      </c>
      <c r="F145" s="8">
        <f>+Données!I145</f>
        <v>0</v>
      </c>
      <c r="G145" s="8">
        <f>+Données!J145</f>
        <v>55470.86</v>
      </c>
      <c r="H145" s="8">
        <f>Données!U145</f>
        <v>-9250.36</v>
      </c>
      <c r="I145" s="215">
        <f>Données!V145</f>
        <v>0</v>
      </c>
      <c r="J145" s="215">
        <f>Données!W145</f>
        <v>-577.80999999999995</v>
      </c>
      <c r="K145" s="8">
        <f>+Données!Q145</f>
        <v>1707.71</v>
      </c>
      <c r="L145" s="457">
        <f t="shared" si="7"/>
        <v>1304164.27</v>
      </c>
      <c r="M145" s="8">
        <f>+Données!F145</f>
        <v>0</v>
      </c>
      <c r="N145" s="8">
        <f>+Données!K145</f>
        <v>21581.5</v>
      </c>
      <c r="O145" s="8">
        <f>(Données!L145/Données!Y145)*1</f>
        <v>162543.5</v>
      </c>
      <c r="P145" s="457">
        <f t="shared" si="8"/>
        <v>1488289.27</v>
      </c>
      <c r="Q145" s="240">
        <f>+Données!X145</f>
        <v>56</v>
      </c>
      <c r="R145" s="457">
        <f t="shared" si="9"/>
        <v>26576.594107142857</v>
      </c>
    </row>
    <row r="146" spans="1:18" x14ac:dyDescent="0.25">
      <c r="A146" s="7">
        <f>Données!A146</f>
        <v>5646</v>
      </c>
      <c r="B146" s="27" t="str">
        <f>Données!B146</f>
        <v>Saint-Prex</v>
      </c>
      <c r="C146" s="8">
        <f>Données!C146+Données!D146</f>
        <v>16374865.109999999</v>
      </c>
      <c r="D146" s="8">
        <f>+Données!G146+Données!H146+Données!S146</f>
        <v>11836713.530000001</v>
      </c>
      <c r="E146" s="8">
        <f>+Données!E146</f>
        <v>0</v>
      </c>
      <c r="F146" s="8">
        <f>+Données!I146</f>
        <v>554981.4</v>
      </c>
      <c r="G146" s="8">
        <f>+Données!J146</f>
        <v>621836.80000000005</v>
      </c>
      <c r="H146" s="8">
        <f>Données!U146</f>
        <v>-104718.29</v>
      </c>
      <c r="I146" s="215">
        <f>Données!V146</f>
        <v>0</v>
      </c>
      <c r="J146" s="215">
        <f>Données!W146</f>
        <v>-22242.06</v>
      </c>
      <c r="K146" s="8">
        <f>+Données!Q146</f>
        <v>10829.31</v>
      </c>
      <c r="L146" s="457">
        <f t="shared" si="7"/>
        <v>29272265.800000001</v>
      </c>
      <c r="M146" s="8">
        <f>+Données!F146</f>
        <v>0</v>
      </c>
      <c r="N146" s="8">
        <f>+Données!K146</f>
        <v>156366.6</v>
      </c>
      <c r="O146" s="8">
        <f>(Données!L146/Données!Y146)*1</f>
        <v>1685762.5</v>
      </c>
      <c r="P146" s="457">
        <f t="shared" si="8"/>
        <v>31114394.900000002</v>
      </c>
      <c r="Q146" s="240">
        <f>+Données!X146</f>
        <v>59</v>
      </c>
      <c r="R146" s="457">
        <f t="shared" si="9"/>
        <v>527362.62542372884</v>
      </c>
    </row>
    <row r="147" spans="1:18" x14ac:dyDescent="0.25">
      <c r="A147" s="7">
        <f>Données!A147</f>
        <v>5648</v>
      </c>
      <c r="B147" s="27" t="str">
        <f>Données!B147</f>
        <v>Saint-Sulpice</v>
      </c>
      <c r="C147" s="8">
        <f>Données!C147+Données!D147</f>
        <v>17790580.649999999</v>
      </c>
      <c r="D147" s="8">
        <f>+Données!G147+Données!H147+Données!S147</f>
        <v>1228145.29</v>
      </c>
      <c r="E147" s="8">
        <f>+Données!E147</f>
        <v>0</v>
      </c>
      <c r="F147" s="8">
        <f>+Données!I147</f>
        <v>375047.25</v>
      </c>
      <c r="G147" s="8">
        <f>+Données!J147</f>
        <v>433976.27</v>
      </c>
      <c r="H147" s="8">
        <f>Données!U147</f>
        <v>-86714.29</v>
      </c>
      <c r="I147" s="215">
        <f>Données!V147</f>
        <v>0</v>
      </c>
      <c r="J147" s="215">
        <f>Données!W147</f>
        <v>-41864.28</v>
      </c>
      <c r="K147" s="8">
        <f>+Données!Q147</f>
        <v>48693.31</v>
      </c>
      <c r="L147" s="457">
        <f t="shared" si="7"/>
        <v>19747864.199999996</v>
      </c>
      <c r="M147" s="8">
        <f>+Données!F147</f>
        <v>0</v>
      </c>
      <c r="N147" s="8">
        <f>+Données!K147</f>
        <v>186166.35</v>
      </c>
      <c r="O147" s="8">
        <f>(Données!L147/Données!Y147)*1</f>
        <v>1755641.1374999997</v>
      </c>
      <c r="P147" s="457">
        <f t="shared" si="8"/>
        <v>21689671.687499996</v>
      </c>
      <c r="Q147" s="240">
        <f>+Données!X147</f>
        <v>55</v>
      </c>
      <c r="R147" s="457">
        <f t="shared" si="9"/>
        <v>394357.66704545449</v>
      </c>
    </row>
    <row r="148" spans="1:18" x14ac:dyDescent="0.25">
      <c r="A148" s="7">
        <f>Données!A148</f>
        <v>5649</v>
      </c>
      <c r="B148" s="27" t="str">
        <f>Données!B148</f>
        <v>Tolochenaz</v>
      </c>
      <c r="C148" s="8">
        <f>Données!C148+Données!D148</f>
        <v>4402410.68</v>
      </c>
      <c r="D148" s="8">
        <f>+Données!G148+Données!H148+Données!S148</f>
        <v>4474912.7799999993</v>
      </c>
      <c r="E148" s="8">
        <f>+Données!E148</f>
        <v>0</v>
      </c>
      <c r="F148" s="8">
        <f>+Données!I148</f>
        <v>63551.6</v>
      </c>
      <c r="G148" s="8">
        <f>+Données!J148</f>
        <v>531421.27</v>
      </c>
      <c r="H148" s="8">
        <f>Données!U148</f>
        <v>-141662.75</v>
      </c>
      <c r="I148" s="215">
        <f>Données!V148</f>
        <v>0</v>
      </c>
      <c r="J148" s="215">
        <f>Données!W148</f>
        <v>-2649.82</v>
      </c>
      <c r="K148" s="8">
        <f>+Données!Q148</f>
        <v>2541.71</v>
      </c>
      <c r="L148" s="457">
        <f t="shared" si="7"/>
        <v>9330525.4699999988</v>
      </c>
      <c r="M148" s="8">
        <f>+Données!F148</f>
        <v>0</v>
      </c>
      <c r="N148" s="8">
        <f>+Données!K148</f>
        <v>63393.1</v>
      </c>
      <c r="O148" s="8">
        <f>(Données!L148/Données!Y148)*1</f>
        <v>562068.44999999995</v>
      </c>
      <c r="P148" s="457">
        <f t="shared" si="8"/>
        <v>9955987.0199999977</v>
      </c>
      <c r="Q148" s="240">
        <f>+Données!X148</f>
        <v>64</v>
      </c>
      <c r="R148" s="457">
        <f t="shared" si="9"/>
        <v>155562.29718749996</v>
      </c>
    </row>
    <row r="149" spans="1:18" x14ac:dyDescent="0.25">
      <c r="A149" s="7">
        <f>Données!A149</f>
        <v>5650</v>
      </c>
      <c r="B149" s="27" t="str">
        <f>Données!B149</f>
        <v>Vaux-sur-Morges</v>
      </c>
      <c r="C149" s="8">
        <f>Données!C149+Données!D149</f>
        <v>4597988.1100000003</v>
      </c>
      <c r="D149" s="8">
        <f>+Données!G149+Données!H149+Données!S149</f>
        <v>9169.3700000000008</v>
      </c>
      <c r="E149" s="8">
        <f>+Données!E149</f>
        <v>0</v>
      </c>
      <c r="F149" s="8">
        <f>+Données!I149</f>
        <v>0</v>
      </c>
      <c r="G149" s="8">
        <f>+Données!J149</f>
        <v>7063.68</v>
      </c>
      <c r="H149" s="8">
        <f>Données!U149</f>
        <v>-1.19</v>
      </c>
      <c r="I149" s="215">
        <f>Données!V149</f>
        <v>0</v>
      </c>
      <c r="J149" s="215">
        <f>Données!W149</f>
        <v>-5060.2</v>
      </c>
      <c r="K149" s="8">
        <f>+Données!Q149</f>
        <v>0</v>
      </c>
      <c r="L149" s="457">
        <f t="shared" si="7"/>
        <v>4609159.7699999996</v>
      </c>
      <c r="M149" s="8">
        <f>+Données!F149</f>
        <v>0</v>
      </c>
      <c r="N149" s="8">
        <f>+Données!K149</f>
        <v>0</v>
      </c>
      <c r="O149" s="8">
        <f>(Données!L149/Données!Y149)*1</f>
        <v>45852</v>
      </c>
      <c r="P149" s="457">
        <f t="shared" si="8"/>
        <v>4655011.7699999996</v>
      </c>
      <c r="Q149" s="240">
        <f>+Données!X149</f>
        <v>56</v>
      </c>
      <c r="R149" s="457">
        <f t="shared" si="9"/>
        <v>83125.210178571419</v>
      </c>
    </row>
    <row r="150" spans="1:18" x14ac:dyDescent="0.25">
      <c r="A150" s="7">
        <f>Données!A150</f>
        <v>5651</v>
      </c>
      <c r="B150" s="27" t="str">
        <f>Données!B150</f>
        <v>Villars-Sainte-Croix</v>
      </c>
      <c r="C150" s="8">
        <f>Données!C150+Données!D150</f>
        <v>2584571.04</v>
      </c>
      <c r="D150" s="8">
        <f>+Données!G150+Données!H150+Données!S150</f>
        <v>475787.31</v>
      </c>
      <c r="E150" s="8">
        <f>+Données!E150</f>
        <v>0</v>
      </c>
      <c r="F150" s="8">
        <f>+Données!I150</f>
        <v>0</v>
      </c>
      <c r="G150" s="8">
        <f>+Données!J150</f>
        <v>13586.85</v>
      </c>
      <c r="H150" s="8">
        <f>Données!U150</f>
        <v>-10039.99</v>
      </c>
      <c r="I150" s="215">
        <f>Données!V150</f>
        <v>0</v>
      </c>
      <c r="J150" s="215">
        <f>Données!W150</f>
        <v>-13514.42</v>
      </c>
      <c r="K150" s="8">
        <f>+Données!Q150</f>
        <v>14966.94</v>
      </c>
      <c r="L150" s="457">
        <f t="shared" si="7"/>
        <v>3065357.73</v>
      </c>
      <c r="M150" s="8">
        <f>+Données!F150</f>
        <v>0</v>
      </c>
      <c r="N150" s="8">
        <f>+Données!K150</f>
        <v>39207.9</v>
      </c>
      <c r="O150" s="8">
        <f>(Données!L150/Données!Y150)*1</f>
        <v>371048.7</v>
      </c>
      <c r="P150" s="457">
        <f t="shared" si="8"/>
        <v>3475614.33</v>
      </c>
      <c r="Q150" s="240">
        <f>+Données!X150</f>
        <v>60.5</v>
      </c>
      <c r="R150" s="457">
        <f t="shared" si="9"/>
        <v>57448.170743801653</v>
      </c>
    </row>
    <row r="151" spans="1:18" x14ac:dyDescent="0.25">
      <c r="A151" s="7">
        <f>Données!A151</f>
        <v>5652</v>
      </c>
      <c r="B151" s="27" t="str">
        <f>Données!B151</f>
        <v>Villars-sous-Yens</v>
      </c>
      <c r="C151" s="8">
        <f>Données!C151+Données!D151</f>
        <v>1868741.03</v>
      </c>
      <c r="D151" s="8">
        <f>+Données!G151+Données!H151+Données!S151</f>
        <v>-3335.35</v>
      </c>
      <c r="E151" s="8">
        <f>+Données!E151</f>
        <v>0</v>
      </c>
      <c r="F151" s="8">
        <f>+Données!I151</f>
        <v>0</v>
      </c>
      <c r="G151" s="8">
        <f>+Données!J151</f>
        <v>33410.160000000003</v>
      </c>
      <c r="H151" s="8">
        <f>Données!U151</f>
        <v>-47588.06</v>
      </c>
      <c r="I151" s="215">
        <f>Données!V151</f>
        <v>0</v>
      </c>
      <c r="J151" s="215">
        <f>Données!W151</f>
        <v>-546.20000000000005</v>
      </c>
      <c r="K151" s="8">
        <f>+Données!Q151</f>
        <v>725.9</v>
      </c>
      <c r="L151" s="457">
        <f t="shared" si="7"/>
        <v>1851407.4799999997</v>
      </c>
      <c r="M151" s="8">
        <f>+Données!F151</f>
        <v>0</v>
      </c>
      <c r="N151" s="8">
        <f>+Données!K151</f>
        <v>1037.1500000000001</v>
      </c>
      <c r="O151" s="8">
        <f>(Données!L151/Données!Y151)*1</f>
        <v>116533.08333333334</v>
      </c>
      <c r="P151" s="457">
        <f t="shared" si="8"/>
        <v>1968977.7133333329</v>
      </c>
      <c r="Q151" s="240">
        <f>+Données!X151</f>
        <v>76</v>
      </c>
      <c r="R151" s="457">
        <f t="shared" si="9"/>
        <v>25907.601491228066</v>
      </c>
    </row>
    <row r="152" spans="1:18" x14ac:dyDescent="0.25">
      <c r="A152" s="7">
        <f>Données!A152</f>
        <v>5653</v>
      </c>
      <c r="B152" s="27" t="str">
        <f>Données!B152</f>
        <v>Vufflens-le-Château</v>
      </c>
      <c r="C152" s="8">
        <f>Données!C152+Données!D152</f>
        <v>3504650.92</v>
      </c>
      <c r="D152" s="8">
        <f>+Données!G152+Données!H152+Données!S152</f>
        <v>20907.18</v>
      </c>
      <c r="E152" s="8">
        <f>+Données!E152</f>
        <v>0</v>
      </c>
      <c r="F152" s="8">
        <f>+Données!I152</f>
        <v>186157.8</v>
      </c>
      <c r="G152" s="8">
        <f>+Données!J152</f>
        <v>25311.98</v>
      </c>
      <c r="H152" s="8">
        <f>Données!U152</f>
        <v>-7926.74</v>
      </c>
      <c r="I152" s="215">
        <f>Données!V152</f>
        <v>0</v>
      </c>
      <c r="J152" s="215">
        <f>Données!W152</f>
        <v>-38483.769999999997</v>
      </c>
      <c r="K152" s="8">
        <f>+Données!Q152</f>
        <v>0</v>
      </c>
      <c r="L152" s="457">
        <f t="shared" si="7"/>
        <v>3690617.3699999996</v>
      </c>
      <c r="M152" s="8">
        <f>+Données!F152</f>
        <v>0</v>
      </c>
      <c r="N152" s="8">
        <f>+Données!K152</f>
        <v>3597.5</v>
      </c>
      <c r="O152" s="8">
        <f>(Données!L152/Données!Y152)*1</f>
        <v>265431.5</v>
      </c>
      <c r="P152" s="457">
        <f t="shared" si="8"/>
        <v>3959646.3699999996</v>
      </c>
      <c r="Q152" s="240">
        <f>+Données!X152</f>
        <v>58.5</v>
      </c>
      <c r="R152" s="457">
        <f t="shared" si="9"/>
        <v>67686.262735042736</v>
      </c>
    </row>
    <row r="153" spans="1:18" x14ac:dyDescent="0.25">
      <c r="A153" s="7">
        <f>Données!A153</f>
        <v>5654</v>
      </c>
      <c r="B153" s="27" t="str">
        <f>Données!B153</f>
        <v>Vullierens</v>
      </c>
      <c r="C153" s="8">
        <f>Données!C153+Données!D153</f>
        <v>1415568.51</v>
      </c>
      <c r="D153" s="8">
        <f>+Données!G153+Données!H153+Données!S153</f>
        <v>43604.78</v>
      </c>
      <c r="E153" s="8">
        <f>+Données!E153</f>
        <v>0</v>
      </c>
      <c r="F153" s="8">
        <f>+Données!I153</f>
        <v>0</v>
      </c>
      <c r="G153" s="8">
        <f>+Données!J153</f>
        <v>1589.15</v>
      </c>
      <c r="H153" s="8">
        <f>Données!U153</f>
        <v>-2734.79</v>
      </c>
      <c r="I153" s="215">
        <f>Données!V153</f>
        <v>0</v>
      </c>
      <c r="J153" s="215">
        <f>Données!W153</f>
        <v>-1524.66</v>
      </c>
      <c r="K153" s="8">
        <f>+Données!Q153</f>
        <v>0</v>
      </c>
      <c r="L153" s="457">
        <f t="shared" si="7"/>
        <v>1456502.99</v>
      </c>
      <c r="M153" s="8">
        <f>+Données!F153</f>
        <v>0</v>
      </c>
      <c r="N153" s="8">
        <f>+Données!K153</f>
        <v>1581</v>
      </c>
      <c r="O153" s="8">
        <f>(Données!L153/Données!Y153)*1</f>
        <v>112373.85</v>
      </c>
      <c r="P153" s="457">
        <f t="shared" si="8"/>
        <v>1570457.84</v>
      </c>
      <c r="Q153" s="240">
        <f>+Données!X153</f>
        <v>76</v>
      </c>
      <c r="R153" s="457">
        <f t="shared" si="9"/>
        <v>20663.918947368424</v>
      </c>
    </row>
    <row r="154" spans="1:18" x14ac:dyDescent="0.25">
      <c r="A154" s="7">
        <f>Données!A154</f>
        <v>5655</v>
      </c>
      <c r="B154" s="27" t="str">
        <f>Données!B154</f>
        <v>Yens</v>
      </c>
      <c r="C154" s="8">
        <f>Données!C154+Données!D154</f>
        <v>4942284.08</v>
      </c>
      <c r="D154" s="8">
        <f>+Données!G154+Données!H154+Données!S154</f>
        <v>-175792.05</v>
      </c>
      <c r="E154" s="8">
        <f>+Données!E154</f>
        <v>0</v>
      </c>
      <c r="F154" s="8">
        <f>+Données!I154</f>
        <v>66010.45</v>
      </c>
      <c r="G154" s="8">
        <f>+Données!J154</f>
        <v>50940.13</v>
      </c>
      <c r="H154" s="8">
        <f>Données!U154</f>
        <v>-49474.57</v>
      </c>
      <c r="I154" s="215">
        <f>Données!V154</f>
        <v>0</v>
      </c>
      <c r="J154" s="215">
        <f>Données!W154</f>
        <v>-11127.59</v>
      </c>
      <c r="K154" s="8">
        <f>+Données!Q154</f>
        <v>7360.54</v>
      </c>
      <c r="L154" s="457">
        <f t="shared" si="7"/>
        <v>4830200.99</v>
      </c>
      <c r="M154" s="8">
        <f>+Données!F154</f>
        <v>0</v>
      </c>
      <c r="N154" s="8">
        <f>+Données!K154</f>
        <v>11547.1</v>
      </c>
      <c r="O154" s="8">
        <f>(Données!L154/Données!Y154)*1</f>
        <v>430184.7</v>
      </c>
      <c r="P154" s="457">
        <f t="shared" si="8"/>
        <v>5271932.79</v>
      </c>
      <c r="Q154" s="240">
        <f>+Données!X154</f>
        <v>71.5</v>
      </c>
      <c r="R154" s="457">
        <f t="shared" si="9"/>
        <v>73733.325734265731</v>
      </c>
    </row>
    <row r="155" spans="1:18" x14ac:dyDescent="0.25">
      <c r="A155" s="7">
        <f>Données!A155</f>
        <v>5656</v>
      </c>
      <c r="B155" s="27" t="str">
        <f>Données!B155</f>
        <v>Hautemorges</v>
      </c>
      <c r="C155" s="8">
        <f>Données!C155+Données!D155</f>
        <v>11268660.57</v>
      </c>
      <c r="D155" s="8">
        <f>+Données!G155+Données!H155+Données!S155</f>
        <v>163609.77000000002</v>
      </c>
      <c r="E155" s="8">
        <f>+Données!E155</f>
        <v>0</v>
      </c>
      <c r="F155" s="8">
        <f>+Données!I155</f>
        <v>114350.1</v>
      </c>
      <c r="G155" s="8">
        <f>+Données!J155</f>
        <v>336961.46</v>
      </c>
      <c r="H155" s="8">
        <f>Données!U155</f>
        <v>-110882.06999999999</v>
      </c>
      <c r="I155" s="215">
        <f>Données!V155</f>
        <v>0</v>
      </c>
      <c r="J155" s="215">
        <f>Données!W155</f>
        <v>-7228.1900000000005</v>
      </c>
      <c r="K155" s="8">
        <f>+Données!Q155</f>
        <v>13987.65</v>
      </c>
      <c r="L155" s="457">
        <f t="shared" si="7"/>
        <v>11779459.290000001</v>
      </c>
      <c r="M155" s="8">
        <f>+Données!F155</f>
        <v>0</v>
      </c>
      <c r="N155" s="8">
        <f>+Données!K155</f>
        <v>22112.85</v>
      </c>
      <c r="O155" s="8">
        <f>(Données!L155/Données!Y155)*1</f>
        <v>845287.33333333326</v>
      </c>
      <c r="P155" s="457">
        <f t="shared" si="8"/>
        <v>12646859.473333335</v>
      </c>
      <c r="Q155" s="240">
        <f>+Données!X155</f>
        <v>73.459999999999994</v>
      </c>
      <c r="R155" s="457">
        <f t="shared" si="9"/>
        <v>172159.8076957982</v>
      </c>
    </row>
    <row r="156" spans="1:18" x14ac:dyDescent="0.25">
      <c r="A156" s="7">
        <f>Données!A156</f>
        <v>5661</v>
      </c>
      <c r="B156" s="27" t="str">
        <f>Données!B156</f>
        <v>Boulens</v>
      </c>
      <c r="C156" s="8">
        <f>Données!C156+Données!D156</f>
        <v>725393.01</v>
      </c>
      <c r="D156" s="8">
        <f>+Données!G156+Données!H156+Données!S156</f>
        <v>6268.83</v>
      </c>
      <c r="E156" s="8">
        <f>+Données!E156</f>
        <v>0</v>
      </c>
      <c r="F156" s="8">
        <f>+Données!I156</f>
        <v>0</v>
      </c>
      <c r="G156" s="8">
        <f>+Données!J156</f>
        <v>11126.13</v>
      </c>
      <c r="H156" s="8">
        <f>Données!U156</f>
        <v>-1386.94</v>
      </c>
      <c r="I156" s="215">
        <f>Données!V156</f>
        <v>0</v>
      </c>
      <c r="J156" s="215">
        <f>Données!W156</f>
        <v>0</v>
      </c>
      <c r="K156" s="8">
        <f>+Données!Q156</f>
        <v>60.95</v>
      </c>
      <c r="L156" s="457">
        <f t="shared" si="7"/>
        <v>741461.98</v>
      </c>
      <c r="M156" s="8">
        <f>+Données!F156</f>
        <v>0</v>
      </c>
      <c r="N156" s="8">
        <f>+Données!K156</f>
        <v>555</v>
      </c>
      <c r="O156" s="8">
        <f>(Données!L156/Données!Y156)*1</f>
        <v>60664.75</v>
      </c>
      <c r="P156" s="457">
        <f t="shared" si="8"/>
        <v>802681.73</v>
      </c>
      <c r="Q156" s="240">
        <f>+Données!X156</f>
        <v>71.5</v>
      </c>
      <c r="R156" s="457">
        <f t="shared" si="9"/>
        <v>11226.317902097902</v>
      </c>
    </row>
    <row r="157" spans="1:18" x14ac:dyDescent="0.25">
      <c r="A157" s="7">
        <f>Données!A157</f>
        <v>5663</v>
      </c>
      <c r="B157" s="27" t="str">
        <f>Données!B157</f>
        <v>Bussy-sur-Moudon</v>
      </c>
      <c r="C157" s="8">
        <f>Données!C157+Données!D157</f>
        <v>364167.67</v>
      </c>
      <c r="D157" s="8">
        <f>+Données!G157+Données!H157+Données!S157</f>
        <v>1569.9700000000003</v>
      </c>
      <c r="E157" s="8">
        <f>+Données!E157</f>
        <v>0</v>
      </c>
      <c r="F157" s="8">
        <f>+Données!I157</f>
        <v>0</v>
      </c>
      <c r="G157" s="8">
        <f>+Données!J157</f>
        <v>13237.34</v>
      </c>
      <c r="H157" s="8">
        <f>Données!U157</f>
        <v>-57.56</v>
      </c>
      <c r="I157" s="215">
        <f>Données!V157</f>
        <v>0</v>
      </c>
      <c r="J157" s="215">
        <f>Données!W157</f>
        <v>0</v>
      </c>
      <c r="K157" s="8">
        <f>+Données!Q157</f>
        <v>0</v>
      </c>
      <c r="L157" s="457">
        <f t="shared" si="7"/>
        <v>378917.42</v>
      </c>
      <c r="M157" s="8">
        <f>+Données!F157</f>
        <v>1350</v>
      </c>
      <c r="N157" s="8">
        <f>+Données!K157</f>
        <v>325.2</v>
      </c>
      <c r="O157" s="8">
        <f>(Données!L157/Données!Y157)*1</f>
        <v>32601.05</v>
      </c>
      <c r="P157" s="457">
        <f t="shared" si="8"/>
        <v>413193.67</v>
      </c>
      <c r="Q157" s="240">
        <f>+Données!X157</f>
        <v>78.5</v>
      </c>
      <c r="R157" s="457">
        <f t="shared" si="9"/>
        <v>5263.613630573248</v>
      </c>
    </row>
    <row r="158" spans="1:18" x14ac:dyDescent="0.25">
      <c r="A158" s="7">
        <f>Données!A158</f>
        <v>5665</v>
      </c>
      <c r="B158" s="27" t="str">
        <f>Données!B158</f>
        <v>Chavannes-sur-Moudon</v>
      </c>
      <c r="C158" s="8">
        <f>Données!C158+Données!D158</f>
        <v>307356.04000000004</v>
      </c>
      <c r="D158" s="8">
        <f>+Données!G158+Données!H158+Données!S158</f>
        <v>2568.09</v>
      </c>
      <c r="E158" s="8">
        <f>+Données!E158</f>
        <v>0</v>
      </c>
      <c r="F158" s="8">
        <f>+Données!I158</f>
        <v>0</v>
      </c>
      <c r="G158" s="8">
        <f>+Données!J158</f>
        <v>5964.57</v>
      </c>
      <c r="H158" s="8">
        <f>Données!U158</f>
        <v>-45.68</v>
      </c>
      <c r="I158" s="215">
        <f>Données!V158</f>
        <v>0</v>
      </c>
      <c r="J158" s="215">
        <f>Données!W158</f>
        <v>0</v>
      </c>
      <c r="K158" s="8">
        <f>+Données!Q158</f>
        <v>0</v>
      </c>
      <c r="L158" s="457">
        <f t="shared" si="7"/>
        <v>315843.02000000008</v>
      </c>
      <c r="M158" s="8">
        <f>+Données!F158</f>
        <v>0</v>
      </c>
      <c r="N158" s="8">
        <f>+Données!K158</f>
        <v>4.5</v>
      </c>
      <c r="O158" s="8">
        <f>(Données!L158/Données!Y158)*1</f>
        <v>28605.4</v>
      </c>
      <c r="P158" s="457">
        <f t="shared" si="8"/>
        <v>344452.9200000001</v>
      </c>
      <c r="Q158" s="240">
        <f>+Données!X158</f>
        <v>70</v>
      </c>
      <c r="R158" s="457">
        <f t="shared" si="9"/>
        <v>4920.7560000000012</v>
      </c>
    </row>
    <row r="159" spans="1:18" x14ac:dyDescent="0.25">
      <c r="A159" s="7">
        <f>Données!A159</f>
        <v>5669</v>
      </c>
      <c r="B159" s="27" t="str">
        <f>Données!B159</f>
        <v>Curtilles</v>
      </c>
      <c r="C159" s="8">
        <f>Données!C159+Données!D159</f>
        <v>625219.99</v>
      </c>
      <c r="D159" s="8">
        <f>+Données!G159+Données!H159+Données!S159</f>
        <v>18084.650000000001</v>
      </c>
      <c r="E159" s="8">
        <f>+Données!E159</f>
        <v>0</v>
      </c>
      <c r="F159" s="8">
        <f>+Données!I159</f>
        <v>0</v>
      </c>
      <c r="G159" s="8">
        <f>+Données!J159</f>
        <v>1884.79</v>
      </c>
      <c r="H159" s="8">
        <f>Données!U159</f>
        <v>-10748.08</v>
      </c>
      <c r="I159" s="215">
        <f>Données!V159</f>
        <v>0</v>
      </c>
      <c r="J159" s="215">
        <f>Données!W159</f>
        <v>0</v>
      </c>
      <c r="K159" s="8">
        <f>+Données!Q159</f>
        <v>0</v>
      </c>
      <c r="L159" s="457">
        <f t="shared" si="7"/>
        <v>634441.35000000009</v>
      </c>
      <c r="M159" s="8">
        <f>+Données!F159</f>
        <v>0</v>
      </c>
      <c r="N159" s="8">
        <f>+Données!K159</f>
        <v>-1050.3</v>
      </c>
      <c r="O159" s="8">
        <f>(Données!L159/Données!Y159)*1</f>
        <v>48254.6</v>
      </c>
      <c r="P159" s="457">
        <f t="shared" si="8"/>
        <v>681645.65</v>
      </c>
      <c r="Q159" s="240">
        <f>+Données!X159</f>
        <v>73</v>
      </c>
      <c r="R159" s="457">
        <f t="shared" si="9"/>
        <v>9337.6116438356166</v>
      </c>
    </row>
    <row r="160" spans="1:18" x14ac:dyDescent="0.25">
      <c r="A160" s="7">
        <f>Données!A160</f>
        <v>5671</v>
      </c>
      <c r="B160" s="27" t="str">
        <f>Données!B160</f>
        <v>Dompierre</v>
      </c>
      <c r="C160" s="8">
        <f>Données!C160+Données!D160</f>
        <v>451698.17</v>
      </c>
      <c r="D160" s="8">
        <f>+Données!G160+Données!H160+Données!S160</f>
        <v>12080.689999999999</v>
      </c>
      <c r="E160" s="8">
        <f>+Données!E160</f>
        <v>0</v>
      </c>
      <c r="F160" s="8">
        <f>+Données!I160</f>
        <v>0</v>
      </c>
      <c r="G160" s="8">
        <f>+Données!J160</f>
        <v>3734.29</v>
      </c>
      <c r="H160" s="8">
        <f>Données!U160</f>
        <v>-660.07</v>
      </c>
      <c r="I160" s="215">
        <f>Données!V160</f>
        <v>0</v>
      </c>
      <c r="J160" s="215">
        <f>Données!W160</f>
        <v>0</v>
      </c>
      <c r="K160" s="8">
        <f>+Données!Q160</f>
        <v>358.55</v>
      </c>
      <c r="L160" s="457">
        <f t="shared" si="7"/>
        <v>467211.62999999995</v>
      </c>
      <c r="M160" s="8">
        <f>+Données!F160</f>
        <v>1480</v>
      </c>
      <c r="N160" s="8">
        <f>+Données!K160</f>
        <v>223.5</v>
      </c>
      <c r="O160" s="8">
        <f>(Données!L160/Données!Y160)*1</f>
        <v>35237.85</v>
      </c>
      <c r="P160" s="457">
        <f t="shared" si="8"/>
        <v>504152.97999999992</v>
      </c>
      <c r="Q160" s="240">
        <f>+Données!X160</f>
        <v>78</v>
      </c>
      <c r="R160" s="457">
        <f t="shared" si="9"/>
        <v>6463.499743589743</v>
      </c>
    </row>
    <row r="161" spans="1:18" x14ac:dyDescent="0.25">
      <c r="A161" s="7">
        <f>Données!A161</f>
        <v>5673</v>
      </c>
      <c r="B161" s="27" t="str">
        <f>Données!B161</f>
        <v>Hermenches</v>
      </c>
      <c r="C161" s="8">
        <f>Données!C161+Données!D161</f>
        <v>697564.02</v>
      </c>
      <c r="D161" s="8">
        <f>+Données!G161+Données!H161+Données!S161</f>
        <v>1844.0400000000002</v>
      </c>
      <c r="E161" s="8">
        <f>+Données!E161</f>
        <v>0</v>
      </c>
      <c r="F161" s="8">
        <f>+Données!I161</f>
        <v>0</v>
      </c>
      <c r="G161" s="8">
        <f>+Données!J161</f>
        <v>5680.46</v>
      </c>
      <c r="H161" s="8">
        <f>Données!U161</f>
        <v>-3692.67</v>
      </c>
      <c r="I161" s="215">
        <f>Données!V161</f>
        <v>0</v>
      </c>
      <c r="J161" s="215">
        <f>Données!W161</f>
        <v>-51.6</v>
      </c>
      <c r="K161" s="8">
        <f>+Données!Q161</f>
        <v>0</v>
      </c>
      <c r="L161" s="457">
        <f t="shared" si="7"/>
        <v>701344.25</v>
      </c>
      <c r="M161" s="8">
        <f>+Données!F161</f>
        <v>2200</v>
      </c>
      <c r="N161" s="8">
        <f>+Données!K161</f>
        <v>408</v>
      </c>
      <c r="O161" s="8">
        <f>(Données!L161/Données!Y161)*1</f>
        <v>47748.25</v>
      </c>
      <c r="P161" s="457">
        <f t="shared" si="8"/>
        <v>751700.5</v>
      </c>
      <c r="Q161" s="240">
        <f>+Données!X161</f>
        <v>73.5</v>
      </c>
      <c r="R161" s="457">
        <f t="shared" si="9"/>
        <v>10227.21768707483</v>
      </c>
    </row>
    <row r="162" spans="1:18" x14ac:dyDescent="0.25">
      <c r="A162" s="7">
        <f>Données!A162</f>
        <v>5674</v>
      </c>
      <c r="B162" s="27" t="str">
        <f>Données!B162</f>
        <v>Lovatens</v>
      </c>
      <c r="C162" s="8">
        <f>Données!C162+Données!D162</f>
        <v>290354.62</v>
      </c>
      <c r="D162" s="8">
        <f>+Données!G162+Données!H162+Données!S162</f>
        <v>405.19000000000005</v>
      </c>
      <c r="E162" s="8">
        <f>+Données!E162</f>
        <v>0</v>
      </c>
      <c r="F162" s="8">
        <f>+Données!I162</f>
        <v>0</v>
      </c>
      <c r="G162" s="8">
        <f>+Données!J162</f>
        <v>454.23</v>
      </c>
      <c r="H162" s="8">
        <f>Données!U162</f>
        <v>-516.04</v>
      </c>
      <c r="I162" s="215">
        <f>Données!V162</f>
        <v>408.9</v>
      </c>
      <c r="J162" s="215">
        <f>Données!W162</f>
        <v>-76.5</v>
      </c>
      <c r="K162" s="8">
        <f>+Données!Q162</f>
        <v>0</v>
      </c>
      <c r="L162" s="457">
        <f t="shared" si="7"/>
        <v>291030.40000000002</v>
      </c>
      <c r="M162" s="8">
        <f>+Données!F162</f>
        <v>0</v>
      </c>
      <c r="N162" s="8">
        <f>+Données!K162</f>
        <v>64.099999999999994</v>
      </c>
      <c r="O162" s="8">
        <f>(Données!L162/Données!Y162)*1</f>
        <v>25608.500000000004</v>
      </c>
      <c r="P162" s="457">
        <f t="shared" si="8"/>
        <v>316703</v>
      </c>
      <c r="Q162" s="240">
        <f>+Données!X162</f>
        <v>75</v>
      </c>
      <c r="R162" s="457">
        <f t="shared" si="9"/>
        <v>4222.7066666666669</v>
      </c>
    </row>
    <row r="163" spans="1:18" x14ac:dyDescent="0.25">
      <c r="A163" s="7">
        <f>Données!A163</f>
        <v>5675</v>
      </c>
      <c r="B163" s="27" t="str">
        <f>Données!B163</f>
        <v>Lucens</v>
      </c>
      <c r="C163" s="8">
        <f>Données!C163+Données!D163</f>
        <v>5789895.9600000009</v>
      </c>
      <c r="D163" s="8">
        <f>+Données!G163+Données!H163+Données!S163</f>
        <v>453242.42000000004</v>
      </c>
      <c r="E163" s="8">
        <f>+Données!E163</f>
        <v>0</v>
      </c>
      <c r="F163" s="8">
        <f>+Données!I163</f>
        <v>0</v>
      </c>
      <c r="G163" s="8">
        <f>+Données!J163</f>
        <v>260799.76</v>
      </c>
      <c r="H163" s="8">
        <f>Données!U163</f>
        <v>-220965.2</v>
      </c>
      <c r="I163" s="215">
        <f>Données!V163</f>
        <v>0</v>
      </c>
      <c r="J163" s="215">
        <f>Données!W163</f>
        <v>-4006.24</v>
      </c>
      <c r="K163" s="8">
        <f>+Données!Q163</f>
        <v>83927.44</v>
      </c>
      <c r="L163" s="457">
        <f t="shared" si="7"/>
        <v>6362894.1400000006</v>
      </c>
      <c r="M163" s="8">
        <f>+Données!F163</f>
        <v>0</v>
      </c>
      <c r="N163" s="8">
        <f>+Données!K163</f>
        <v>92100.55</v>
      </c>
      <c r="O163" s="8">
        <f>(Données!L163/Données!Y163)*1</f>
        <v>642618.63636363635</v>
      </c>
      <c r="P163" s="457">
        <f t="shared" si="8"/>
        <v>7097613.3263636371</v>
      </c>
      <c r="Q163" s="240">
        <f>+Données!X163</f>
        <v>67.5</v>
      </c>
      <c r="R163" s="457">
        <f t="shared" si="9"/>
        <v>105149.82705723906</v>
      </c>
    </row>
    <row r="164" spans="1:18" x14ac:dyDescent="0.25">
      <c r="A164" s="7">
        <f>Données!A164</f>
        <v>5678</v>
      </c>
      <c r="B164" s="27" t="str">
        <f>Données!B164</f>
        <v>Moudon</v>
      </c>
      <c r="C164" s="8">
        <f>Données!C164+Données!D164</f>
        <v>7450454.4199999999</v>
      </c>
      <c r="D164" s="8">
        <f>+Données!G164+Données!H164+Données!S164</f>
        <v>522617.77</v>
      </c>
      <c r="E164" s="8">
        <f>+Données!E164</f>
        <v>0</v>
      </c>
      <c r="F164" s="8">
        <f>+Données!I164</f>
        <v>0</v>
      </c>
      <c r="G164" s="8">
        <f>+Données!J164</f>
        <v>427139.97</v>
      </c>
      <c r="H164" s="8">
        <f>Données!U164</f>
        <v>-341427.49</v>
      </c>
      <c r="I164" s="215">
        <f>Données!V164</f>
        <v>0</v>
      </c>
      <c r="J164" s="215">
        <f>Données!W164</f>
        <v>-4887.5200000000004</v>
      </c>
      <c r="K164" s="8">
        <f>+Données!Q164</f>
        <v>43932.25</v>
      </c>
      <c r="L164" s="457">
        <f t="shared" si="7"/>
        <v>8097829.4000000004</v>
      </c>
      <c r="M164" s="8">
        <f>+Données!F164</f>
        <v>34559.300000000003</v>
      </c>
      <c r="N164" s="8">
        <f>+Données!K164</f>
        <v>82929.649999999994</v>
      </c>
      <c r="O164" s="8">
        <f>(Données!L164/Données!Y164)*1</f>
        <v>833738</v>
      </c>
      <c r="P164" s="457">
        <f t="shared" si="8"/>
        <v>9049056.3500000015</v>
      </c>
      <c r="Q164" s="240">
        <f>+Données!X164</f>
        <v>72.5</v>
      </c>
      <c r="R164" s="457">
        <f t="shared" si="9"/>
        <v>124814.5703448276</v>
      </c>
    </row>
    <row r="165" spans="1:18" x14ac:dyDescent="0.25">
      <c r="A165" s="7">
        <f>Données!A165</f>
        <v>5680</v>
      </c>
      <c r="B165" s="27" t="str">
        <f>Données!B165</f>
        <v>Ogens</v>
      </c>
      <c r="C165" s="8">
        <f>Données!C165+Données!D165</f>
        <v>611259.66</v>
      </c>
      <c r="D165" s="8">
        <f>+Données!G165+Données!H165+Données!S165</f>
        <v>-119.55000000000001</v>
      </c>
      <c r="E165" s="8">
        <f>+Données!E165</f>
        <v>0</v>
      </c>
      <c r="F165" s="8">
        <f>+Données!I165</f>
        <v>0</v>
      </c>
      <c r="G165" s="8">
        <f>+Données!J165</f>
        <v>10395.280000000001</v>
      </c>
      <c r="H165" s="8">
        <f>Données!U165</f>
        <v>-10045.25</v>
      </c>
      <c r="I165" s="215">
        <f>Données!V165</f>
        <v>0</v>
      </c>
      <c r="J165" s="215">
        <f>Données!W165</f>
        <v>0</v>
      </c>
      <c r="K165" s="8">
        <f>+Données!Q165</f>
        <v>0.09</v>
      </c>
      <c r="L165" s="457">
        <f t="shared" si="7"/>
        <v>611490.23</v>
      </c>
      <c r="M165" s="8">
        <f>+Données!F165</f>
        <v>0</v>
      </c>
      <c r="N165" s="8">
        <f>+Données!K165</f>
        <v>625</v>
      </c>
      <c r="O165" s="8">
        <f>(Données!L165/Données!Y165)*1</f>
        <v>51018.366666666669</v>
      </c>
      <c r="P165" s="457">
        <f t="shared" si="8"/>
        <v>663133.59666666668</v>
      </c>
      <c r="Q165" s="240">
        <f>+Données!X165</f>
        <v>78</v>
      </c>
      <c r="R165" s="457">
        <f t="shared" si="9"/>
        <v>8501.7127777777787</v>
      </c>
    </row>
    <row r="166" spans="1:18" x14ac:dyDescent="0.25">
      <c r="A166" s="7">
        <f>Données!A166</f>
        <v>5683</v>
      </c>
      <c r="B166" s="27" t="str">
        <f>Données!B166</f>
        <v>Prévonloup</v>
      </c>
      <c r="C166" s="8">
        <f>Données!C166+Données!D166</f>
        <v>357942.02999999997</v>
      </c>
      <c r="D166" s="8">
        <f>+Données!G166+Données!H166+Données!S166</f>
        <v>1879.0500000000002</v>
      </c>
      <c r="E166" s="8">
        <f>+Données!E166</f>
        <v>0</v>
      </c>
      <c r="F166" s="8">
        <f>+Données!I166</f>
        <v>0</v>
      </c>
      <c r="G166" s="8">
        <f>+Données!J166</f>
        <v>862.08</v>
      </c>
      <c r="H166" s="8">
        <f>Données!U166</f>
        <v>-1497.32</v>
      </c>
      <c r="I166" s="215">
        <f>Données!V166</f>
        <v>0</v>
      </c>
      <c r="J166" s="215">
        <f>Données!W166</f>
        <v>0</v>
      </c>
      <c r="K166" s="8">
        <f>+Données!Q166</f>
        <v>0</v>
      </c>
      <c r="L166" s="457">
        <f t="shared" si="7"/>
        <v>359185.83999999997</v>
      </c>
      <c r="M166" s="8">
        <f>+Données!F166</f>
        <v>0</v>
      </c>
      <c r="N166" s="8">
        <f>+Données!K166</f>
        <v>2220.5</v>
      </c>
      <c r="O166" s="8">
        <f>(Données!L166/Données!Y166)*1</f>
        <v>29104.75</v>
      </c>
      <c r="P166" s="457">
        <f t="shared" si="8"/>
        <v>390511.08999999997</v>
      </c>
      <c r="Q166" s="240">
        <f>+Données!X166</f>
        <v>72.5</v>
      </c>
      <c r="R166" s="457">
        <f t="shared" si="9"/>
        <v>5386.3598620689654</v>
      </c>
    </row>
    <row r="167" spans="1:18" x14ac:dyDescent="0.25">
      <c r="A167" s="7">
        <f>Données!A167</f>
        <v>5684</v>
      </c>
      <c r="B167" s="27" t="str">
        <f>Données!B167</f>
        <v>Rossenges</v>
      </c>
      <c r="C167" s="8">
        <f>Données!C167+Données!D167</f>
        <v>239901.21</v>
      </c>
      <c r="D167" s="8">
        <f>+Données!G167+Données!H167+Données!S167</f>
        <v>1222.7</v>
      </c>
      <c r="E167" s="8">
        <f>+Données!E167</f>
        <v>0</v>
      </c>
      <c r="F167" s="8">
        <f>+Données!I167</f>
        <v>0</v>
      </c>
      <c r="G167" s="8">
        <f>+Données!J167</f>
        <v>116.62</v>
      </c>
      <c r="H167" s="8">
        <f>Données!U167</f>
        <v>-5290.27</v>
      </c>
      <c r="I167" s="215">
        <f>Données!V167</f>
        <v>0</v>
      </c>
      <c r="J167" s="215">
        <f>Données!W167</f>
        <v>-20.29</v>
      </c>
      <c r="K167" s="8">
        <f>+Données!Q167</f>
        <v>0</v>
      </c>
      <c r="L167" s="457">
        <f t="shared" si="7"/>
        <v>235929.97</v>
      </c>
      <c r="M167" s="8">
        <f>+Données!F167</f>
        <v>0</v>
      </c>
      <c r="N167" s="8">
        <f>+Données!K167</f>
        <v>0</v>
      </c>
      <c r="O167" s="8">
        <f>(Données!L167/Données!Y167)*1</f>
        <v>8077.3749999999991</v>
      </c>
      <c r="P167" s="457">
        <f t="shared" si="8"/>
        <v>244007.345</v>
      </c>
      <c r="Q167" s="240">
        <f>+Données!X167</f>
        <v>75</v>
      </c>
      <c r="R167" s="457">
        <f t="shared" si="9"/>
        <v>3253.4312666666665</v>
      </c>
    </row>
    <row r="168" spans="1:18" x14ac:dyDescent="0.25">
      <c r="A168" s="7">
        <f>Données!A168</f>
        <v>5688</v>
      </c>
      <c r="B168" s="27" t="str">
        <f>Données!B168</f>
        <v>Syens</v>
      </c>
      <c r="C168" s="8">
        <f>Données!C168+Données!D168</f>
        <v>411046.19999999995</v>
      </c>
      <c r="D168" s="8">
        <f>+Données!G168+Données!H168+Données!S168</f>
        <v>-21660.85</v>
      </c>
      <c r="E168" s="8">
        <f>+Données!E168</f>
        <v>0</v>
      </c>
      <c r="F168" s="8">
        <f>+Données!I168</f>
        <v>0</v>
      </c>
      <c r="G168" s="8">
        <f>+Données!J168</f>
        <v>2193.36</v>
      </c>
      <c r="H168" s="8">
        <f>Données!U168</f>
        <v>-13908.64</v>
      </c>
      <c r="I168" s="215">
        <f>Données!V168</f>
        <v>0</v>
      </c>
      <c r="J168" s="215">
        <f>Données!W168</f>
        <v>0</v>
      </c>
      <c r="K168" s="8">
        <f>+Données!Q168</f>
        <v>26.03</v>
      </c>
      <c r="L168" s="457">
        <f t="shared" si="7"/>
        <v>377696.1</v>
      </c>
      <c r="M168" s="8">
        <f>+Données!F168</f>
        <v>0</v>
      </c>
      <c r="N168" s="8">
        <f>+Données!K168</f>
        <v>105</v>
      </c>
      <c r="O168" s="8">
        <f>(Données!L168/Données!Y168)*1</f>
        <v>24705</v>
      </c>
      <c r="P168" s="457">
        <f t="shared" si="8"/>
        <v>402506.1</v>
      </c>
      <c r="Q168" s="240">
        <f>+Données!X168</f>
        <v>65</v>
      </c>
      <c r="R168" s="457">
        <f t="shared" si="9"/>
        <v>6192.4015384615377</v>
      </c>
    </row>
    <row r="169" spans="1:18" x14ac:dyDescent="0.25">
      <c r="A169" s="7">
        <f>Données!A169</f>
        <v>5690</v>
      </c>
      <c r="B169" s="27" t="str">
        <f>Données!B169</f>
        <v>Villars-le-Comte</v>
      </c>
      <c r="C169" s="8">
        <f>Données!C169+Données!D169</f>
        <v>224587.97999999998</v>
      </c>
      <c r="D169" s="8">
        <f>+Données!G169+Données!H169+Données!S169</f>
        <v>1549.77</v>
      </c>
      <c r="E169" s="8">
        <f>+Données!E169</f>
        <v>0</v>
      </c>
      <c r="F169" s="8">
        <f>+Données!I169</f>
        <v>0</v>
      </c>
      <c r="G169" s="8">
        <f>+Données!J169</f>
        <v>0</v>
      </c>
      <c r="H169" s="8">
        <f>Données!U169</f>
        <v>-2328.0500000000002</v>
      </c>
      <c r="I169" s="215">
        <f>Données!V169</f>
        <v>0</v>
      </c>
      <c r="J169" s="215">
        <f>Données!W169</f>
        <v>0</v>
      </c>
      <c r="K169" s="8">
        <f>+Données!Q169</f>
        <v>0</v>
      </c>
      <c r="L169" s="457">
        <f t="shared" si="7"/>
        <v>223809.69999999998</v>
      </c>
      <c r="M169" s="8">
        <f>+Données!F169</f>
        <v>730</v>
      </c>
      <c r="N169" s="8">
        <f>+Données!K169</f>
        <v>184.1</v>
      </c>
      <c r="O169" s="8">
        <f>(Données!L169/Données!Y169)*1</f>
        <v>20973.916666666668</v>
      </c>
      <c r="P169" s="457">
        <f t="shared" si="8"/>
        <v>245697.71666666665</v>
      </c>
      <c r="Q169" s="240">
        <f>+Données!X169</f>
        <v>70</v>
      </c>
      <c r="R169" s="457">
        <f t="shared" si="9"/>
        <v>3509.9673809523806</v>
      </c>
    </row>
    <row r="170" spans="1:18" x14ac:dyDescent="0.25">
      <c r="A170" s="7">
        <f>Données!A170</f>
        <v>5692</v>
      </c>
      <c r="B170" s="27" t="str">
        <f>Données!B170</f>
        <v>Vucherens</v>
      </c>
      <c r="C170" s="8">
        <f>Données!C170+Données!D170</f>
        <v>1348315.74</v>
      </c>
      <c r="D170" s="8">
        <f>+Données!G170+Données!H170+Données!S170</f>
        <v>15169.009999999998</v>
      </c>
      <c r="E170" s="8">
        <f>+Données!E170</f>
        <v>0</v>
      </c>
      <c r="F170" s="8">
        <f>+Données!I170</f>
        <v>0</v>
      </c>
      <c r="G170" s="8">
        <f>+Données!J170</f>
        <v>14293.11</v>
      </c>
      <c r="H170" s="8">
        <f>Données!U170</f>
        <v>-33446.31</v>
      </c>
      <c r="I170" s="215">
        <f>Données!V170</f>
        <v>0</v>
      </c>
      <c r="J170" s="215">
        <f>Données!W170</f>
        <v>0</v>
      </c>
      <c r="K170" s="8">
        <f>+Données!Q170</f>
        <v>1087.77</v>
      </c>
      <c r="L170" s="457">
        <f t="shared" si="7"/>
        <v>1345419.32</v>
      </c>
      <c r="M170" s="8">
        <f>+Données!F170</f>
        <v>0</v>
      </c>
      <c r="N170" s="8">
        <f>+Données!K170</f>
        <v>2474.4499999999998</v>
      </c>
      <c r="O170" s="8">
        <f>(Données!L170/Données!Y170)*1</f>
        <v>99134.9</v>
      </c>
      <c r="P170" s="457">
        <f t="shared" si="8"/>
        <v>1447028.67</v>
      </c>
      <c r="Q170" s="240">
        <f>+Données!X170</f>
        <v>77</v>
      </c>
      <c r="R170" s="457">
        <f t="shared" si="9"/>
        <v>18792.58012987013</v>
      </c>
    </row>
    <row r="171" spans="1:18" x14ac:dyDescent="0.25">
      <c r="A171" s="7">
        <f>Données!A171</f>
        <v>5693</v>
      </c>
      <c r="B171" s="27" t="str">
        <f>Données!B171</f>
        <v>Montanaire</v>
      </c>
      <c r="C171" s="8">
        <f>Données!C171+Données!D171</f>
        <v>4725075.3999999994</v>
      </c>
      <c r="D171" s="8">
        <f>+Données!G171+Données!H171+Données!S171</f>
        <v>132115.07999999999</v>
      </c>
      <c r="E171" s="8">
        <f>+Données!E171</f>
        <v>0</v>
      </c>
      <c r="F171" s="8">
        <f>+Données!I171</f>
        <v>0</v>
      </c>
      <c r="G171" s="8">
        <f>+Données!J171</f>
        <v>70814.34</v>
      </c>
      <c r="H171" s="8">
        <f>Données!U171</f>
        <v>-93836.39</v>
      </c>
      <c r="I171" s="215">
        <f>Données!V171</f>
        <v>0</v>
      </c>
      <c r="J171" s="215">
        <f>Données!W171</f>
        <v>-261.51</v>
      </c>
      <c r="K171" s="8">
        <f>+Données!Q171</f>
        <v>25511.61</v>
      </c>
      <c r="L171" s="457">
        <f t="shared" si="7"/>
        <v>4859418.53</v>
      </c>
      <c r="M171" s="8">
        <f>+Données!F171</f>
        <v>0</v>
      </c>
      <c r="N171" s="8">
        <f>+Données!K171</f>
        <v>9962</v>
      </c>
      <c r="O171" s="8">
        <f>(Données!L171/Données!Y171)*1</f>
        <v>428714.75</v>
      </c>
      <c r="P171" s="457">
        <f t="shared" si="8"/>
        <v>5298095.28</v>
      </c>
      <c r="Q171" s="240">
        <f>+Données!X171</f>
        <v>70</v>
      </c>
      <c r="R171" s="457">
        <f t="shared" si="9"/>
        <v>75687.075428571436</v>
      </c>
    </row>
    <row r="172" spans="1:18" x14ac:dyDescent="0.25">
      <c r="A172" s="7">
        <f>Données!A172</f>
        <v>5701</v>
      </c>
      <c r="B172" s="27" t="str">
        <f>Données!B172</f>
        <v>Arnex-sur-Nyon</v>
      </c>
      <c r="C172" s="8">
        <f>Données!C172+Données!D172</f>
        <v>853200.27</v>
      </c>
      <c r="D172" s="8">
        <f>+Données!G172+Données!H172+Données!S172</f>
        <v>1870.1200000000001</v>
      </c>
      <c r="E172" s="8">
        <f>+Données!E172</f>
        <v>0</v>
      </c>
      <c r="F172" s="8">
        <f>+Données!I172</f>
        <v>65333.35</v>
      </c>
      <c r="G172" s="8">
        <f>+Données!J172</f>
        <v>21681.83</v>
      </c>
      <c r="H172" s="8">
        <f>Données!U172</f>
        <v>-1274.97</v>
      </c>
      <c r="I172" s="215">
        <f>Données!V172</f>
        <v>0</v>
      </c>
      <c r="J172" s="215">
        <f>Données!W172</f>
        <v>-581.19000000000005</v>
      </c>
      <c r="K172" s="8">
        <f>+Données!Q172</f>
        <v>0</v>
      </c>
      <c r="L172" s="457">
        <f t="shared" si="7"/>
        <v>940229.41</v>
      </c>
      <c r="M172" s="8">
        <f>+Données!F172</f>
        <v>0</v>
      </c>
      <c r="N172" s="8">
        <f>+Données!K172</f>
        <v>508.25</v>
      </c>
      <c r="O172" s="8">
        <f>(Données!L172/Données!Y172)*1</f>
        <v>73466.600000000006</v>
      </c>
      <c r="P172" s="457">
        <f t="shared" si="8"/>
        <v>1014204.26</v>
      </c>
      <c r="Q172" s="240">
        <f>+Données!X172</f>
        <v>70</v>
      </c>
      <c r="R172" s="457">
        <f t="shared" si="9"/>
        <v>14488.632285714286</v>
      </c>
    </row>
    <row r="173" spans="1:18" x14ac:dyDescent="0.25">
      <c r="A173" s="7">
        <f>Données!A173</f>
        <v>5702</v>
      </c>
      <c r="B173" s="27" t="str">
        <f>Données!B173</f>
        <v>Arzier-Le Muids</v>
      </c>
      <c r="C173" s="8">
        <f>Données!C173+Données!D173</f>
        <v>9648524.6400000006</v>
      </c>
      <c r="D173" s="8">
        <f>+Données!G173+Données!H173+Données!S173</f>
        <v>156707.84</v>
      </c>
      <c r="E173" s="8">
        <f>+Données!E173</f>
        <v>0</v>
      </c>
      <c r="F173" s="8">
        <f>+Données!I173</f>
        <v>414594.65</v>
      </c>
      <c r="G173" s="8">
        <f>+Données!J173</f>
        <v>186766.5</v>
      </c>
      <c r="H173" s="8">
        <f>Données!U173</f>
        <v>-186322.45</v>
      </c>
      <c r="I173" s="215">
        <f>Données!V173</f>
        <v>0</v>
      </c>
      <c r="J173" s="215">
        <f>Données!W173</f>
        <v>-23057.17</v>
      </c>
      <c r="K173" s="8">
        <f>+Données!Q173</f>
        <v>149621.63</v>
      </c>
      <c r="L173" s="457">
        <f t="shared" si="7"/>
        <v>10346835.640000002</v>
      </c>
      <c r="M173" s="8">
        <f>+Données!F173</f>
        <v>0</v>
      </c>
      <c r="N173" s="8">
        <f>+Données!K173</f>
        <v>1851.65</v>
      </c>
      <c r="O173" s="8">
        <f>(Données!L173/Données!Y173)*1</f>
        <v>842057.93333333323</v>
      </c>
      <c r="P173" s="457">
        <f t="shared" si="8"/>
        <v>11190745.223333336</v>
      </c>
      <c r="Q173" s="240">
        <f>+Données!X173</f>
        <v>64</v>
      </c>
      <c r="R173" s="457">
        <f t="shared" si="9"/>
        <v>174855.39411458338</v>
      </c>
    </row>
    <row r="174" spans="1:18" x14ac:dyDescent="0.25">
      <c r="A174" s="7">
        <f>Données!A174</f>
        <v>5703</v>
      </c>
      <c r="B174" s="27" t="str">
        <f>Données!B174</f>
        <v>Bassins</v>
      </c>
      <c r="C174" s="8">
        <f>Données!C174+Données!D174</f>
        <v>4466594.5</v>
      </c>
      <c r="D174" s="8">
        <f>+Données!G174+Données!H174+Données!S174</f>
        <v>34472.65</v>
      </c>
      <c r="E174" s="8">
        <f>+Données!E174</f>
        <v>0</v>
      </c>
      <c r="F174" s="8">
        <f>+Données!I174</f>
        <v>0</v>
      </c>
      <c r="G174" s="8">
        <f>+Données!J174</f>
        <v>31253.81</v>
      </c>
      <c r="H174" s="8">
        <f>Données!U174</f>
        <v>-33422.980000000003</v>
      </c>
      <c r="I174" s="215">
        <f>Données!V174</f>
        <v>0</v>
      </c>
      <c r="J174" s="215">
        <f>Données!W174</f>
        <v>-2500.88</v>
      </c>
      <c r="K174" s="8">
        <f>+Données!Q174</f>
        <v>6774.96</v>
      </c>
      <c r="L174" s="457">
        <f t="shared" si="7"/>
        <v>4503172.0599999996</v>
      </c>
      <c r="M174" s="8">
        <f>+Données!F174</f>
        <v>0</v>
      </c>
      <c r="N174" s="8">
        <f>+Données!K174</f>
        <v>927.75</v>
      </c>
      <c r="O174" s="8">
        <f>(Données!L174/Données!Y174)*1</f>
        <v>338811.60714285716</v>
      </c>
      <c r="P174" s="457">
        <f t="shared" si="8"/>
        <v>4842911.4171428569</v>
      </c>
      <c r="Q174" s="240">
        <f>+Données!X174</f>
        <v>72.5</v>
      </c>
      <c r="R174" s="457">
        <f t="shared" si="9"/>
        <v>66798.778167487675</v>
      </c>
    </row>
    <row r="175" spans="1:18" x14ac:dyDescent="0.25">
      <c r="A175" s="7">
        <f>Données!A175</f>
        <v>5704</v>
      </c>
      <c r="B175" s="27" t="str">
        <f>Données!B175</f>
        <v>Begnins</v>
      </c>
      <c r="C175" s="8">
        <f>Données!C175+Données!D175</f>
        <v>8225910.2999999998</v>
      </c>
      <c r="D175" s="8">
        <f>+Données!G175+Données!H175+Données!S175</f>
        <v>74326.320000000007</v>
      </c>
      <c r="E175" s="8">
        <f>+Données!E175</f>
        <v>0</v>
      </c>
      <c r="F175" s="8">
        <f>+Données!I175</f>
        <v>331610.95</v>
      </c>
      <c r="G175" s="8">
        <f>+Données!J175</f>
        <v>134617.20000000001</v>
      </c>
      <c r="H175" s="8">
        <f>Données!U175</f>
        <v>-55365.69</v>
      </c>
      <c r="I175" s="215">
        <f>Données!V175</f>
        <v>0</v>
      </c>
      <c r="J175" s="215">
        <f>Données!W175</f>
        <v>-122321.3</v>
      </c>
      <c r="K175" s="8">
        <f>+Données!Q175</f>
        <v>12522.13</v>
      </c>
      <c r="L175" s="457">
        <f t="shared" si="7"/>
        <v>8601299.9100000001</v>
      </c>
      <c r="M175" s="8">
        <f>+Données!F175</f>
        <v>0</v>
      </c>
      <c r="N175" s="8">
        <f>+Données!K175</f>
        <v>15685.15</v>
      </c>
      <c r="O175" s="8">
        <f>(Données!L175/Données!Y175)*1</f>
        <v>529244.79999999993</v>
      </c>
      <c r="P175" s="457">
        <f t="shared" si="8"/>
        <v>9146229.8600000013</v>
      </c>
      <c r="Q175" s="240">
        <f>+Données!X175</f>
        <v>62.5</v>
      </c>
      <c r="R175" s="457">
        <f t="shared" si="9"/>
        <v>146339.67776000002</v>
      </c>
    </row>
    <row r="176" spans="1:18" x14ac:dyDescent="0.25">
      <c r="A176" s="7">
        <f>Données!A176</f>
        <v>5705</v>
      </c>
      <c r="B176" s="27" t="str">
        <f>Données!B176</f>
        <v>Bogis-Bossey</v>
      </c>
      <c r="C176" s="8">
        <f>Données!C176+Données!D176</f>
        <v>3451768.12</v>
      </c>
      <c r="D176" s="8">
        <f>+Données!G176+Données!H176+Données!S176</f>
        <v>67498.740000000005</v>
      </c>
      <c r="E176" s="8">
        <f>+Données!E176</f>
        <v>0</v>
      </c>
      <c r="F176" s="8">
        <f>+Données!I176</f>
        <v>106832.5</v>
      </c>
      <c r="G176" s="8">
        <f>+Données!J176</f>
        <v>21583.82</v>
      </c>
      <c r="H176" s="8">
        <f>Données!U176</f>
        <v>-15256.03</v>
      </c>
      <c r="I176" s="215">
        <f>Données!V176</f>
        <v>0</v>
      </c>
      <c r="J176" s="215">
        <f>Données!W176</f>
        <v>-6470.74</v>
      </c>
      <c r="K176" s="8">
        <f>+Données!Q176</f>
        <v>1831.91</v>
      </c>
      <c r="L176" s="457">
        <f t="shared" si="7"/>
        <v>3627788.3200000003</v>
      </c>
      <c r="M176" s="8">
        <f>+Données!F176</f>
        <v>0</v>
      </c>
      <c r="N176" s="8">
        <f>+Données!K176</f>
        <v>11017.25</v>
      </c>
      <c r="O176" s="8">
        <f>(Données!L176/Données!Y176)*1</f>
        <v>231509.5</v>
      </c>
      <c r="P176" s="457">
        <f t="shared" si="8"/>
        <v>3870315.0700000003</v>
      </c>
      <c r="Q176" s="240">
        <f>+Données!X176</f>
        <v>74.5</v>
      </c>
      <c r="R176" s="457">
        <f t="shared" si="9"/>
        <v>51950.537852349</v>
      </c>
    </row>
    <row r="177" spans="1:18" x14ac:dyDescent="0.25">
      <c r="A177" s="7">
        <f>Données!A177</f>
        <v>5706</v>
      </c>
      <c r="B177" s="27" t="str">
        <f>Données!B177</f>
        <v>Borex</v>
      </c>
      <c r="C177" s="8">
        <f>Données!C177+Données!D177</f>
        <v>3720810.93</v>
      </c>
      <c r="D177" s="8">
        <f>+Données!G177+Données!H177+Données!S177</f>
        <v>4911.17</v>
      </c>
      <c r="E177" s="8">
        <f>+Données!E177</f>
        <v>0</v>
      </c>
      <c r="F177" s="8">
        <f>+Données!I177</f>
        <v>14964.7</v>
      </c>
      <c r="G177" s="8">
        <f>+Données!J177</f>
        <v>32456.15</v>
      </c>
      <c r="H177" s="8">
        <f>Données!U177</f>
        <v>-7286.69</v>
      </c>
      <c r="I177" s="215">
        <f>Données!V177</f>
        <v>0</v>
      </c>
      <c r="J177" s="215">
        <f>Données!W177</f>
        <v>-7727.67</v>
      </c>
      <c r="K177" s="8">
        <f>+Données!Q177</f>
        <v>0</v>
      </c>
      <c r="L177" s="457">
        <f t="shared" si="7"/>
        <v>3758128.5900000003</v>
      </c>
      <c r="M177" s="8">
        <f>+Données!F177</f>
        <v>0</v>
      </c>
      <c r="N177" s="8">
        <f>+Données!K177</f>
        <v>10637.7</v>
      </c>
      <c r="O177" s="8">
        <f>(Données!L177/Données!Y177)*1</f>
        <v>290074.3</v>
      </c>
      <c r="P177" s="457">
        <f t="shared" si="8"/>
        <v>4058840.5900000003</v>
      </c>
      <c r="Q177" s="240">
        <f>+Données!X177</f>
        <v>57</v>
      </c>
      <c r="R177" s="457">
        <f t="shared" si="9"/>
        <v>71207.729649122819</v>
      </c>
    </row>
    <row r="178" spans="1:18" x14ac:dyDescent="0.25">
      <c r="A178" s="7">
        <f>Données!A178</f>
        <v>5707</v>
      </c>
      <c r="B178" s="27" t="str">
        <f>Données!B178</f>
        <v>Chavannes-de-Bogis</v>
      </c>
      <c r="C178" s="8">
        <f>Données!C178+Données!D178</f>
        <v>4163268.49</v>
      </c>
      <c r="D178" s="8">
        <f>+Données!G178+Données!H178+Données!S178</f>
        <v>315725.13</v>
      </c>
      <c r="E178" s="8">
        <f>+Données!E178</f>
        <v>0</v>
      </c>
      <c r="F178" s="8">
        <f>+Données!I178</f>
        <v>36135.800000000003</v>
      </c>
      <c r="G178" s="8">
        <f>+Données!J178</f>
        <v>70076.149999999994</v>
      </c>
      <c r="H178" s="8">
        <f>Données!U178</f>
        <v>-13446.05</v>
      </c>
      <c r="I178" s="215">
        <f>Données!V178</f>
        <v>0</v>
      </c>
      <c r="J178" s="215">
        <f>Données!W178</f>
        <v>-11373.21</v>
      </c>
      <c r="K178" s="8">
        <f>+Données!Q178</f>
        <v>4114.8599999999997</v>
      </c>
      <c r="L178" s="457">
        <f t="shared" si="7"/>
        <v>4564501.1700000009</v>
      </c>
      <c r="M178" s="8">
        <f>+Données!F178</f>
        <v>0</v>
      </c>
      <c r="N178" s="8">
        <f>+Données!K178</f>
        <v>60635.1</v>
      </c>
      <c r="O178" s="8">
        <f>(Données!L178/Données!Y178)*1</f>
        <v>479129.93333333335</v>
      </c>
      <c r="P178" s="457">
        <f t="shared" si="8"/>
        <v>5104266.2033333341</v>
      </c>
      <c r="Q178" s="240">
        <f>+Données!X178</f>
        <v>58</v>
      </c>
      <c r="R178" s="457">
        <f t="shared" si="9"/>
        <v>88004.58971264369</v>
      </c>
    </row>
    <row r="179" spans="1:18" x14ac:dyDescent="0.25">
      <c r="A179" s="7">
        <f>Données!A179</f>
        <v>5708</v>
      </c>
      <c r="B179" s="27" t="str">
        <f>Données!B179</f>
        <v>Chavannes-des-Bois</v>
      </c>
      <c r="C179" s="8">
        <f>Données!C179+Données!D179</f>
        <v>4236156.66</v>
      </c>
      <c r="D179" s="8">
        <f>+Données!G179+Données!H179+Données!S179</f>
        <v>170442.89</v>
      </c>
      <c r="E179" s="8">
        <f>+Données!E179</f>
        <v>0</v>
      </c>
      <c r="F179" s="8">
        <f>+Données!I179</f>
        <v>0</v>
      </c>
      <c r="G179" s="8">
        <f>+Données!J179</f>
        <v>-140648.74</v>
      </c>
      <c r="H179" s="8">
        <f>Données!U179</f>
        <v>-404.54</v>
      </c>
      <c r="I179" s="215">
        <f>Données!V179</f>
        <v>0</v>
      </c>
      <c r="J179" s="215">
        <f>Données!W179</f>
        <v>-4610.09</v>
      </c>
      <c r="K179" s="8">
        <f>+Données!Q179</f>
        <v>0</v>
      </c>
      <c r="L179" s="457">
        <f t="shared" si="7"/>
        <v>4260936.18</v>
      </c>
      <c r="M179" s="8">
        <f>+Données!F179</f>
        <v>0</v>
      </c>
      <c r="N179" s="8">
        <f>+Données!K179</f>
        <v>2504.3000000000002</v>
      </c>
      <c r="O179" s="8">
        <f>(Données!L179/Données!Y179)*1</f>
        <v>292144.2</v>
      </c>
      <c r="P179" s="457">
        <f t="shared" si="8"/>
        <v>4555584.68</v>
      </c>
      <c r="Q179" s="240">
        <f>+Données!X179</f>
        <v>68</v>
      </c>
      <c r="R179" s="457">
        <f t="shared" si="9"/>
        <v>66993.89235294117</v>
      </c>
    </row>
    <row r="180" spans="1:18" x14ac:dyDescent="0.25">
      <c r="A180" s="7">
        <f>Données!A180</f>
        <v>5709</v>
      </c>
      <c r="B180" s="27" t="str">
        <f>Données!B180</f>
        <v>Chéserex</v>
      </c>
      <c r="C180" s="8">
        <f>Données!C180+Données!D180</f>
        <v>4074912.46</v>
      </c>
      <c r="D180" s="8">
        <f>+Données!G180+Données!H180+Données!S180</f>
        <v>25459.15</v>
      </c>
      <c r="E180" s="8">
        <f>+Données!E180</f>
        <v>0</v>
      </c>
      <c r="F180" s="8">
        <f>+Données!I180</f>
        <v>544660.1</v>
      </c>
      <c r="G180" s="8">
        <f>+Données!J180</f>
        <v>33643.4</v>
      </c>
      <c r="H180" s="8">
        <f>Données!U180</f>
        <v>-37331.360000000001</v>
      </c>
      <c r="I180" s="215">
        <f>Données!V180</f>
        <v>0</v>
      </c>
      <c r="J180" s="215">
        <f>Données!W180</f>
        <v>-5867.36</v>
      </c>
      <c r="K180" s="8">
        <f>+Données!Q180</f>
        <v>0</v>
      </c>
      <c r="L180" s="457">
        <f t="shared" si="7"/>
        <v>4635476.3899999997</v>
      </c>
      <c r="M180" s="8">
        <f>+Données!F180</f>
        <v>0</v>
      </c>
      <c r="N180" s="8">
        <f>+Données!K180</f>
        <v>6284.05</v>
      </c>
      <c r="O180" s="8">
        <f>(Données!L180/Données!Y180)*1</f>
        <v>393676.85</v>
      </c>
      <c r="P180" s="457">
        <f t="shared" si="8"/>
        <v>5035437.2899999991</v>
      </c>
      <c r="Q180" s="240">
        <f>+Données!X180</f>
        <v>57</v>
      </c>
      <c r="R180" s="457">
        <f t="shared" si="9"/>
        <v>88341.005087719284</v>
      </c>
    </row>
    <row r="181" spans="1:18" x14ac:dyDescent="0.25">
      <c r="A181" s="7">
        <f>Données!A181</f>
        <v>5710</v>
      </c>
      <c r="B181" s="27" t="str">
        <f>Données!B181</f>
        <v>Coinsins</v>
      </c>
      <c r="C181" s="8">
        <f>Données!C181+Données!D181</f>
        <v>1611610.1400000001</v>
      </c>
      <c r="D181" s="8">
        <f>+Données!G181+Données!H181+Données!S181</f>
        <v>387489.94999999995</v>
      </c>
      <c r="E181" s="8">
        <f>+Données!E181</f>
        <v>0</v>
      </c>
      <c r="F181" s="8">
        <f>+Données!I181</f>
        <v>110957.8</v>
      </c>
      <c r="G181" s="8">
        <f>+Données!J181</f>
        <v>13621.24</v>
      </c>
      <c r="H181" s="8">
        <f>Données!U181</f>
        <v>-10534.21</v>
      </c>
      <c r="I181" s="215">
        <f>Données!V181</f>
        <v>0</v>
      </c>
      <c r="J181" s="215">
        <f>Données!W181</f>
        <v>-8196.23</v>
      </c>
      <c r="K181" s="8">
        <f>+Données!Q181</f>
        <v>11.45</v>
      </c>
      <c r="L181" s="457">
        <f t="shared" si="7"/>
        <v>2104960.1400000006</v>
      </c>
      <c r="M181" s="8">
        <f>+Données!F181</f>
        <v>0</v>
      </c>
      <c r="N181" s="8">
        <f>+Données!K181</f>
        <v>-26200.55</v>
      </c>
      <c r="O181" s="8">
        <f>(Données!L181/Données!Y181)*1</f>
        <v>134068.20000000001</v>
      </c>
      <c r="P181" s="457">
        <f t="shared" si="8"/>
        <v>2212827.7900000005</v>
      </c>
      <c r="Q181" s="240">
        <f>+Données!X181</f>
        <v>51</v>
      </c>
      <c r="R181" s="457">
        <f t="shared" si="9"/>
        <v>43388.780196078442</v>
      </c>
    </row>
    <row r="182" spans="1:18" x14ac:dyDescent="0.25">
      <c r="A182" s="7">
        <f>Données!A182</f>
        <v>5711</v>
      </c>
      <c r="B182" s="27" t="str">
        <f>Données!B182</f>
        <v>Commugny</v>
      </c>
      <c r="C182" s="8">
        <f>Données!C182+Données!D182</f>
        <v>14531595.949999999</v>
      </c>
      <c r="D182" s="8">
        <f>+Données!G182+Données!H182+Données!S182</f>
        <v>100049.16</v>
      </c>
      <c r="E182" s="8">
        <f>+Données!E182</f>
        <v>0</v>
      </c>
      <c r="F182" s="8">
        <f>+Données!I182</f>
        <v>162941.45000000001</v>
      </c>
      <c r="G182" s="8">
        <f>+Données!J182</f>
        <v>150861.20000000001</v>
      </c>
      <c r="H182" s="8">
        <f>Données!U182</f>
        <v>4758.5200000000004</v>
      </c>
      <c r="I182" s="215">
        <f>Données!V182</f>
        <v>0</v>
      </c>
      <c r="J182" s="215">
        <f>Données!W182</f>
        <v>-30955.25</v>
      </c>
      <c r="K182" s="8">
        <f>+Données!Q182</f>
        <v>-3967.2</v>
      </c>
      <c r="L182" s="457">
        <f t="shared" si="7"/>
        <v>14915283.829999998</v>
      </c>
      <c r="M182" s="8">
        <f>+Données!F182</f>
        <v>0</v>
      </c>
      <c r="N182" s="8">
        <f>+Données!K182</f>
        <v>17437.5</v>
      </c>
      <c r="O182" s="8">
        <f>(Données!L182/Données!Y182)*1</f>
        <v>955122.84615384613</v>
      </c>
      <c r="P182" s="457">
        <f t="shared" si="8"/>
        <v>15887844.176153844</v>
      </c>
      <c r="Q182" s="240">
        <f>+Données!X182</f>
        <v>55.5</v>
      </c>
      <c r="R182" s="457">
        <f t="shared" si="9"/>
        <v>286267.46263340261</v>
      </c>
    </row>
    <row r="183" spans="1:18" x14ac:dyDescent="0.25">
      <c r="A183" s="7">
        <f>Données!A183</f>
        <v>5712</v>
      </c>
      <c r="B183" s="27" t="str">
        <f>Données!B183</f>
        <v>Coppet</v>
      </c>
      <c r="C183" s="8">
        <f>Données!C183+Données!D183</f>
        <v>15371832.18</v>
      </c>
      <c r="D183" s="8">
        <f>+Données!G183+Données!H183+Données!S183</f>
        <v>189819.15999999997</v>
      </c>
      <c r="E183" s="8">
        <f>+Données!E183</f>
        <v>0</v>
      </c>
      <c r="F183" s="8">
        <f>+Données!I183</f>
        <v>1088137.19</v>
      </c>
      <c r="G183" s="8">
        <f>+Données!J183</f>
        <v>-86074.68</v>
      </c>
      <c r="H183" s="8">
        <f>Données!U183</f>
        <v>-56289.72</v>
      </c>
      <c r="I183" s="215">
        <f>Données!V183</f>
        <v>0</v>
      </c>
      <c r="J183" s="215">
        <f>Données!W183</f>
        <v>-53393.47</v>
      </c>
      <c r="K183" s="8">
        <f>+Données!Q183</f>
        <v>2167.21</v>
      </c>
      <c r="L183" s="457">
        <f t="shared" si="7"/>
        <v>16456197.869999999</v>
      </c>
      <c r="M183" s="8">
        <f>+Données!F183</f>
        <v>0</v>
      </c>
      <c r="N183" s="8">
        <f>+Données!K183</f>
        <v>25170.5</v>
      </c>
      <c r="O183" s="8">
        <f>(Données!L183/Données!Y183)*1</f>
        <v>1207027.8</v>
      </c>
      <c r="P183" s="457">
        <f t="shared" si="8"/>
        <v>17688396.169999998</v>
      </c>
      <c r="Q183" s="240">
        <f>+Données!X183</f>
        <v>53</v>
      </c>
      <c r="R183" s="457">
        <f t="shared" si="9"/>
        <v>333743.32396226411</v>
      </c>
    </row>
    <row r="184" spans="1:18" x14ac:dyDescent="0.25">
      <c r="A184" s="7">
        <f>Données!A184</f>
        <v>5713</v>
      </c>
      <c r="B184" s="27" t="str">
        <f>Données!B184</f>
        <v>Crans</v>
      </c>
      <c r="C184" s="8">
        <f>Données!C184+Données!D184</f>
        <v>15000171.49</v>
      </c>
      <c r="D184" s="8">
        <f>+Données!G184+Données!H184+Données!S184</f>
        <v>54936.39</v>
      </c>
      <c r="E184" s="8">
        <f>+Données!E184</f>
        <v>0</v>
      </c>
      <c r="F184" s="8">
        <f>+Données!I184</f>
        <v>535479.17000000004</v>
      </c>
      <c r="G184" s="8">
        <f>+Données!J184</f>
        <v>541679.1</v>
      </c>
      <c r="H184" s="8">
        <f>Données!U184</f>
        <v>-10790.21</v>
      </c>
      <c r="I184" s="215">
        <f>Données!V184</f>
        <v>0</v>
      </c>
      <c r="J184" s="215">
        <f>Données!W184</f>
        <v>-103164.71</v>
      </c>
      <c r="K184" s="8">
        <f>+Données!Q184</f>
        <v>3865.85</v>
      </c>
      <c r="L184" s="457">
        <f t="shared" si="7"/>
        <v>16022177.079999998</v>
      </c>
      <c r="M184" s="8">
        <f>+Données!F184</f>
        <v>0</v>
      </c>
      <c r="N184" s="8">
        <f>+Données!K184</f>
        <v>18938.05</v>
      </c>
      <c r="O184" s="8">
        <f>(Données!L184/Données!Y184)*1</f>
        <v>898983.85</v>
      </c>
      <c r="P184" s="457">
        <f t="shared" si="8"/>
        <v>16940098.98</v>
      </c>
      <c r="Q184" s="240">
        <f>+Données!X184</f>
        <v>56</v>
      </c>
      <c r="R184" s="457">
        <f t="shared" si="9"/>
        <v>302501.76750000002</v>
      </c>
    </row>
    <row r="185" spans="1:18" x14ac:dyDescent="0.25">
      <c r="A185" s="7">
        <f>Données!A185</f>
        <v>5714</v>
      </c>
      <c r="B185" s="27" t="str">
        <f>Données!B185</f>
        <v>Crassier</v>
      </c>
      <c r="C185" s="8">
        <f>Données!C185+Données!D185</f>
        <v>3693730.9</v>
      </c>
      <c r="D185" s="8">
        <f>+Données!G185+Données!H185+Données!S185</f>
        <v>52284.670000000006</v>
      </c>
      <c r="E185" s="8">
        <f>+Données!E185</f>
        <v>0</v>
      </c>
      <c r="F185" s="8">
        <f>+Données!I185</f>
        <v>111001</v>
      </c>
      <c r="G185" s="8">
        <f>+Données!J185</f>
        <v>72501.87</v>
      </c>
      <c r="H185" s="8">
        <f>Données!U185</f>
        <v>-7574.24</v>
      </c>
      <c r="I185" s="215">
        <f>Données!V185</f>
        <v>0</v>
      </c>
      <c r="J185" s="215">
        <f>Données!W185</f>
        <v>-3239.4</v>
      </c>
      <c r="K185" s="8">
        <f>+Données!Q185</f>
        <v>3088.67</v>
      </c>
      <c r="L185" s="457">
        <f t="shared" si="7"/>
        <v>3921793.4699999997</v>
      </c>
      <c r="M185" s="8">
        <f>+Données!F185</f>
        <v>0</v>
      </c>
      <c r="N185" s="8">
        <f>+Données!K185</f>
        <v>7238.3</v>
      </c>
      <c r="O185" s="8">
        <f>(Données!L185/Données!Y185)*1</f>
        <v>296056.65000000002</v>
      </c>
      <c r="P185" s="457">
        <f t="shared" si="8"/>
        <v>4225088.42</v>
      </c>
      <c r="Q185" s="240">
        <f>+Données!X185</f>
        <v>68</v>
      </c>
      <c r="R185" s="457">
        <f t="shared" si="9"/>
        <v>62133.653235294114</v>
      </c>
    </row>
    <row r="186" spans="1:18" x14ac:dyDescent="0.25">
      <c r="A186" s="7">
        <f>Données!A186</f>
        <v>5715</v>
      </c>
      <c r="B186" s="27" t="str">
        <f>Données!B186</f>
        <v>Duillier</v>
      </c>
      <c r="C186" s="8">
        <f>Données!C186+Données!D186</f>
        <v>4303262.63</v>
      </c>
      <c r="D186" s="8">
        <f>+Données!G186+Données!H186+Données!S186</f>
        <v>49555.979999999996</v>
      </c>
      <c r="E186" s="8">
        <f>+Données!E186</f>
        <v>0</v>
      </c>
      <c r="F186" s="8">
        <f>+Données!I186</f>
        <v>0</v>
      </c>
      <c r="G186" s="8">
        <f>+Données!J186</f>
        <v>38423.9</v>
      </c>
      <c r="H186" s="8">
        <f>Données!U186</f>
        <v>-31477.46</v>
      </c>
      <c r="I186" s="215">
        <f>Données!V186</f>
        <v>0</v>
      </c>
      <c r="J186" s="215">
        <f>Données!W186</f>
        <v>-2172.73</v>
      </c>
      <c r="K186" s="8">
        <f>+Données!Q186</f>
        <v>1872.64</v>
      </c>
      <c r="L186" s="457">
        <f t="shared" si="7"/>
        <v>4359464.96</v>
      </c>
      <c r="M186" s="8">
        <f>+Données!F186</f>
        <v>0</v>
      </c>
      <c r="N186" s="8">
        <f>+Données!K186</f>
        <v>2974.5</v>
      </c>
      <c r="O186" s="8">
        <f>(Données!L186/Données!Y186)*1</f>
        <v>283485.90000000002</v>
      </c>
      <c r="P186" s="457">
        <f t="shared" si="8"/>
        <v>4645925.3600000003</v>
      </c>
      <c r="Q186" s="240">
        <f>+Données!X186</f>
        <v>66</v>
      </c>
      <c r="R186" s="457">
        <f t="shared" si="9"/>
        <v>70392.808484848487</v>
      </c>
    </row>
    <row r="187" spans="1:18" x14ac:dyDescent="0.25">
      <c r="A187" s="7">
        <f>Données!A187</f>
        <v>5716</v>
      </c>
      <c r="B187" s="27" t="str">
        <f>Données!B187</f>
        <v>Eysins</v>
      </c>
      <c r="C187" s="8">
        <f>Données!C187+Données!D187</f>
        <v>4651577.4800000004</v>
      </c>
      <c r="D187" s="8">
        <f>+Données!G187+Données!H187+Données!S187</f>
        <v>7404029.9100000001</v>
      </c>
      <c r="E187" s="8">
        <f>+Données!E187</f>
        <v>0</v>
      </c>
      <c r="F187" s="8">
        <f>+Données!I187</f>
        <v>0</v>
      </c>
      <c r="G187" s="8">
        <f>+Données!J187</f>
        <v>300606.15000000002</v>
      </c>
      <c r="H187" s="8">
        <f>Données!U187</f>
        <v>-743221.16</v>
      </c>
      <c r="I187" s="215">
        <f>Données!V187</f>
        <v>0</v>
      </c>
      <c r="J187" s="215">
        <f>Données!W187</f>
        <v>-340941.98</v>
      </c>
      <c r="K187" s="8">
        <f>+Données!Q187</f>
        <v>5265.49</v>
      </c>
      <c r="L187" s="457">
        <f t="shared" si="7"/>
        <v>11277315.890000001</v>
      </c>
      <c r="M187" s="8">
        <f>+Données!F187</f>
        <v>0</v>
      </c>
      <c r="N187" s="8">
        <f>+Données!K187</f>
        <v>115376.75</v>
      </c>
      <c r="O187" s="8">
        <f>(Données!L187/Données!Y187)*1</f>
        <v>713756.25</v>
      </c>
      <c r="P187" s="457">
        <f t="shared" si="8"/>
        <v>12106448.890000001</v>
      </c>
      <c r="Q187" s="240">
        <f>+Données!X187</f>
        <v>59.5</v>
      </c>
      <c r="R187" s="457">
        <f t="shared" si="9"/>
        <v>203469.72924369748</v>
      </c>
    </row>
    <row r="188" spans="1:18" x14ac:dyDescent="0.25">
      <c r="A188" s="7">
        <f>Données!A188</f>
        <v>5717</v>
      </c>
      <c r="B188" s="27" t="str">
        <f>Données!B188</f>
        <v>Founex</v>
      </c>
      <c r="C188" s="8">
        <f>Données!C188+Données!D188</f>
        <v>19522773.259999998</v>
      </c>
      <c r="D188" s="8">
        <f>+Données!G188+Données!H188+Données!S188</f>
        <v>200297.09000000003</v>
      </c>
      <c r="E188" s="8">
        <f>+Données!E188</f>
        <v>0</v>
      </c>
      <c r="F188" s="8">
        <f>+Données!I188</f>
        <v>1014904.3</v>
      </c>
      <c r="G188" s="8">
        <f>+Données!J188</f>
        <v>262009.59</v>
      </c>
      <c r="H188" s="8">
        <f>Données!U188</f>
        <v>-56354.57</v>
      </c>
      <c r="I188" s="215">
        <f>Données!V188</f>
        <v>0</v>
      </c>
      <c r="J188" s="215">
        <f>Données!W188</f>
        <v>-93291.24</v>
      </c>
      <c r="K188" s="8">
        <f>+Données!Q188</f>
        <v>3672.1</v>
      </c>
      <c r="L188" s="457">
        <f t="shared" si="7"/>
        <v>20854010.530000001</v>
      </c>
      <c r="M188" s="8">
        <f>+Données!F188</f>
        <v>0</v>
      </c>
      <c r="N188" s="8">
        <f>+Données!K188</f>
        <v>51020</v>
      </c>
      <c r="O188" s="8">
        <f>(Données!L188/Données!Y188)*1</f>
        <v>1365887.4</v>
      </c>
      <c r="P188" s="457">
        <f t="shared" si="8"/>
        <v>22270917.93</v>
      </c>
      <c r="Q188" s="240">
        <f>+Données!X188</f>
        <v>57</v>
      </c>
      <c r="R188" s="457">
        <f t="shared" si="9"/>
        <v>390717.85842105263</v>
      </c>
    </row>
    <row r="189" spans="1:18" x14ac:dyDescent="0.25">
      <c r="A189" s="7">
        <f>Données!A189</f>
        <v>5718</v>
      </c>
      <c r="B189" s="27" t="str">
        <f>Données!B189</f>
        <v>Genolier</v>
      </c>
      <c r="C189" s="8">
        <f>Données!C189+Données!D189</f>
        <v>9311556.4100000001</v>
      </c>
      <c r="D189" s="8">
        <f>+Données!G189+Données!H189+Données!S189</f>
        <v>290372.00999999995</v>
      </c>
      <c r="E189" s="8">
        <f>+Données!E189</f>
        <v>0</v>
      </c>
      <c r="F189" s="8">
        <f>+Données!I189</f>
        <v>204264.25</v>
      </c>
      <c r="G189" s="8">
        <f>+Données!J189</f>
        <v>52761.65</v>
      </c>
      <c r="H189" s="8">
        <f>Données!U189</f>
        <v>-33872.870000000003</v>
      </c>
      <c r="I189" s="215">
        <f>Données!V189</f>
        <v>0</v>
      </c>
      <c r="J189" s="215">
        <f>Données!W189</f>
        <v>-8228.6299999999992</v>
      </c>
      <c r="K189" s="8">
        <f>+Données!Q189</f>
        <v>5302.28</v>
      </c>
      <c r="L189" s="457">
        <f t="shared" si="7"/>
        <v>9822155.0999999996</v>
      </c>
      <c r="M189" s="8">
        <f>+Données!F189</f>
        <v>0</v>
      </c>
      <c r="N189" s="8">
        <f>+Données!K189</f>
        <v>43944.1</v>
      </c>
      <c r="O189" s="8">
        <f>(Données!L189/Données!Y189)*1</f>
        <v>708104.75</v>
      </c>
      <c r="P189" s="457">
        <f t="shared" si="8"/>
        <v>10574203.949999999</v>
      </c>
      <c r="Q189" s="240">
        <f>+Données!X189</f>
        <v>55</v>
      </c>
      <c r="R189" s="457">
        <f t="shared" si="9"/>
        <v>192258.25363636363</v>
      </c>
    </row>
    <row r="190" spans="1:18" x14ac:dyDescent="0.25">
      <c r="A190" s="7">
        <f>Données!A190</f>
        <v>5719</v>
      </c>
      <c r="B190" s="27" t="str">
        <f>Données!B190</f>
        <v>Gingins</v>
      </c>
      <c r="C190" s="8">
        <f>Données!C190+Données!D190</f>
        <v>8384099.8599999994</v>
      </c>
      <c r="D190" s="8">
        <f>+Données!G190+Données!H190+Données!S190</f>
        <v>73861.070000000007</v>
      </c>
      <c r="E190" s="8">
        <f>+Données!E190</f>
        <v>0</v>
      </c>
      <c r="F190" s="8">
        <f>+Données!I190</f>
        <v>131790.54999999999</v>
      </c>
      <c r="G190" s="8">
        <f>+Données!J190</f>
        <v>65374.67</v>
      </c>
      <c r="H190" s="8">
        <f>Données!U190</f>
        <v>-7404.84</v>
      </c>
      <c r="I190" s="215">
        <f>Données!V190</f>
        <v>0</v>
      </c>
      <c r="J190" s="215">
        <f>Données!W190</f>
        <v>-7328.09</v>
      </c>
      <c r="K190" s="8">
        <f>+Données!Q190</f>
        <v>0</v>
      </c>
      <c r="L190" s="457">
        <f t="shared" si="7"/>
        <v>8640393.2200000007</v>
      </c>
      <c r="M190" s="8">
        <f>+Données!F190</f>
        <v>0</v>
      </c>
      <c r="N190" s="8">
        <f>+Données!K190</f>
        <v>11673.3</v>
      </c>
      <c r="O190" s="8">
        <f>(Données!L190/Données!Y190)*1</f>
        <v>425359.50000000006</v>
      </c>
      <c r="P190" s="457">
        <f t="shared" si="8"/>
        <v>9077426.0200000014</v>
      </c>
      <c r="Q190" s="240">
        <f>+Données!X190</f>
        <v>60</v>
      </c>
      <c r="R190" s="457">
        <f t="shared" si="9"/>
        <v>151290.43366666668</v>
      </c>
    </row>
    <row r="191" spans="1:18" x14ac:dyDescent="0.25">
      <c r="A191" s="7">
        <f>Données!A191</f>
        <v>5720</v>
      </c>
      <c r="B191" s="27" t="str">
        <f>Données!B191</f>
        <v>Givrins</v>
      </c>
      <c r="C191" s="8">
        <f>Données!C191+Données!D191</f>
        <v>4240671.4000000004</v>
      </c>
      <c r="D191" s="8">
        <f>+Données!G191+Données!H191+Données!S191</f>
        <v>5312.32</v>
      </c>
      <c r="E191" s="8">
        <f>+Données!E191</f>
        <v>0</v>
      </c>
      <c r="F191" s="8">
        <f>+Données!I191</f>
        <v>430543.2</v>
      </c>
      <c r="G191" s="8">
        <f>+Données!J191</f>
        <v>27421.4</v>
      </c>
      <c r="H191" s="8">
        <f>Données!U191</f>
        <v>-26363.84</v>
      </c>
      <c r="I191" s="215">
        <f>Données!V191</f>
        <v>0</v>
      </c>
      <c r="J191" s="215">
        <f>Données!W191</f>
        <v>-4920.6899999999996</v>
      </c>
      <c r="K191" s="8">
        <f>+Données!Q191</f>
        <v>16691.669999999998</v>
      </c>
      <c r="L191" s="457">
        <f t="shared" si="7"/>
        <v>4689355.4600000009</v>
      </c>
      <c r="M191" s="8">
        <f>+Données!F191</f>
        <v>0</v>
      </c>
      <c r="N191" s="8">
        <f>+Données!K191</f>
        <v>0</v>
      </c>
      <c r="O191" s="8">
        <f>(Données!L191/Données!Y191)*1</f>
        <v>321546.72222222219</v>
      </c>
      <c r="P191" s="457">
        <f t="shared" si="8"/>
        <v>5010902.1822222229</v>
      </c>
      <c r="Q191" s="240">
        <f>+Données!X191</f>
        <v>67</v>
      </c>
      <c r="R191" s="457">
        <f t="shared" si="9"/>
        <v>74789.584809286913</v>
      </c>
    </row>
    <row r="192" spans="1:18" x14ac:dyDescent="0.25">
      <c r="A192" s="7">
        <f>Données!A192</f>
        <v>5721</v>
      </c>
      <c r="B192" s="27" t="str">
        <f>Données!B192</f>
        <v>Gland</v>
      </c>
      <c r="C192" s="8">
        <f>Données!C192+Données!D192</f>
        <v>31817702.960000001</v>
      </c>
      <c r="D192" s="8">
        <f>+Données!G192+Données!H192+Données!S192</f>
        <v>7537008.3200000003</v>
      </c>
      <c r="E192" s="8">
        <f>+Données!E192</f>
        <v>0</v>
      </c>
      <c r="F192" s="8">
        <f>+Données!I192</f>
        <v>724657.05</v>
      </c>
      <c r="G192" s="8">
        <f>+Données!J192</f>
        <v>823754.6</v>
      </c>
      <c r="H192" s="8">
        <f>Données!U192</f>
        <v>-387058.15</v>
      </c>
      <c r="I192" s="215">
        <f>Données!V192</f>
        <v>0</v>
      </c>
      <c r="J192" s="215">
        <f>Données!W192</f>
        <v>-30345.08</v>
      </c>
      <c r="K192" s="8">
        <f>+Données!Q192</f>
        <v>63811.65</v>
      </c>
      <c r="L192" s="457">
        <f t="shared" si="7"/>
        <v>40549531.350000001</v>
      </c>
      <c r="M192" s="8">
        <f>+Données!F192</f>
        <v>0</v>
      </c>
      <c r="N192" s="8">
        <f>+Données!K192</f>
        <v>561432.44999999995</v>
      </c>
      <c r="O192" s="8">
        <f>(Données!L192/Données!Y192)*1</f>
        <v>2970191.8</v>
      </c>
      <c r="P192" s="457">
        <f t="shared" si="8"/>
        <v>44081155.600000001</v>
      </c>
      <c r="Q192" s="240">
        <f>+Données!X192</f>
        <v>61</v>
      </c>
      <c r="R192" s="457">
        <f t="shared" si="9"/>
        <v>722641.89508196723</v>
      </c>
    </row>
    <row r="193" spans="1:18" x14ac:dyDescent="0.25">
      <c r="A193" s="7">
        <f>Données!A193</f>
        <v>5722</v>
      </c>
      <c r="B193" s="27" t="str">
        <f>Données!B193</f>
        <v>Grens</v>
      </c>
      <c r="C193" s="8">
        <f>Données!C193+Données!D193</f>
        <v>1275552.57</v>
      </c>
      <c r="D193" s="8">
        <f>+Données!G193+Données!H193+Données!S193</f>
        <v>10538.69</v>
      </c>
      <c r="E193" s="8">
        <f>+Données!E193</f>
        <v>0</v>
      </c>
      <c r="F193" s="8">
        <f>+Données!I193</f>
        <v>0</v>
      </c>
      <c r="G193" s="8">
        <f>+Données!J193</f>
        <v>9244.85</v>
      </c>
      <c r="H193" s="8">
        <f>Données!U193</f>
        <v>-6795.66</v>
      </c>
      <c r="I193" s="215">
        <f>Données!V193</f>
        <v>0</v>
      </c>
      <c r="J193" s="215">
        <f>Données!W193</f>
        <v>-1516.22</v>
      </c>
      <c r="K193" s="8">
        <f>+Données!Q193</f>
        <v>1639.74</v>
      </c>
      <c r="L193" s="457">
        <f t="shared" si="7"/>
        <v>1288663.9700000002</v>
      </c>
      <c r="M193" s="8">
        <f>+Données!F193</f>
        <v>0</v>
      </c>
      <c r="N193" s="8">
        <f>+Données!K193</f>
        <v>6180.6</v>
      </c>
      <c r="O193" s="8">
        <f>(Données!L193/Données!Y193)*1</f>
        <v>88762.05</v>
      </c>
      <c r="P193" s="457">
        <f t="shared" si="8"/>
        <v>1383606.6200000003</v>
      </c>
      <c r="Q193" s="240">
        <f>+Données!X193</f>
        <v>62</v>
      </c>
      <c r="R193" s="457">
        <f t="shared" si="9"/>
        <v>22316.235806451619</v>
      </c>
    </row>
    <row r="194" spans="1:18" x14ac:dyDescent="0.25">
      <c r="A194" s="7">
        <f>Données!A194</f>
        <v>5723</v>
      </c>
      <c r="B194" s="27" t="str">
        <f>Données!B194</f>
        <v>Mies</v>
      </c>
      <c r="C194" s="8">
        <f>Données!C194+Données!D194</f>
        <v>11044054.84</v>
      </c>
      <c r="D194" s="8">
        <f>+Données!G194+Données!H194+Données!S194</f>
        <v>192542.52</v>
      </c>
      <c r="E194" s="8">
        <f>+Données!E194</f>
        <v>0</v>
      </c>
      <c r="F194" s="8">
        <f>+Données!I194</f>
        <v>611612.88</v>
      </c>
      <c r="G194" s="8">
        <f>+Données!J194</f>
        <v>69587.520000000004</v>
      </c>
      <c r="H194" s="8">
        <f>Données!U194</f>
        <v>-28842.3</v>
      </c>
      <c r="I194" s="215">
        <f>Données!V194</f>
        <v>0</v>
      </c>
      <c r="J194" s="215">
        <f>Données!W194</f>
        <v>-30381.17</v>
      </c>
      <c r="K194" s="8">
        <f>+Données!Q194</f>
        <v>2133.86</v>
      </c>
      <c r="L194" s="457">
        <f t="shared" si="7"/>
        <v>11860708.149999999</v>
      </c>
      <c r="M194" s="8">
        <f>+Données!F194</f>
        <v>0</v>
      </c>
      <c r="N194" s="8">
        <f>+Données!K194</f>
        <v>45951.85</v>
      </c>
      <c r="O194" s="8">
        <f>(Données!L194/Données!Y194)*1</f>
        <v>883436.8</v>
      </c>
      <c r="P194" s="457">
        <f t="shared" si="8"/>
        <v>12790096.799999999</v>
      </c>
      <c r="Q194" s="240">
        <f>+Données!X194</f>
        <v>52</v>
      </c>
      <c r="R194" s="457">
        <f t="shared" si="9"/>
        <v>245963.39999999997</v>
      </c>
    </row>
    <row r="195" spans="1:18" x14ac:dyDescent="0.25">
      <c r="A195" s="7">
        <f>Données!A195</f>
        <v>5724</v>
      </c>
      <c r="B195" s="27" t="str">
        <f>Données!B195</f>
        <v>Nyon</v>
      </c>
      <c r="C195" s="8">
        <f>Données!C195+Données!D195</f>
        <v>69940649.179999992</v>
      </c>
      <c r="D195" s="8">
        <f>+Données!G195+Données!H195+Données!S195</f>
        <v>9368920.2799999993</v>
      </c>
      <c r="E195" s="8">
        <f>+Données!E195</f>
        <v>0</v>
      </c>
      <c r="F195" s="8">
        <f>+Données!I195</f>
        <v>1696649.13</v>
      </c>
      <c r="G195" s="8">
        <f>+Données!J195</f>
        <v>2858634.74</v>
      </c>
      <c r="H195" s="8">
        <f>Données!U195</f>
        <v>-785292.09</v>
      </c>
      <c r="I195" s="215">
        <f>Données!V195</f>
        <v>0</v>
      </c>
      <c r="J195" s="215">
        <f>Données!W195</f>
        <v>-638722.21</v>
      </c>
      <c r="K195" s="8">
        <f>+Données!Q195</f>
        <v>209728.74</v>
      </c>
      <c r="L195" s="457">
        <f t="shared" si="7"/>
        <v>82650567.769999981</v>
      </c>
      <c r="M195" s="8">
        <f>+Données!F195</f>
        <v>0</v>
      </c>
      <c r="N195" s="8">
        <f>+Données!K195</f>
        <v>871263.4</v>
      </c>
      <c r="O195" s="8">
        <f>(Données!L195/Données!Y195)*1</f>
        <v>5623464.5666666664</v>
      </c>
      <c r="P195" s="457">
        <f t="shared" si="8"/>
        <v>89145295.73666665</v>
      </c>
      <c r="Q195" s="240">
        <f>+Données!X195</f>
        <v>61</v>
      </c>
      <c r="R195" s="457">
        <f t="shared" si="9"/>
        <v>1461398.290765027</v>
      </c>
    </row>
    <row r="196" spans="1:18" x14ac:dyDescent="0.25">
      <c r="A196" s="7">
        <f>Données!A196</f>
        <v>5725</v>
      </c>
      <c r="B196" s="27" t="str">
        <f>Données!B196</f>
        <v>Prangins</v>
      </c>
      <c r="C196" s="8">
        <f>Données!C196+Données!D196</f>
        <v>15971409.260000002</v>
      </c>
      <c r="D196" s="8">
        <f>+Données!G196+Données!H196+Données!S196</f>
        <v>2082024.8299999998</v>
      </c>
      <c r="E196" s="8">
        <f>+Données!E196</f>
        <v>0</v>
      </c>
      <c r="F196" s="8">
        <f>+Données!I196</f>
        <v>273222.59999999998</v>
      </c>
      <c r="G196" s="8">
        <f>+Données!J196</f>
        <v>35398.269999999997</v>
      </c>
      <c r="H196" s="8">
        <f>Données!U196</f>
        <v>-85048.31</v>
      </c>
      <c r="I196" s="215">
        <f>Données!V196</f>
        <v>0</v>
      </c>
      <c r="J196" s="215">
        <f>Données!W196</f>
        <v>-31517.41</v>
      </c>
      <c r="K196" s="8">
        <f>+Données!Q196</f>
        <v>9165.94</v>
      </c>
      <c r="L196" s="457">
        <f t="shared" si="7"/>
        <v>18254655.180000003</v>
      </c>
      <c r="M196" s="8">
        <f>+Données!F196</f>
        <v>0</v>
      </c>
      <c r="N196" s="8">
        <f>+Données!K196</f>
        <v>72188.800000000003</v>
      </c>
      <c r="O196" s="8">
        <f>(Données!L196/Données!Y196)*1</f>
        <v>1196262.8214285714</v>
      </c>
      <c r="P196" s="457">
        <f t="shared" si="8"/>
        <v>19523106.801428575</v>
      </c>
      <c r="Q196" s="240">
        <f>+Données!X196</f>
        <v>55</v>
      </c>
      <c r="R196" s="457">
        <f t="shared" si="9"/>
        <v>354965.57820779225</v>
      </c>
    </row>
    <row r="197" spans="1:18" x14ac:dyDescent="0.25">
      <c r="A197" s="7">
        <f>Données!A197</f>
        <v>5726</v>
      </c>
      <c r="B197" s="27" t="str">
        <f>Données!B197</f>
        <v>La Rippe</v>
      </c>
      <c r="C197" s="8">
        <f>Données!C197+Données!D197</f>
        <v>4245197.7</v>
      </c>
      <c r="D197" s="8">
        <f>+Données!G197+Données!H197+Données!S197</f>
        <v>47108.74</v>
      </c>
      <c r="E197" s="8">
        <f>+Données!E197</f>
        <v>0</v>
      </c>
      <c r="F197" s="8">
        <f>+Données!I197</f>
        <v>0</v>
      </c>
      <c r="G197" s="8">
        <f>+Données!J197</f>
        <v>-49286.12</v>
      </c>
      <c r="H197" s="8">
        <f>Données!U197</f>
        <v>-9014.5300000000007</v>
      </c>
      <c r="I197" s="215">
        <f>Données!V197</f>
        <v>0</v>
      </c>
      <c r="J197" s="215">
        <f>Données!W197</f>
        <v>-11000</v>
      </c>
      <c r="K197" s="8">
        <f>+Données!Q197</f>
        <v>0</v>
      </c>
      <c r="L197" s="457">
        <f t="shared" si="7"/>
        <v>4223005.79</v>
      </c>
      <c r="M197" s="8">
        <f>+Données!F197</f>
        <v>0</v>
      </c>
      <c r="N197" s="8">
        <f>+Données!K197</f>
        <v>6470.65</v>
      </c>
      <c r="O197" s="8">
        <f>(Données!L197/Données!Y197)*1</f>
        <v>273832</v>
      </c>
      <c r="P197" s="457">
        <f t="shared" si="8"/>
        <v>4503308.4400000004</v>
      </c>
      <c r="Q197" s="240">
        <f>+Données!X197</f>
        <v>64</v>
      </c>
      <c r="R197" s="457">
        <f t="shared" si="9"/>
        <v>70364.194375000006</v>
      </c>
    </row>
    <row r="198" spans="1:18" x14ac:dyDescent="0.25">
      <c r="A198" s="7">
        <f>Données!A198</f>
        <v>5727</v>
      </c>
      <c r="B198" s="27" t="str">
        <f>Données!B198</f>
        <v>Saint-Cergue</v>
      </c>
      <c r="C198" s="8">
        <f>Données!C198+Données!D198</f>
        <v>6216764.8700000001</v>
      </c>
      <c r="D198" s="8">
        <f>+Données!G198+Données!H198+Données!S198</f>
        <v>41646.43</v>
      </c>
      <c r="E198" s="8">
        <f>+Données!E198</f>
        <v>0</v>
      </c>
      <c r="F198" s="8">
        <f>+Données!I198</f>
        <v>125706.95</v>
      </c>
      <c r="G198" s="8">
        <f>+Données!J198</f>
        <v>172741.08</v>
      </c>
      <c r="H198" s="8">
        <f>Données!U198</f>
        <v>-131519.56</v>
      </c>
      <c r="I198" s="215">
        <f>Données!V198</f>
        <v>0</v>
      </c>
      <c r="J198" s="215">
        <f>Données!W198</f>
        <v>-5622.79</v>
      </c>
      <c r="K198" s="8">
        <f>+Données!Q198</f>
        <v>40135.339999999997</v>
      </c>
      <c r="L198" s="457">
        <f t="shared" si="7"/>
        <v>6459852.3200000003</v>
      </c>
      <c r="M198" s="8">
        <f>+Données!F198</f>
        <v>0</v>
      </c>
      <c r="N198" s="8">
        <f>+Données!K198</f>
        <v>12866.65</v>
      </c>
      <c r="O198" s="8">
        <f>(Données!L198/Données!Y198)*1</f>
        <v>534590.3666666667</v>
      </c>
      <c r="P198" s="457">
        <f t="shared" si="8"/>
        <v>7007309.3366666678</v>
      </c>
      <c r="Q198" s="240">
        <f>+Données!X198</f>
        <v>66</v>
      </c>
      <c r="R198" s="457">
        <f t="shared" si="9"/>
        <v>106171.3535858586</v>
      </c>
    </row>
    <row r="199" spans="1:18" x14ac:dyDescent="0.25">
      <c r="A199" s="7">
        <f>Données!A199</f>
        <v>5728</v>
      </c>
      <c r="B199" s="27" t="str">
        <f>Données!B199</f>
        <v>Signy-Avenex</v>
      </c>
      <c r="C199" s="8">
        <f>Données!C199+Données!D199</f>
        <v>1987716.1400000001</v>
      </c>
      <c r="D199" s="8">
        <f>+Données!G199+Données!H199+Données!S199</f>
        <v>914793.26</v>
      </c>
      <c r="E199" s="8">
        <f>+Données!E199</f>
        <v>0</v>
      </c>
      <c r="F199" s="8">
        <f>+Données!I199</f>
        <v>35307.15</v>
      </c>
      <c r="G199" s="8">
        <f>+Données!J199</f>
        <v>59682.92</v>
      </c>
      <c r="H199" s="8">
        <f>Données!U199</f>
        <v>-20737.400000000001</v>
      </c>
      <c r="I199" s="215">
        <f>Données!V199</f>
        <v>0</v>
      </c>
      <c r="J199" s="215">
        <f>Données!W199</f>
        <v>-442.63</v>
      </c>
      <c r="K199" s="8">
        <f>+Données!Q199</f>
        <v>0</v>
      </c>
      <c r="L199" s="457">
        <f t="shared" ref="L199:L262" si="10">SUM(C199:K199)</f>
        <v>2976319.4400000004</v>
      </c>
      <c r="M199" s="8">
        <f>+Données!F199</f>
        <v>0</v>
      </c>
      <c r="N199" s="8">
        <f>+Données!K199</f>
        <v>56802.45</v>
      </c>
      <c r="O199" s="8">
        <f>(Données!L199/Données!Y199)*1</f>
        <v>239718</v>
      </c>
      <c r="P199" s="457">
        <f t="shared" ref="P199:P262" si="11">SUM(L199:O199)</f>
        <v>3272839.8900000006</v>
      </c>
      <c r="Q199" s="240">
        <f>+Données!X199</f>
        <v>58</v>
      </c>
      <c r="R199" s="457">
        <f t="shared" ref="R199:R262" si="12">P199/Q199</f>
        <v>56428.273965517248</v>
      </c>
    </row>
    <row r="200" spans="1:18" x14ac:dyDescent="0.25">
      <c r="A200" s="7">
        <f>Données!A200</f>
        <v>5729</v>
      </c>
      <c r="B200" s="27" t="str">
        <f>Données!B200</f>
        <v>Tannay</v>
      </c>
      <c r="C200" s="8">
        <f>Données!C200+Données!D200</f>
        <v>8653736.3499999996</v>
      </c>
      <c r="D200" s="8">
        <f>+Données!G200+Données!H200+Données!S200</f>
        <v>374141.77999999997</v>
      </c>
      <c r="E200" s="8">
        <f>+Données!E200</f>
        <v>0</v>
      </c>
      <c r="F200" s="8">
        <f>+Données!I200</f>
        <v>175769.27</v>
      </c>
      <c r="G200" s="8">
        <f>+Données!J200</f>
        <v>44851.68</v>
      </c>
      <c r="H200" s="8">
        <f>Données!U200</f>
        <v>-56959.65</v>
      </c>
      <c r="I200" s="215">
        <f>Données!V200</f>
        <v>0</v>
      </c>
      <c r="J200" s="215">
        <f>Données!W200</f>
        <v>-15816.67</v>
      </c>
      <c r="K200" s="8">
        <f>+Données!Q200</f>
        <v>0</v>
      </c>
      <c r="L200" s="457">
        <f t="shared" si="10"/>
        <v>9175722.7599999979</v>
      </c>
      <c r="M200" s="8">
        <f>+Données!F200</f>
        <v>0</v>
      </c>
      <c r="N200" s="8">
        <f>+Données!K200</f>
        <v>4623.75</v>
      </c>
      <c r="O200" s="8">
        <f>(Données!L200/Données!Y200)*1</f>
        <v>600623.46666666667</v>
      </c>
      <c r="P200" s="457">
        <f t="shared" si="11"/>
        <v>9780969.9766666647</v>
      </c>
      <c r="Q200" s="240">
        <f>+Données!X200</f>
        <v>60.5</v>
      </c>
      <c r="R200" s="457">
        <f t="shared" si="12"/>
        <v>161668.92523415975</v>
      </c>
    </row>
    <row r="201" spans="1:18" x14ac:dyDescent="0.25">
      <c r="A201" s="7">
        <f>Données!A201</f>
        <v>5730</v>
      </c>
      <c r="B201" s="27" t="str">
        <f>Données!B201</f>
        <v>Trélex</v>
      </c>
      <c r="C201" s="8">
        <f>Données!C201+Données!D201</f>
        <v>6651999.7600000007</v>
      </c>
      <c r="D201" s="8">
        <f>+Données!G201+Données!H201+Données!S201</f>
        <v>24236.17</v>
      </c>
      <c r="E201" s="8">
        <f>+Données!E201</f>
        <v>0</v>
      </c>
      <c r="F201" s="8">
        <f>+Données!I201</f>
        <v>-58921.7</v>
      </c>
      <c r="G201" s="8">
        <f>+Données!J201</f>
        <v>27005.279999999999</v>
      </c>
      <c r="H201" s="8">
        <f>Données!U201</f>
        <v>-63456.639999999999</v>
      </c>
      <c r="I201" s="215">
        <f>Données!V201</f>
        <v>0</v>
      </c>
      <c r="J201" s="215">
        <f>Données!W201</f>
        <v>-108930.09</v>
      </c>
      <c r="K201" s="8">
        <f>+Données!Q201</f>
        <v>1308.8399999999999</v>
      </c>
      <c r="L201" s="457">
        <f t="shared" si="10"/>
        <v>6473241.620000001</v>
      </c>
      <c r="M201" s="8">
        <f>+Données!F201</f>
        <v>0</v>
      </c>
      <c r="N201" s="8">
        <f>+Données!K201</f>
        <v>7569.7</v>
      </c>
      <c r="O201" s="8">
        <f>(Données!L201/Données!Y201)*1</f>
        <v>461367.27777777775</v>
      </c>
      <c r="P201" s="457">
        <f t="shared" si="11"/>
        <v>6942178.5977777792</v>
      </c>
      <c r="Q201" s="240">
        <f>+Données!X201</f>
        <v>55.5</v>
      </c>
      <c r="R201" s="457">
        <f t="shared" si="12"/>
        <v>125084.29905905908</v>
      </c>
    </row>
    <row r="202" spans="1:18" x14ac:dyDescent="0.25">
      <c r="A202" s="7">
        <f>Données!A202</f>
        <v>5731</v>
      </c>
      <c r="B202" s="27" t="str">
        <f>Données!B202</f>
        <v>Le Vaud</v>
      </c>
      <c r="C202" s="8">
        <f>Données!C202+Données!D202</f>
        <v>4823091.34</v>
      </c>
      <c r="D202" s="8">
        <f>+Données!G202+Données!H202+Données!S202</f>
        <v>43947.439999999995</v>
      </c>
      <c r="E202" s="8">
        <f>+Données!E202</f>
        <v>0</v>
      </c>
      <c r="F202" s="8">
        <f>+Données!I202</f>
        <v>0</v>
      </c>
      <c r="G202" s="8">
        <f>+Données!J202</f>
        <v>29711.61</v>
      </c>
      <c r="H202" s="8">
        <f>Données!U202</f>
        <v>-31223.040000000001</v>
      </c>
      <c r="I202" s="215">
        <f>Données!V202</f>
        <v>0</v>
      </c>
      <c r="J202" s="215">
        <f>Données!W202</f>
        <v>-1446.61</v>
      </c>
      <c r="K202" s="8">
        <f>+Données!Q202</f>
        <v>-2264.94</v>
      </c>
      <c r="L202" s="457">
        <f t="shared" si="10"/>
        <v>4861815.8</v>
      </c>
      <c r="M202" s="8">
        <f>+Données!F202</f>
        <v>0</v>
      </c>
      <c r="N202" s="8">
        <f>+Données!K202</f>
        <v>3522</v>
      </c>
      <c r="O202" s="8">
        <f>(Données!L202/Données!Y202)*1</f>
        <v>284675.73333333334</v>
      </c>
      <c r="P202" s="457">
        <f t="shared" si="11"/>
        <v>5150013.5333333332</v>
      </c>
      <c r="Q202" s="240">
        <f>+Données!X202</f>
        <v>74</v>
      </c>
      <c r="R202" s="457">
        <f t="shared" si="12"/>
        <v>69594.777477477473</v>
      </c>
    </row>
    <row r="203" spans="1:18" x14ac:dyDescent="0.25">
      <c r="A203" s="7">
        <f>Données!A203</f>
        <v>5732</v>
      </c>
      <c r="B203" s="27" t="str">
        <f>Données!B203</f>
        <v>Vich</v>
      </c>
      <c r="C203" s="8">
        <f>Données!C203+Données!D203</f>
        <v>4754155.0999999996</v>
      </c>
      <c r="D203" s="8">
        <f>+Données!G203+Données!H203+Données!S203</f>
        <v>127045.03</v>
      </c>
      <c r="E203" s="8">
        <f>+Données!E203</f>
        <v>0</v>
      </c>
      <c r="F203" s="8">
        <f>+Données!I203</f>
        <v>192467.85</v>
      </c>
      <c r="G203" s="8">
        <f>+Données!J203</f>
        <v>24472.84</v>
      </c>
      <c r="H203" s="8">
        <f>Données!U203</f>
        <v>-28501.95</v>
      </c>
      <c r="I203" s="215">
        <f>Données!V203</f>
        <v>0</v>
      </c>
      <c r="J203" s="215">
        <f>Données!W203</f>
        <v>-10729.12</v>
      </c>
      <c r="K203" s="8">
        <f>+Données!Q203</f>
        <v>5102.84</v>
      </c>
      <c r="L203" s="457">
        <f t="shared" si="10"/>
        <v>5064012.5899999989</v>
      </c>
      <c r="M203" s="8">
        <f>+Données!F203</f>
        <v>0</v>
      </c>
      <c r="N203" s="8">
        <f>+Données!K203</f>
        <v>6779.15</v>
      </c>
      <c r="O203" s="8">
        <f>(Données!L203/Données!Y203)*1</f>
        <v>380711.55</v>
      </c>
      <c r="P203" s="457">
        <f t="shared" si="11"/>
        <v>5451503.2899999991</v>
      </c>
      <c r="Q203" s="240">
        <f>+Données!X203</f>
        <v>63</v>
      </c>
      <c r="R203" s="457">
        <f t="shared" si="12"/>
        <v>86531.798253968242</v>
      </c>
    </row>
    <row r="204" spans="1:18" x14ac:dyDescent="0.25">
      <c r="A204" s="7">
        <f>Données!A204</f>
        <v>5741</v>
      </c>
      <c r="B204" s="27" t="str">
        <f>Données!B204</f>
        <v>L'Abergement</v>
      </c>
      <c r="C204" s="8">
        <f>Données!C204+Données!D204</f>
        <v>679369.6</v>
      </c>
      <c r="D204" s="8">
        <f>+Données!G204+Données!H204+Données!S204</f>
        <v>6120.5</v>
      </c>
      <c r="E204" s="8">
        <f>+Données!E204</f>
        <v>0</v>
      </c>
      <c r="F204" s="8">
        <f>+Données!I204</f>
        <v>0</v>
      </c>
      <c r="G204" s="8">
        <f>+Données!J204</f>
        <v>46.88</v>
      </c>
      <c r="H204" s="8">
        <f>Données!U204</f>
        <v>-4207.6899999999996</v>
      </c>
      <c r="I204" s="215">
        <f>Données!V204</f>
        <v>0</v>
      </c>
      <c r="J204" s="215">
        <f>Données!W204</f>
        <v>0</v>
      </c>
      <c r="K204" s="8">
        <f>+Données!Q204</f>
        <v>3734.14</v>
      </c>
      <c r="L204" s="457">
        <f t="shared" si="10"/>
        <v>685063.43</v>
      </c>
      <c r="M204" s="8">
        <f>+Données!F204</f>
        <v>1450</v>
      </c>
      <c r="N204" s="8">
        <f>+Données!K204</f>
        <v>0</v>
      </c>
      <c r="O204" s="8">
        <f>(Données!L204/Données!Y204)*1</f>
        <v>41445.291666666664</v>
      </c>
      <c r="P204" s="457">
        <f t="shared" si="11"/>
        <v>727958.72166666668</v>
      </c>
      <c r="Q204" s="240">
        <f>+Données!X204</f>
        <v>81</v>
      </c>
      <c r="R204" s="457">
        <f t="shared" si="12"/>
        <v>8987.1447119341574</v>
      </c>
    </row>
    <row r="205" spans="1:18" x14ac:dyDescent="0.25">
      <c r="A205" s="7">
        <f>Données!A205</f>
        <v>5742</v>
      </c>
      <c r="B205" s="27" t="str">
        <f>Données!B205</f>
        <v>Agiez</v>
      </c>
      <c r="C205" s="8">
        <f>Données!C205+Données!D205</f>
        <v>680535.80999999994</v>
      </c>
      <c r="D205" s="8">
        <f>+Données!G205+Données!H205+Données!S205</f>
        <v>7773.21</v>
      </c>
      <c r="E205" s="8">
        <f>+Données!E205</f>
        <v>0</v>
      </c>
      <c r="F205" s="8">
        <f>+Données!I205</f>
        <v>0</v>
      </c>
      <c r="G205" s="8">
        <f>+Données!J205</f>
        <v>23813.74</v>
      </c>
      <c r="H205" s="8">
        <f>Données!U205</f>
        <v>-497.2</v>
      </c>
      <c r="I205" s="215">
        <f>Données!V205</f>
        <v>0</v>
      </c>
      <c r="J205" s="215">
        <f>Données!W205</f>
        <v>0</v>
      </c>
      <c r="K205" s="8">
        <f>+Données!Q205</f>
        <v>196.51</v>
      </c>
      <c r="L205" s="457">
        <f t="shared" si="10"/>
        <v>711822.07</v>
      </c>
      <c r="M205" s="8">
        <f>+Données!F205</f>
        <v>0</v>
      </c>
      <c r="N205" s="8">
        <f>+Données!K205</f>
        <v>1672.3</v>
      </c>
      <c r="O205" s="8">
        <f>(Données!L205/Données!Y205)*1</f>
        <v>58646.9</v>
      </c>
      <c r="P205" s="457">
        <f t="shared" si="11"/>
        <v>772141.27</v>
      </c>
      <c r="Q205" s="240">
        <f>+Données!X205</f>
        <v>76</v>
      </c>
      <c r="R205" s="457">
        <f t="shared" si="12"/>
        <v>10159.753552631579</v>
      </c>
    </row>
    <row r="206" spans="1:18" x14ac:dyDescent="0.25">
      <c r="A206" s="7">
        <f>Données!A206</f>
        <v>5743</v>
      </c>
      <c r="B206" s="27" t="str">
        <f>Données!B206</f>
        <v>Arnex-sur-Orbe</v>
      </c>
      <c r="C206" s="8">
        <f>Données!C206+Données!D206</f>
        <v>1228101.78</v>
      </c>
      <c r="D206" s="8">
        <f>+Données!G206+Données!H206+Données!S206</f>
        <v>2601.06</v>
      </c>
      <c r="E206" s="8">
        <f>+Données!E206</f>
        <v>0</v>
      </c>
      <c r="F206" s="8">
        <f>+Données!I206</f>
        <v>0</v>
      </c>
      <c r="G206" s="8">
        <f>+Données!J206</f>
        <v>5680.32</v>
      </c>
      <c r="H206" s="8">
        <f>Données!U206</f>
        <v>-9332.67</v>
      </c>
      <c r="I206" s="215">
        <f>Données!V206</f>
        <v>0</v>
      </c>
      <c r="J206" s="215">
        <f>Données!W206</f>
        <v>-33.47</v>
      </c>
      <c r="K206" s="8">
        <f>+Données!Q206</f>
        <v>1118.93</v>
      </c>
      <c r="L206" s="457">
        <f t="shared" si="10"/>
        <v>1228135.9500000002</v>
      </c>
      <c r="M206" s="8">
        <f>+Données!F206</f>
        <v>0</v>
      </c>
      <c r="N206" s="8">
        <f>+Données!K206</f>
        <v>0</v>
      </c>
      <c r="O206" s="8">
        <f>(Données!L206/Données!Y206)*1</f>
        <v>87707.374999999985</v>
      </c>
      <c r="P206" s="457">
        <f t="shared" si="11"/>
        <v>1315843.3250000002</v>
      </c>
      <c r="Q206" s="240">
        <f>+Données!X206</f>
        <v>71</v>
      </c>
      <c r="R206" s="457">
        <f t="shared" si="12"/>
        <v>18533.004577464792</v>
      </c>
    </row>
    <row r="207" spans="1:18" x14ac:dyDescent="0.25">
      <c r="A207" s="7">
        <f>Données!A207</f>
        <v>5744</v>
      </c>
      <c r="B207" s="27" t="str">
        <f>Données!B207</f>
        <v>Ballaigues</v>
      </c>
      <c r="C207" s="8">
        <f>Données!C207+Données!D207</f>
        <v>1566495.73</v>
      </c>
      <c r="D207" s="8">
        <f>+Données!G207+Données!H207+Données!S207</f>
        <v>1355618.05</v>
      </c>
      <c r="E207" s="8">
        <f>+Données!E207</f>
        <v>0</v>
      </c>
      <c r="F207" s="8">
        <f>+Données!I207</f>
        <v>0</v>
      </c>
      <c r="G207" s="8">
        <f>+Données!J207</f>
        <v>112176.62</v>
      </c>
      <c r="H207" s="8">
        <f>Données!U207</f>
        <v>-31713.72</v>
      </c>
      <c r="I207" s="215">
        <f>Données!V207</f>
        <v>0</v>
      </c>
      <c r="J207" s="215">
        <f>Données!W207</f>
        <v>-2366.9499999999998</v>
      </c>
      <c r="K207" s="8">
        <f>+Données!Q207</f>
        <v>5587.23</v>
      </c>
      <c r="L207" s="457">
        <f t="shared" si="10"/>
        <v>3005796.96</v>
      </c>
      <c r="M207" s="8">
        <f>+Données!F207</f>
        <v>0</v>
      </c>
      <c r="N207" s="8">
        <f>+Données!K207</f>
        <v>0</v>
      </c>
      <c r="O207" s="8">
        <f>(Données!L207/Données!Y207)*1</f>
        <v>190954.7</v>
      </c>
      <c r="P207" s="457">
        <f t="shared" si="11"/>
        <v>3196751.66</v>
      </c>
      <c r="Q207" s="240">
        <f>+Données!X207</f>
        <v>65</v>
      </c>
      <c r="R207" s="457">
        <f t="shared" si="12"/>
        <v>49180.794769230772</v>
      </c>
    </row>
    <row r="208" spans="1:18" x14ac:dyDescent="0.25">
      <c r="A208" s="7">
        <f>Données!A208</f>
        <v>5745</v>
      </c>
      <c r="B208" s="27" t="str">
        <f>Données!B208</f>
        <v>Baulmes</v>
      </c>
      <c r="C208" s="8">
        <f>Données!C208+Données!D208</f>
        <v>1953163.02</v>
      </c>
      <c r="D208" s="8">
        <f>+Données!G208+Données!H208+Données!S208</f>
        <v>58550.83</v>
      </c>
      <c r="E208" s="8">
        <f>+Données!E208</f>
        <v>0</v>
      </c>
      <c r="F208" s="8">
        <f>+Données!I208</f>
        <v>0</v>
      </c>
      <c r="G208" s="8">
        <f>+Données!J208</f>
        <v>41801.14</v>
      </c>
      <c r="H208" s="8">
        <f>Données!U208</f>
        <v>-21357.94</v>
      </c>
      <c r="I208" s="215">
        <f>Données!V208</f>
        <v>0</v>
      </c>
      <c r="J208" s="215">
        <f>Données!W208</f>
        <v>-0.36</v>
      </c>
      <c r="K208" s="8">
        <f>+Données!Q208</f>
        <v>0</v>
      </c>
      <c r="L208" s="457">
        <f t="shared" si="10"/>
        <v>2032156.69</v>
      </c>
      <c r="M208" s="8">
        <f>+Données!F208</f>
        <v>0</v>
      </c>
      <c r="N208" s="8">
        <f>+Données!K208</f>
        <v>0</v>
      </c>
      <c r="O208" s="8">
        <f>(Données!L208/Données!Y208)*1</f>
        <v>145737.60000000001</v>
      </c>
      <c r="P208" s="457">
        <f t="shared" si="11"/>
        <v>2177894.29</v>
      </c>
      <c r="Q208" s="240">
        <f>+Données!X208</f>
        <v>76.5</v>
      </c>
      <c r="R208" s="457">
        <f t="shared" si="12"/>
        <v>28469.206405228757</v>
      </c>
    </row>
    <row r="209" spans="1:18" x14ac:dyDescent="0.25">
      <c r="A209" s="7">
        <f>Données!A209</f>
        <v>5746</v>
      </c>
      <c r="B209" s="27" t="str">
        <f>Données!B209</f>
        <v>Bavois</v>
      </c>
      <c r="C209" s="8">
        <f>Données!C209+Données!D209</f>
        <v>1867482.66</v>
      </c>
      <c r="D209" s="8">
        <f>+Données!G209+Données!H209+Données!S209</f>
        <v>-37778.699999999997</v>
      </c>
      <c r="E209" s="8">
        <f>+Données!E209</f>
        <v>0</v>
      </c>
      <c r="F209" s="8">
        <f>+Données!I209</f>
        <v>0</v>
      </c>
      <c r="G209" s="8">
        <f>+Données!J209</f>
        <v>10301.08</v>
      </c>
      <c r="H209" s="8">
        <f>Données!U209</f>
        <v>-31885.16</v>
      </c>
      <c r="I209" s="215">
        <f>Données!V209</f>
        <v>-8895.35</v>
      </c>
      <c r="J209" s="215">
        <f>Données!W209</f>
        <v>-158.13</v>
      </c>
      <c r="K209" s="8">
        <f>+Données!Q209</f>
        <v>2409.41</v>
      </c>
      <c r="L209" s="457">
        <f t="shared" si="10"/>
        <v>1801475.81</v>
      </c>
      <c r="M209" s="8">
        <f>+Données!F209</f>
        <v>0</v>
      </c>
      <c r="N209" s="8">
        <f>+Données!K209</f>
        <v>19594.75</v>
      </c>
      <c r="O209" s="8">
        <f>(Données!L209/Données!Y209)*1</f>
        <v>184001.45833333334</v>
      </c>
      <c r="P209" s="457">
        <f t="shared" si="11"/>
        <v>2005072.0183333333</v>
      </c>
      <c r="Q209" s="240">
        <f>+Données!X209</f>
        <v>73</v>
      </c>
      <c r="R209" s="457">
        <f t="shared" si="12"/>
        <v>27466.739977168949</v>
      </c>
    </row>
    <row r="210" spans="1:18" x14ac:dyDescent="0.25">
      <c r="A210" s="7">
        <f>Données!A210</f>
        <v>5747</v>
      </c>
      <c r="B210" s="27" t="str">
        <f>Données!B210</f>
        <v>Bofflens</v>
      </c>
      <c r="C210" s="8">
        <f>Données!C210+Données!D210</f>
        <v>362645.99</v>
      </c>
      <c r="D210" s="8">
        <f>+Données!G210+Données!H210+Données!S210</f>
        <v>6981.7300000000005</v>
      </c>
      <c r="E210" s="8">
        <f>+Données!E210</f>
        <v>0</v>
      </c>
      <c r="F210" s="8">
        <f>+Données!I210</f>
        <v>0</v>
      </c>
      <c r="G210" s="8">
        <f>+Données!J210</f>
        <v>4478.57</v>
      </c>
      <c r="H210" s="8">
        <f>Données!U210</f>
        <v>-9742.43</v>
      </c>
      <c r="I210" s="215">
        <f>Données!V210</f>
        <v>0</v>
      </c>
      <c r="J210" s="215">
        <f>Données!W210</f>
        <v>0</v>
      </c>
      <c r="K210" s="8">
        <f>+Données!Q210</f>
        <v>3859.6</v>
      </c>
      <c r="L210" s="457">
        <f t="shared" si="10"/>
        <v>368223.45999999996</v>
      </c>
      <c r="M210" s="8">
        <f>+Données!F210</f>
        <v>0</v>
      </c>
      <c r="N210" s="8">
        <f>+Données!K210</f>
        <v>0</v>
      </c>
      <c r="O210" s="8">
        <f>(Données!L210/Données!Y210)*1</f>
        <v>32519.1</v>
      </c>
      <c r="P210" s="457">
        <f t="shared" si="11"/>
        <v>400742.55999999994</v>
      </c>
      <c r="Q210" s="240">
        <f>+Données!X210</f>
        <v>69</v>
      </c>
      <c r="R210" s="457">
        <f t="shared" si="12"/>
        <v>5807.8631884057959</v>
      </c>
    </row>
    <row r="211" spans="1:18" x14ac:dyDescent="0.25">
      <c r="A211" s="7">
        <f>Données!A211</f>
        <v>5748</v>
      </c>
      <c r="B211" s="27" t="str">
        <f>Données!B211</f>
        <v>Bretonnières</v>
      </c>
      <c r="C211" s="8">
        <f>Données!C211+Données!D211</f>
        <v>402982.5</v>
      </c>
      <c r="D211" s="8">
        <f>+Données!G211+Données!H211+Données!S211</f>
        <v>11273.730000000001</v>
      </c>
      <c r="E211" s="8">
        <f>+Données!E211</f>
        <v>0</v>
      </c>
      <c r="F211" s="8">
        <f>+Données!I211</f>
        <v>0</v>
      </c>
      <c r="G211" s="8">
        <f>+Données!J211</f>
        <v>1492.63</v>
      </c>
      <c r="H211" s="8">
        <f>Données!U211</f>
        <v>-4594.04</v>
      </c>
      <c r="I211" s="215">
        <f>Données!V211</f>
        <v>0</v>
      </c>
      <c r="J211" s="215">
        <f>Données!W211</f>
        <v>0</v>
      </c>
      <c r="K211" s="8">
        <f>+Données!Q211</f>
        <v>18094.89</v>
      </c>
      <c r="L211" s="457">
        <f t="shared" si="10"/>
        <v>429249.71</v>
      </c>
      <c r="M211" s="8">
        <f>+Données!F211</f>
        <v>2050</v>
      </c>
      <c r="N211" s="8">
        <f>+Données!K211</f>
        <v>0</v>
      </c>
      <c r="O211" s="8">
        <f>(Données!L211/Données!Y211)*1</f>
        <v>37040.333333333336</v>
      </c>
      <c r="P211" s="457">
        <f t="shared" si="11"/>
        <v>468340.04333333333</v>
      </c>
      <c r="Q211" s="240">
        <f>+Données!X211</f>
        <v>70.5</v>
      </c>
      <c r="R211" s="457">
        <f t="shared" si="12"/>
        <v>6643.1211820330973</v>
      </c>
    </row>
    <row r="212" spans="1:18" x14ac:dyDescent="0.25">
      <c r="A212" s="7">
        <f>Données!A212</f>
        <v>5749</v>
      </c>
      <c r="B212" s="27" t="str">
        <f>Données!B212</f>
        <v>Chavornay</v>
      </c>
      <c r="C212" s="8">
        <f>Données!C212+Données!D212</f>
        <v>9398455.8599999994</v>
      </c>
      <c r="D212" s="8">
        <f>+Données!G212+Données!H212+Données!S212</f>
        <v>437428.87000000005</v>
      </c>
      <c r="E212" s="8">
        <f>+Données!E212</f>
        <v>0</v>
      </c>
      <c r="F212" s="8">
        <f>+Données!I212</f>
        <v>0</v>
      </c>
      <c r="G212" s="8">
        <f>+Données!J212</f>
        <v>232464.93</v>
      </c>
      <c r="H212" s="8">
        <f>Données!U212</f>
        <v>-291029.56</v>
      </c>
      <c r="I212" s="215">
        <f>Données!V212</f>
        <v>0</v>
      </c>
      <c r="J212" s="215">
        <f>Données!W212</f>
        <v>-2172.1</v>
      </c>
      <c r="K212" s="8">
        <f>+Données!Q212</f>
        <v>83293.89</v>
      </c>
      <c r="L212" s="457">
        <f t="shared" si="10"/>
        <v>9858441.8899999987</v>
      </c>
      <c r="M212" s="8">
        <f>+Données!F212</f>
        <v>0</v>
      </c>
      <c r="N212" s="8">
        <f>+Données!K212</f>
        <v>80561.05</v>
      </c>
      <c r="O212" s="8">
        <f>(Données!L212/Données!Y212)*1</f>
        <v>870017.45</v>
      </c>
      <c r="P212" s="457">
        <f t="shared" si="11"/>
        <v>10809020.389999999</v>
      </c>
      <c r="Q212" s="240">
        <f>+Données!X212</f>
        <v>70.5</v>
      </c>
      <c r="R212" s="457">
        <f t="shared" si="12"/>
        <v>153319.43815602834</v>
      </c>
    </row>
    <row r="213" spans="1:18" x14ac:dyDescent="0.25">
      <c r="A213" s="7">
        <f>Données!A213</f>
        <v>5750</v>
      </c>
      <c r="B213" s="27" t="str">
        <f>Données!B213</f>
        <v>Les Clées</v>
      </c>
      <c r="C213" s="8">
        <f>Données!C213+Données!D213</f>
        <v>358179.04000000004</v>
      </c>
      <c r="D213" s="8">
        <f>+Données!G213+Données!H213+Données!S213</f>
        <v>437.61</v>
      </c>
      <c r="E213" s="8">
        <f>+Données!E213</f>
        <v>0</v>
      </c>
      <c r="F213" s="8">
        <f>+Données!I213</f>
        <v>0</v>
      </c>
      <c r="G213" s="8">
        <f>+Données!J213</f>
        <v>5624.75</v>
      </c>
      <c r="H213" s="8">
        <f>Données!U213</f>
        <v>-3727.83</v>
      </c>
      <c r="I213" s="215">
        <f>Données!V213</f>
        <v>0</v>
      </c>
      <c r="J213" s="215">
        <f>Données!W213</f>
        <v>-524.70000000000005</v>
      </c>
      <c r="K213" s="8">
        <f>+Données!Q213</f>
        <v>2161.48</v>
      </c>
      <c r="L213" s="457">
        <f t="shared" si="10"/>
        <v>362150.35</v>
      </c>
      <c r="M213" s="8">
        <f>+Données!F213</f>
        <v>1120</v>
      </c>
      <c r="N213" s="8">
        <f>+Données!K213</f>
        <v>4.4000000000000004</v>
      </c>
      <c r="O213" s="8">
        <f>(Données!L213/Données!Y213)*1</f>
        <v>22305.833333333336</v>
      </c>
      <c r="P213" s="457">
        <f t="shared" si="11"/>
        <v>385580.58333333331</v>
      </c>
      <c r="Q213" s="240">
        <f>+Données!X213</f>
        <v>80</v>
      </c>
      <c r="R213" s="457">
        <f t="shared" si="12"/>
        <v>4819.7572916666668</v>
      </c>
    </row>
    <row r="214" spans="1:18" x14ac:dyDescent="0.25">
      <c r="A214" s="7">
        <f>Données!A214</f>
        <v>5752</v>
      </c>
      <c r="B214" s="27" t="str">
        <f>Données!B214</f>
        <v>Croy</v>
      </c>
      <c r="C214" s="8">
        <f>Données!C214+Données!D214</f>
        <v>677093.72</v>
      </c>
      <c r="D214" s="8">
        <f>+Données!G214+Données!H214+Données!S214</f>
        <v>4288.3900000000003</v>
      </c>
      <c r="E214" s="8">
        <f>+Données!E214</f>
        <v>0</v>
      </c>
      <c r="F214" s="8">
        <f>+Données!I214</f>
        <v>0</v>
      </c>
      <c r="G214" s="8">
        <f>+Données!J214</f>
        <v>6413.67</v>
      </c>
      <c r="H214" s="8">
        <f>Données!U214</f>
        <v>-35190.639999999999</v>
      </c>
      <c r="I214" s="215">
        <f>Données!V214</f>
        <v>0</v>
      </c>
      <c r="J214" s="215">
        <f>Données!W214</f>
        <v>0</v>
      </c>
      <c r="K214" s="8">
        <f>+Données!Q214</f>
        <v>751</v>
      </c>
      <c r="L214" s="457">
        <f t="shared" si="10"/>
        <v>653356.14</v>
      </c>
      <c r="M214" s="8">
        <f>+Données!F214</f>
        <v>0</v>
      </c>
      <c r="N214" s="8">
        <f>+Données!K214</f>
        <v>833.4</v>
      </c>
      <c r="O214" s="8">
        <f>(Données!L214/Données!Y214)*1</f>
        <v>61450.857142857145</v>
      </c>
      <c r="P214" s="457">
        <f t="shared" si="11"/>
        <v>715640.3971428572</v>
      </c>
      <c r="Q214" s="240">
        <f>+Données!X214</f>
        <v>74</v>
      </c>
      <c r="R214" s="457">
        <f t="shared" si="12"/>
        <v>9670.8161776061788</v>
      </c>
    </row>
    <row r="215" spans="1:18" x14ac:dyDescent="0.25">
      <c r="A215" s="7">
        <f>Données!A215</f>
        <v>5754</v>
      </c>
      <c r="B215" s="27" t="str">
        <f>Données!B215</f>
        <v>Juriens</v>
      </c>
      <c r="C215" s="8">
        <f>Données!C215+Données!D215</f>
        <v>660188.09</v>
      </c>
      <c r="D215" s="8">
        <f>+Données!G215+Données!H215+Données!S215</f>
        <v>4548.1400000000003</v>
      </c>
      <c r="E215" s="8">
        <f>+Données!E215</f>
        <v>0</v>
      </c>
      <c r="F215" s="8">
        <f>+Données!I215</f>
        <v>0</v>
      </c>
      <c r="G215" s="8">
        <f>+Données!J215</f>
        <v>5914.62</v>
      </c>
      <c r="H215" s="8">
        <f>Données!U215</f>
        <v>-259.32</v>
      </c>
      <c r="I215" s="215">
        <f>Données!V215</f>
        <v>0</v>
      </c>
      <c r="J215" s="215">
        <f>Données!W215</f>
        <v>0</v>
      </c>
      <c r="K215" s="8">
        <f>+Données!Q215</f>
        <v>789.6</v>
      </c>
      <c r="L215" s="457">
        <f t="shared" si="10"/>
        <v>671181.13</v>
      </c>
      <c r="M215" s="8">
        <f>+Données!F215</f>
        <v>0</v>
      </c>
      <c r="N215" s="8">
        <f>+Données!K215</f>
        <v>1588.5</v>
      </c>
      <c r="O215" s="8">
        <f>(Données!L215/Données!Y215)*1</f>
        <v>44038.1</v>
      </c>
      <c r="P215" s="457">
        <f t="shared" si="11"/>
        <v>716807.73</v>
      </c>
      <c r="Q215" s="240">
        <f>+Données!X215</f>
        <v>79</v>
      </c>
      <c r="R215" s="457">
        <f t="shared" si="12"/>
        <v>9073.5155696202528</v>
      </c>
    </row>
    <row r="216" spans="1:18" x14ac:dyDescent="0.25">
      <c r="A216" s="7">
        <f>Données!A216</f>
        <v>5755</v>
      </c>
      <c r="B216" s="27" t="str">
        <f>Données!B216</f>
        <v>Lignerolle</v>
      </c>
      <c r="C216" s="8">
        <f>Données!C216+Données!D216</f>
        <v>772300.9</v>
      </c>
      <c r="D216" s="8">
        <f>+Données!G216+Données!H216+Données!S216</f>
        <v>28194.17</v>
      </c>
      <c r="E216" s="8">
        <f>+Données!E216</f>
        <v>0</v>
      </c>
      <c r="F216" s="8">
        <f>+Données!I216</f>
        <v>0</v>
      </c>
      <c r="G216" s="8">
        <f>+Données!J216</f>
        <v>5448.27</v>
      </c>
      <c r="H216" s="8">
        <f>Données!U216</f>
        <v>-33063.46</v>
      </c>
      <c r="I216" s="215">
        <f>Données!V216</f>
        <v>0</v>
      </c>
      <c r="J216" s="215">
        <f>Données!W216</f>
        <v>-0.05</v>
      </c>
      <c r="K216" s="8">
        <f>+Données!Q216</f>
        <v>2102.0100000000002</v>
      </c>
      <c r="L216" s="457">
        <f t="shared" si="10"/>
        <v>774981.84000000008</v>
      </c>
      <c r="M216" s="8">
        <f>+Données!F216</f>
        <v>2230</v>
      </c>
      <c r="N216" s="8">
        <f>+Données!K216</f>
        <v>2533.1</v>
      </c>
      <c r="O216" s="8">
        <f>(Données!L216/Données!Y216)*1</f>
        <v>63785.285714285717</v>
      </c>
      <c r="P216" s="457">
        <f t="shared" si="11"/>
        <v>843530.22571428574</v>
      </c>
      <c r="Q216" s="240">
        <f>+Données!X216</f>
        <v>78.5</v>
      </c>
      <c r="R216" s="457">
        <f t="shared" si="12"/>
        <v>10745.60797088262</v>
      </c>
    </row>
    <row r="217" spans="1:18" x14ac:dyDescent="0.25">
      <c r="A217" s="7">
        <f>Données!A217</f>
        <v>5756</v>
      </c>
      <c r="B217" s="27" t="str">
        <f>Données!B217</f>
        <v>Montcherand</v>
      </c>
      <c r="C217" s="8">
        <f>Données!C217+Données!D217</f>
        <v>1159382.47</v>
      </c>
      <c r="D217" s="8">
        <f>+Données!G217+Données!H217+Données!S217</f>
        <v>34316.879999999997</v>
      </c>
      <c r="E217" s="8">
        <f>+Données!E217</f>
        <v>0</v>
      </c>
      <c r="F217" s="8">
        <f>+Données!I217</f>
        <v>0</v>
      </c>
      <c r="G217" s="8">
        <f>+Données!J217</f>
        <v>14446.56</v>
      </c>
      <c r="H217" s="8">
        <f>Données!U217</f>
        <v>-15200.07</v>
      </c>
      <c r="I217" s="215">
        <f>Données!V217</f>
        <v>0</v>
      </c>
      <c r="J217" s="215">
        <f>Données!W217</f>
        <v>-2286.56</v>
      </c>
      <c r="K217" s="8">
        <f>+Données!Q217</f>
        <v>0</v>
      </c>
      <c r="L217" s="457">
        <f t="shared" si="10"/>
        <v>1190659.2799999998</v>
      </c>
      <c r="M217" s="8">
        <f>+Données!F217</f>
        <v>0</v>
      </c>
      <c r="N217" s="8">
        <f>+Données!K217</f>
        <v>-946.1</v>
      </c>
      <c r="O217" s="8">
        <f>(Données!L217/Données!Y217)*1</f>
        <v>87426.5</v>
      </c>
      <c r="P217" s="457">
        <f t="shared" si="11"/>
        <v>1277139.6799999997</v>
      </c>
      <c r="Q217" s="240">
        <f>+Données!X217</f>
        <v>72</v>
      </c>
      <c r="R217" s="457">
        <f t="shared" si="12"/>
        <v>17738.051111111108</v>
      </c>
    </row>
    <row r="218" spans="1:18" x14ac:dyDescent="0.25">
      <c r="A218" s="7">
        <f>Données!A218</f>
        <v>5757</v>
      </c>
      <c r="B218" s="27" t="str">
        <f>Données!B218</f>
        <v>Orbe</v>
      </c>
      <c r="C218" s="8">
        <f>Données!C218+Données!D218</f>
        <v>12996110.869999999</v>
      </c>
      <c r="D218" s="8">
        <f>+Données!G218+Données!H218+Données!S218</f>
        <v>1497060.5999999999</v>
      </c>
      <c r="E218" s="8">
        <f>+Données!E218</f>
        <v>0</v>
      </c>
      <c r="F218" s="8">
        <f>+Données!I218</f>
        <v>0</v>
      </c>
      <c r="G218" s="8">
        <f>+Données!J218</f>
        <v>503885.29</v>
      </c>
      <c r="H218" s="8">
        <f>Données!U218</f>
        <v>-298002.68</v>
      </c>
      <c r="I218" s="215">
        <f>Données!V218</f>
        <v>0</v>
      </c>
      <c r="J218" s="215">
        <f>Données!W218</f>
        <v>-2591.52</v>
      </c>
      <c r="K218" s="8">
        <f>+Données!Q218</f>
        <v>102711.97</v>
      </c>
      <c r="L218" s="457">
        <f t="shared" si="10"/>
        <v>14799174.529999999</v>
      </c>
      <c r="M218" s="8">
        <f>+Données!F218</f>
        <v>0</v>
      </c>
      <c r="N218" s="8">
        <f>+Données!K218</f>
        <v>102434.65</v>
      </c>
      <c r="O218" s="8">
        <f>(Données!L218/Données!Y218)*1</f>
        <v>1415717.55</v>
      </c>
      <c r="P218" s="457">
        <f t="shared" si="11"/>
        <v>16317326.73</v>
      </c>
      <c r="Q218" s="240">
        <f>+Données!X218</f>
        <v>75.5</v>
      </c>
      <c r="R218" s="457">
        <f t="shared" si="12"/>
        <v>216123.53284768213</v>
      </c>
    </row>
    <row r="219" spans="1:18" x14ac:dyDescent="0.25">
      <c r="A219" s="7">
        <f>Données!A219</f>
        <v>5758</v>
      </c>
      <c r="B219" s="27" t="str">
        <f>Données!B219</f>
        <v>La Praz</v>
      </c>
      <c r="C219" s="8">
        <f>Données!C219+Données!D219</f>
        <v>358713.89</v>
      </c>
      <c r="D219" s="8">
        <f>+Données!G219+Données!H219+Données!S219</f>
        <v>5382.2900000000009</v>
      </c>
      <c r="E219" s="8">
        <f>+Données!E219</f>
        <v>0</v>
      </c>
      <c r="F219" s="8">
        <f>+Données!I219</f>
        <v>0</v>
      </c>
      <c r="G219" s="8">
        <f>+Données!J219</f>
        <v>6151.03</v>
      </c>
      <c r="H219" s="8">
        <f>Données!U219</f>
        <v>-3326.73</v>
      </c>
      <c r="I219" s="215">
        <f>Données!V219</f>
        <v>0</v>
      </c>
      <c r="J219" s="215">
        <f>Données!W219</f>
        <v>-275.73</v>
      </c>
      <c r="K219" s="8">
        <f>+Données!Q219</f>
        <v>0</v>
      </c>
      <c r="L219" s="457">
        <f t="shared" si="10"/>
        <v>366644.75000000006</v>
      </c>
      <c r="M219" s="8">
        <f>+Données!F219</f>
        <v>1100</v>
      </c>
      <c r="N219" s="8">
        <f>+Données!K219</f>
        <v>0</v>
      </c>
      <c r="O219" s="8">
        <f>(Données!L219/Données!Y219)*1</f>
        <v>28303.5</v>
      </c>
      <c r="P219" s="457">
        <f t="shared" si="11"/>
        <v>396048.25000000006</v>
      </c>
      <c r="Q219" s="240">
        <f>+Données!X219</f>
        <v>83</v>
      </c>
      <c r="R219" s="457">
        <f t="shared" si="12"/>
        <v>4771.6656626506028</v>
      </c>
    </row>
    <row r="220" spans="1:18" x14ac:dyDescent="0.25">
      <c r="A220" s="7">
        <f>Données!A220</f>
        <v>5759</v>
      </c>
      <c r="B220" s="27" t="str">
        <f>Données!B220</f>
        <v>Premier</v>
      </c>
      <c r="C220" s="8">
        <f>Données!C220+Données!D220</f>
        <v>432483.76</v>
      </c>
      <c r="D220" s="8">
        <f>+Données!G220+Données!H220+Données!S220</f>
        <v>2045.08</v>
      </c>
      <c r="E220" s="8">
        <f>+Données!E220</f>
        <v>0</v>
      </c>
      <c r="F220" s="8">
        <f>+Données!I220</f>
        <v>0</v>
      </c>
      <c r="G220" s="8">
        <f>+Données!J220</f>
        <v>3014.22</v>
      </c>
      <c r="H220" s="8">
        <f>Données!U220</f>
        <v>-1373.78</v>
      </c>
      <c r="I220" s="215">
        <f>Données!V220</f>
        <v>0</v>
      </c>
      <c r="J220" s="215">
        <f>Données!W220</f>
        <v>-172.25</v>
      </c>
      <c r="K220" s="8">
        <f>+Données!Q220</f>
        <v>764.54</v>
      </c>
      <c r="L220" s="457">
        <f t="shared" si="10"/>
        <v>436761.56999999995</v>
      </c>
      <c r="M220" s="8">
        <f>+Données!F220</f>
        <v>0</v>
      </c>
      <c r="N220" s="8">
        <f>+Données!K220</f>
        <v>242.95</v>
      </c>
      <c r="O220" s="8">
        <f>(Données!L220/Données!Y220)*1</f>
        <v>32043.7</v>
      </c>
      <c r="P220" s="457">
        <f t="shared" si="11"/>
        <v>469048.22</v>
      </c>
      <c r="Q220" s="240">
        <f>+Données!X220</f>
        <v>79.5</v>
      </c>
      <c r="R220" s="457">
        <f t="shared" si="12"/>
        <v>5899.9776100628924</v>
      </c>
    </row>
    <row r="221" spans="1:18" x14ac:dyDescent="0.25">
      <c r="A221" s="7">
        <f>Données!A221</f>
        <v>5760</v>
      </c>
      <c r="B221" s="27" t="str">
        <f>Données!B221</f>
        <v>Rances</v>
      </c>
      <c r="C221" s="8">
        <f>Données!C221+Données!D221</f>
        <v>1021641.52</v>
      </c>
      <c r="D221" s="8">
        <f>+Données!G221+Données!H221+Données!S221</f>
        <v>24588.710000000003</v>
      </c>
      <c r="E221" s="8">
        <f>+Données!E221</f>
        <v>0</v>
      </c>
      <c r="F221" s="8">
        <f>+Données!I221</f>
        <v>0</v>
      </c>
      <c r="G221" s="8">
        <f>+Données!J221</f>
        <v>3150.73</v>
      </c>
      <c r="H221" s="8">
        <f>Données!U221</f>
        <v>-21935.22</v>
      </c>
      <c r="I221" s="215">
        <f>Données!V221</f>
        <v>0</v>
      </c>
      <c r="J221" s="215">
        <f>Données!W221</f>
        <v>-1752.3</v>
      </c>
      <c r="K221" s="8">
        <f>+Données!Q221</f>
        <v>0</v>
      </c>
      <c r="L221" s="457">
        <f t="shared" si="10"/>
        <v>1025693.44</v>
      </c>
      <c r="M221" s="8">
        <f>+Données!F221</f>
        <v>0</v>
      </c>
      <c r="N221" s="8">
        <f>+Données!K221</f>
        <v>0</v>
      </c>
      <c r="O221" s="8">
        <f>(Données!L221/Données!Y221)*1</f>
        <v>82095.333333333328</v>
      </c>
      <c r="P221" s="457">
        <f t="shared" si="11"/>
        <v>1107788.7733333332</v>
      </c>
      <c r="Q221" s="240">
        <f>+Données!X221</f>
        <v>76.5</v>
      </c>
      <c r="R221" s="457">
        <f t="shared" si="12"/>
        <v>14480.898997821349</v>
      </c>
    </row>
    <row r="222" spans="1:18" x14ac:dyDescent="0.25">
      <c r="A222" s="7">
        <f>Données!A222</f>
        <v>5761</v>
      </c>
      <c r="B222" s="27" t="str">
        <f>Données!B222</f>
        <v>Romainmôtier-Envy</v>
      </c>
      <c r="C222" s="8">
        <f>Données!C222+Données!D222</f>
        <v>942641.01</v>
      </c>
      <c r="D222" s="8">
        <f>+Données!G222+Données!H222+Données!S222</f>
        <v>14207.009999999998</v>
      </c>
      <c r="E222" s="8">
        <f>+Données!E222</f>
        <v>0</v>
      </c>
      <c r="F222" s="8">
        <f>+Données!I222</f>
        <v>0</v>
      </c>
      <c r="G222" s="8">
        <f>+Données!J222</f>
        <v>9440.07</v>
      </c>
      <c r="H222" s="8">
        <f>Données!U222</f>
        <v>-14114.64</v>
      </c>
      <c r="I222" s="215">
        <f>Données!V222</f>
        <v>0</v>
      </c>
      <c r="J222" s="215">
        <f>Données!W222</f>
        <v>-83.6</v>
      </c>
      <c r="K222" s="8">
        <f>+Données!Q222</f>
        <v>2530.39</v>
      </c>
      <c r="L222" s="457">
        <f t="shared" si="10"/>
        <v>954620.24</v>
      </c>
      <c r="M222" s="8">
        <f>+Données!F222</f>
        <v>0</v>
      </c>
      <c r="N222" s="8">
        <f>+Données!K222</f>
        <v>6593.8</v>
      </c>
      <c r="O222" s="8">
        <f>(Données!L222/Données!Y222)*1</f>
        <v>84774.818181818177</v>
      </c>
      <c r="P222" s="457">
        <f t="shared" si="11"/>
        <v>1045988.8581818182</v>
      </c>
      <c r="Q222" s="240">
        <f>+Données!X222</f>
        <v>81</v>
      </c>
      <c r="R222" s="457">
        <f t="shared" si="12"/>
        <v>12913.442693602694</v>
      </c>
    </row>
    <row r="223" spans="1:18" x14ac:dyDescent="0.25">
      <c r="A223" s="7">
        <f>Données!A223</f>
        <v>5762</v>
      </c>
      <c r="B223" s="27" t="str">
        <f>Données!B223</f>
        <v>Sergey</v>
      </c>
      <c r="C223" s="8">
        <f>Données!C223+Données!D223</f>
        <v>276000.64000000001</v>
      </c>
      <c r="D223" s="8">
        <f>+Données!G223+Données!H223+Données!S223</f>
        <v>2818.7</v>
      </c>
      <c r="E223" s="8">
        <f>+Données!E223</f>
        <v>0</v>
      </c>
      <c r="F223" s="8">
        <f>+Données!I223</f>
        <v>0</v>
      </c>
      <c r="G223" s="8">
        <f>+Données!J223</f>
        <v>0</v>
      </c>
      <c r="H223" s="8">
        <f>Données!U223</f>
        <v>-69.739999999999995</v>
      </c>
      <c r="I223" s="215">
        <f>Données!V223</f>
        <v>0</v>
      </c>
      <c r="J223" s="215">
        <f>Données!W223</f>
        <v>0</v>
      </c>
      <c r="K223" s="8">
        <f>+Données!Q223</f>
        <v>0</v>
      </c>
      <c r="L223" s="457">
        <f t="shared" si="10"/>
        <v>278749.60000000003</v>
      </c>
      <c r="M223" s="8">
        <f>+Données!F223</f>
        <v>0</v>
      </c>
      <c r="N223" s="8">
        <f>+Données!K223</f>
        <v>191.55</v>
      </c>
      <c r="O223" s="8">
        <f>(Données!L223/Données!Y223)*1</f>
        <v>21321.15</v>
      </c>
      <c r="P223" s="457">
        <f t="shared" si="11"/>
        <v>300262.30000000005</v>
      </c>
      <c r="Q223" s="240">
        <f>+Données!X223</f>
        <v>78</v>
      </c>
      <c r="R223" s="457">
        <f t="shared" si="12"/>
        <v>3849.5166666666673</v>
      </c>
    </row>
    <row r="224" spans="1:18" x14ac:dyDescent="0.25">
      <c r="A224" s="7">
        <f>Données!A224</f>
        <v>5763</v>
      </c>
      <c r="B224" s="27" t="str">
        <f>Données!B224</f>
        <v>Valeyres-sous-Rances</v>
      </c>
      <c r="C224" s="8">
        <f>Données!C224+Données!D224</f>
        <v>1398704.89</v>
      </c>
      <c r="D224" s="8">
        <f>+Données!G224+Données!H224+Données!S224</f>
        <v>31519.78</v>
      </c>
      <c r="E224" s="8">
        <f>+Données!E224</f>
        <v>0</v>
      </c>
      <c r="F224" s="8">
        <f>+Données!I224</f>
        <v>0</v>
      </c>
      <c r="G224" s="8">
        <f>+Données!J224</f>
        <v>17906.5</v>
      </c>
      <c r="H224" s="8">
        <f>Données!U224</f>
        <v>-6356.74</v>
      </c>
      <c r="I224" s="215">
        <f>Données!V224</f>
        <v>0</v>
      </c>
      <c r="J224" s="215">
        <f>Données!W224</f>
        <v>-468.94</v>
      </c>
      <c r="K224" s="8">
        <f>+Données!Q224</f>
        <v>1584.64</v>
      </c>
      <c r="L224" s="457">
        <f t="shared" si="10"/>
        <v>1442890.13</v>
      </c>
      <c r="M224" s="8">
        <f>+Données!F224</f>
        <v>3270</v>
      </c>
      <c r="N224" s="8">
        <f>+Données!K224</f>
        <v>4048.15</v>
      </c>
      <c r="O224" s="8">
        <f>(Données!L224/Données!Y224)*1</f>
        <v>90844.5</v>
      </c>
      <c r="P224" s="457">
        <f t="shared" si="11"/>
        <v>1541052.7799999998</v>
      </c>
      <c r="Q224" s="240">
        <f>+Données!X224</f>
        <v>68</v>
      </c>
      <c r="R224" s="457">
        <f t="shared" si="12"/>
        <v>22662.54088235294</v>
      </c>
    </row>
    <row r="225" spans="1:18" x14ac:dyDescent="0.25">
      <c r="A225" s="7">
        <f>Données!A225</f>
        <v>5764</v>
      </c>
      <c r="B225" s="27" t="str">
        <f>Données!B225</f>
        <v>Vallorbe</v>
      </c>
      <c r="C225" s="8">
        <f>Données!C225+Données!D225</f>
        <v>5125663.05</v>
      </c>
      <c r="D225" s="8">
        <f>+Données!G225+Données!H225+Données!S225</f>
        <v>247706.43</v>
      </c>
      <c r="E225" s="8">
        <f>+Données!E225</f>
        <v>0</v>
      </c>
      <c r="F225" s="8">
        <f>+Données!I225</f>
        <v>0</v>
      </c>
      <c r="G225" s="8">
        <f>+Données!J225</f>
        <v>225664.27</v>
      </c>
      <c r="H225" s="8">
        <f>Données!U225</f>
        <v>-219535.31</v>
      </c>
      <c r="I225" s="215">
        <f>Données!V225</f>
        <v>0</v>
      </c>
      <c r="J225" s="215">
        <f>Données!W225</f>
        <v>-977.23</v>
      </c>
      <c r="K225" s="8">
        <f>+Données!Q225</f>
        <v>93962.65</v>
      </c>
      <c r="L225" s="457">
        <f t="shared" si="10"/>
        <v>5472483.8599999994</v>
      </c>
      <c r="M225" s="8">
        <f>+Données!F225</f>
        <v>0</v>
      </c>
      <c r="N225" s="8">
        <f>+Données!K225</f>
        <v>36099.75</v>
      </c>
      <c r="O225" s="8">
        <f>(Données!L225/Données!Y225)*1</f>
        <v>473941.1</v>
      </c>
      <c r="P225" s="457">
        <f t="shared" si="11"/>
        <v>5982524.709999999</v>
      </c>
      <c r="Q225" s="240">
        <f>+Données!X225</f>
        <v>71.5</v>
      </c>
      <c r="R225" s="457">
        <f t="shared" si="12"/>
        <v>83671.674265734255</v>
      </c>
    </row>
    <row r="226" spans="1:18" x14ac:dyDescent="0.25">
      <c r="A226" s="7">
        <f>Données!A226</f>
        <v>5765</v>
      </c>
      <c r="B226" s="27" t="str">
        <f>Données!B226</f>
        <v>Vaulion</v>
      </c>
      <c r="C226" s="8">
        <f>Données!C226+Données!D226</f>
        <v>741965.09</v>
      </c>
      <c r="D226" s="8">
        <f>+Données!G226+Données!H226+Données!S226</f>
        <v>22455</v>
      </c>
      <c r="E226" s="8">
        <f>+Données!E226</f>
        <v>0</v>
      </c>
      <c r="F226" s="8">
        <f>+Données!I226</f>
        <v>0</v>
      </c>
      <c r="G226" s="8">
        <f>+Données!J226</f>
        <v>9790.44</v>
      </c>
      <c r="H226" s="8">
        <f>Données!U226</f>
        <v>-32350.36</v>
      </c>
      <c r="I226" s="215">
        <f>Données!V226</f>
        <v>0</v>
      </c>
      <c r="J226" s="215">
        <f>Données!W226</f>
        <v>-11.32</v>
      </c>
      <c r="K226" s="8">
        <f>+Données!Q226</f>
        <v>25491.74</v>
      </c>
      <c r="L226" s="457">
        <f t="shared" si="10"/>
        <v>767340.59</v>
      </c>
      <c r="M226" s="8">
        <f>+Données!F226</f>
        <v>0</v>
      </c>
      <c r="N226" s="8">
        <f>+Données!K226</f>
        <v>0</v>
      </c>
      <c r="O226" s="8">
        <f>(Données!L226/Données!Y226)*1</f>
        <v>65227.8</v>
      </c>
      <c r="P226" s="457">
        <f t="shared" si="11"/>
        <v>832568.39</v>
      </c>
      <c r="Q226" s="240">
        <f>+Données!X226</f>
        <v>81</v>
      </c>
      <c r="R226" s="457">
        <f t="shared" si="12"/>
        <v>10278.622098765432</v>
      </c>
    </row>
    <row r="227" spans="1:18" x14ac:dyDescent="0.25">
      <c r="A227" s="7">
        <f>Données!A227</f>
        <v>5766</v>
      </c>
      <c r="B227" s="27" t="str">
        <f>Données!B227</f>
        <v>Vuiteboeuf</v>
      </c>
      <c r="C227" s="8">
        <f>Données!C227+Données!D227</f>
        <v>1046208.1699999999</v>
      </c>
      <c r="D227" s="8">
        <f>+Données!G227+Données!H227+Données!S227</f>
        <v>8362.25</v>
      </c>
      <c r="E227" s="8">
        <f>+Données!E227</f>
        <v>0</v>
      </c>
      <c r="F227" s="8">
        <f>+Données!I227</f>
        <v>0</v>
      </c>
      <c r="G227" s="8">
        <f>+Données!J227</f>
        <v>33734.78</v>
      </c>
      <c r="H227" s="8">
        <f>Données!U227</f>
        <v>-7221.79</v>
      </c>
      <c r="I227" s="215">
        <f>Données!V227</f>
        <v>0</v>
      </c>
      <c r="J227" s="215">
        <f>Données!W227</f>
        <v>-56.39</v>
      </c>
      <c r="K227" s="8">
        <f>+Données!Q227</f>
        <v>638.48</v>
      </c>
      <c r="L227" s="457">
        <f t="shared" si="10"/>
        <v>1081665.5</v>
      </c>
      <c r="M227" s="8">
        <f>+Données!F227</f>
        <v>3770</v>
      </c>
      <c r="N227" s="8">
        <f>+Données!K227</f>
        <v>-3890.85</v>
      </c>
      <c r="O227" s="8">
        <f>(Données!L227/Données!Y227)*1</f>
        <v>84987.14285714287</v>
      </c>
      <c r="P227" s="457">
        <f t="shared" si="11"/>
        <v>1166531.7928571429</v>
      </c>
      <c r="Q227" s="240">
        <f>+Données!X227</f>
        <v>75</v>
      </c>
      <c r="R227" s="457">
        <f t="shared" si="12"/>
        <v>15553.757238095239</v>
      </c>
    </row>
    <row r="228" spans="1:18" x14ac:dyDescent="0.25">
      <c r="A228" s="7">
        <f>Données!A228</f>
        <v>5785</v>
      </c>
      <c r="B228" s="27" t="str">
        <f>Données!B228</f>
        <v>Corcelles-le-Jorat</v>
      </c>
      <c r="C228" s="8">
        <f>Données!C228+Données!D228</f>
        <v>1007776.1799999999</v>
      </c>
      <c r="D228" s="8">
        <f>+Données!G228+Données!H228+Données!S228</f>
        <v>22471.919999999998</v>
      </c>
      <c r="E228" s="8">
        <f>+Données!E228</f>
        <v>0</v>
      </c>
      <c r="F228" s="8">
        <f>+Données!I228</f>
        <v>0</v>
      </c>
      <c r="G228" s="8">
        <f>+Données!J228</f>
        <v>30363.09</v>
      </c>
      <c r="H228" s="8">
        <f>Données!U228</f>
        <v>-20850.54</v>
      </c>
      <c r="I228" s="215">
        <f>Données!V228</f>
        <v>0</v>
      </c>
      <c r="J228" s="215">
        <f>Données!W228</f>
        <v>-621.45000000000005</v>
      </c>
      <c r="K228" s="8">
        <f>+Données!Q228</f>
        <v>6050.33</v>
      </c>
      <c r="L228" s="457">
        <f t="shared" si="10"/>
        <v>1045189.5299999999</v>
      </c>
      <c r="M228" s="8">
        <f>+Données!F228</f>
        <v>0</v>
      </c>
      <c r="N228" s="8">
        <f>+Données!K228</f>
        <v>1577.1</v>
      </c>
      <c r="O228" s="8">
        <f>(Données!L228/Données!Y228)*1</f>
        <v>75819.350000000006</v>
      </c>
      <c r="P228" s="457">
        <f t="shared" si="11"/>
        <v>1122585.98</v>
      </c>
      <c r="Q228" s="240">
        <f>+Données!X228</f>
        <v>77</v>
      </c>
      <c r="R228" s="457">
        <f t="shared" si="12"/>
        <v>14579.038701298701</v>
      </c>
    </row>
    <row r="229" spans="1:18" x14ac:dyDescent="0.25">
      <c r="A229" s="7">
        <f>Données!A229</f>
        <v>5790</v>
      </c>
      <c r="B229" s="27" t="str">
        <f>Données!B229</f>
        <v>Maracon</v>
      </c>
      <c r="C229" s="8">
        <f>Données!C229+Données!D229</f>
        <v>1009965.03</v>
      </c>
      <c r="D229" s="8">
        <f>+Données!G229+Données!H229+Données!S229</f>
        <v>8819.06</v>
      </c>
      <c r="E229" s="8">
        <f>+Données!E229</f>
        <v>0</v>
      </c>
      <c r="F229" s="8">
        <f>+Données!I229</f>
        <v>0</v>
      </c>
      <c r="G229" s="8">
        <f>+Données!J229</f>
        <v>13334.81</v>
      </c>
      <c r="H229" s="8">
        <f>Données!U229</f>
        <v>-2396.16</v>
      </c>
      <c r="I229" s="215">
        <f>Données!V229</f>
        <v>0</v>
      </c>
      <c r="J229" s="215">
        <f>Données!W229</f>
        <v>-314.92</v>
      </c>
      <c r="K229" s="8">
        <f>+Données!Q229</f>
        <v>0</v>
      </c>
      <c r="L229" s="457">
        <f t="shared" si="10"/>
        <v>1029407.8200000001</v>
      </c>
      <c r="M229" s="8">
        <f>+Données!F229</f>
        <v>0</v>
      </c>
      <c r="N229" s="8">
        <f>+Données!K229</f>
        <v>3472</v>
      </c>
      <c r="O229" s="8">
        <f>(Données!L229/Données!Y229)*1</f>
        <v>97410.7</v>
      </c>
      <c r="P229" s="457">
        <f t="shared" si="11"/>
        <v>1130290.52</v>
      </c>
      <c r="Q229" s="240">
        <f>+Données!X229</f>
        <v>74.5</v>
      </c>
      <c r="R229" s="457">
        <f t="shared" si="12"/>
        <v>15171.684832214765</v>
      </c>
    </row>
    <row r="230" spans="1:18" x14ac:dyDescent="0.25">
      <c r="A230" s="7">
        <f>Données!A230</f>
        <v>5792</v>
      </c>
      <c r="B230" s="27" t="str">
        <f>Données!B230</f>
        <v>Montpreveyres</v>
      </c>
      <c r="C230" s="8">
        <f>Données!C230+Données!D230</f>
        <v>1380386.69</v>
      </c>
      <c r="D230" s="8">
        <f>+Données!G230+Données!H230+Données!S230</f>
        <v>-10933.2</v>
      </c>
      <c r="E230" s="8">
        <f>+Données!E230</f>
        <v>0</v>
      </c>
      <c r="F230" s="8">
        <f>+Données!I230</f>
        <v>0</v>
      </c>
      <c r="G230" s="8">
        <f>+Données!J230</f>
        <v>26336.82</v>
      </c>
      <c r="H230" s="8">
        <f>Données!U230</f>
        <v>-1933.93</v>
      </c>
      <c r="I230" s="215">
        <f>Données!V230</f>
        <v>0</v>
      </c>
      <c r="J230" s="215">
        <f>Données!W230</f>
        <v>-46.19</v>
      </c>
      <c r="K230" s="8">
        <f>+Données!Q230</f>
        <v>5083.87</v>
      </c>
      <c r="L230" s="457">
        <f t="shared" si="10"/>
        <v>1398894.0600000003</v>
      </c>
      <c r="M230" s="8">
        <f>+Données!F230</f>
        <v>0</v>
      </c>
      <c r="N230" s="8">
        <f>+Données!K230</f>
        <v>2131.5</v>
      </c>
      <c r="O230" s="8">
        <f>(Données!L230/Données!Y230)*1</f>
        <v>121223.4</v>
      </c>
      <c r="P230" s="457">
        <f t="shared" si="11"/>
        <v>1522248.9600000002</v>
      </c>
      <c r="Q230" s="240">
        <f>+Données!X230</f>
        <v>75.5</v>
      </c>
      <c r="R230" s="457">
        <f t="shared" si="12"/>
        <v>20162.237880794706</v>
      </c>
    </row>
    <row r="231" spans="1:18" x14ac:dyDescent="0.25">
      <c r="A231" s="7">
        <f>Données!A231</f>
        <v>5798</v>
      </c>
      <c r="B231" s="27" t="str">
        <f>Données!B231</f>
        <v>Ropraz</v>
      </c>
      <c r="C231" s="8">
        <f>Données!C231+Données!D231</f>
        <v>1164566.29</v>
      </c>
      <c r="D231" s="8">
        <f>+Données!G231+Données!H231+Données!S231</f>
        <v>58583.24</v>
      </c>
      <c r="E231" s="8">
        <f>+Données!E231</f>
        <v>0</v>
      </c>
      <c r="F231" s="8">
        <f>+Données!I231</f>
        <v>0</v>
      </c>
      <c r="G231" s="8">
        <f>+Données!J231</f>
        <v>40765.65</v>
      </c>
      <c r="H231" s="8">
        <f>Données!U231</f>
        <v>-15733.32</v>
      </c>
      <c r="I231" s="215">
        <f>Données!V231</f>
        <v>0</v>
      </c>
      <c r="J231" s="215">
        <f>Données!W231</f>
        <v>-9.9</v>
      </c>
      <c r="K231" s="8">
        <f>+Données!Q231</f>
        <v>3820.21</v>
      </c>
      <c r="L231" s="457">
        <f t="shared" si="10"/>
        <v>1251992.17</v>
      </c>
      <c r="M231" s="8">
        <f>+Données!F231</f>
        <v>0</v>
      </c>
      <c r="N231" s="8">
        <f>+Données!K231</f>
        <v>10881.05</v>
      </c>
      <c r="O231" s="8">
        <f>(Données!L231/Données!Y231)*1</f>
        <v>88918.1</v>
      </c>
      <c r="P231" s="457">
        <f t="shared" si="11"/>
        <v>1351791.32</v>
      </c>
      <c r="Q231" s="240">
        <f>+Données!X231</f>
        <v>77.5</v>
      </c>
      <c r="R231" s="457">
        <f t="shared" si="12"/>
        <v>17442.468645161291</v>
      </c>
    </row>
    <row r="232" spans="1:18" x14ac:dyDescent="0.25">
      <c r="A232" s="7">
        <f>Données!A232</f>
        <v>5799</v>
      </c>
      <c r="B232" s="27" t="str">
        <f>Données!B232</f>
        <v>Servion</v>
      </c>
      <c r="C232" s="8">
        <f>Données!C232+Données!D232</f>
        <v>4449786.1100000003</v>
      </c>
      <c r="D232" s="8">
        <f>+Données!G232+Données!H232+Données!S232</f>
        <v>54192.020000000004</v>
      </c>
      <c r="E232" s="8">
        <f>+Données!E232</f>
        <v>0</v>
      </c>
      <c r="F232" s="8">
        <f>+Données!I232</f>
        <v>0</v>
      </c>
      <c r="G232" s="8">
        <f>+Données!J232</f>
        <v>42510.8</v>
      </c>
      <c r="H232" s="8">
        <f>Données!U232</f>
        <v>-33285.89</v>
      </c>
      <c r="I232" s="215">
        <f>Données!V232</f>
        <v>0</v>
      </c>
      <c r="J232" s="215">
        <f>Données!W232</f>
        <v>-566.70000000000005</v>
      </c>
      <c r="K232" s="8">
        <f>+Données!Q232</f>
        <v>350.73</v>
      </c>
      <c r="L232" s="457">
        <f t="shared" si="10"/>
        <v>4512987.07</v>
      </c>
      <c r="M232" s="8">
        <f>+Données!F232</f>
        <v>0</v>
      </c>
      <c r="N232" s="8">
        <f>+Données!K232</f>
        <v>20358.650000000001</v>
      </c>
      <c r="O232" s="8">
        <f>(Données!L232/Données!Y232)*1</f>
        <v>416840.95</v>
      </c>
      <c r="P232" s="457">
        <f t="shared" si="11"/>
        <v>4950186.6700000009</v>
      </c>
      <c r="Q232" s="240">
        <f>+Données!X232</f>
        <v>69</v>
      </c>
      <c r="R232" s="457">
        <f t="shared" si="12"/>
        <v>71741.835797101463</v>
      </c>
    </row>
    <row r="233" spans="1:18" x14ac:dyDescent="0.25">
      <c r="A233" s="7">
        <f>Données!A233</f>
        <v>5803</v>
      </c>
      <c r="B233" s="27" t="str">
        <f>Données!B233</f>
        <v>Vulliens</v>
      </c>
      <c r="C233" s="8">
        <f>Données!C233+Données!D233</f>
        <v>1265794.6000000001</v>
      </c>
      <c r="D233" s="8">
        <f>+Données!G233+Données!H233+Données!S233</f>
        <v>3601.18</v>
      </c>
      <c r="E233" s="8">
        <f>+Données!E233</f>
        <v>0</v>
      </c>
      <c r="F233" s="8">
        <f>+Données!I233</f>
        <v>0</v>
      </c>
      <c r="G233" s="8">
        <f>+Données!J233</f>
        <v>22871.35</v>
      </c>
      <c r="H233" s="8">
        <f>Données!U233</f>
        <v>-27436.33</v>
      </c>
      <c r="I233" s="215">
        <f>Données!V233</f>
        <v>0</v>
      </c>
      <c r="J233" s="215">
        <f>Données!W233</f>
        <v>-570.45000000000005</v>
      </c>
      <c r="K233" s="8">
        <f>+Données!Q233</f>
        <v>29.96</v>
      </c>
      <c r="L233" s="457">
        <f t="shared" si="10"/>
        <v>1264290.31</v>
      </c>
      <c r="M233" s="8">
        <f>+Données!F233</f>
        <v>0</v>
      </c>
      <c r="N233" s="8">
        <f>+Données!K233</f>
        <v>0</v>
      </c>
      <c r="O233" s="8">
        <f>(Données!L233/Données!Y233)*1</f>
        <v>103408.85</v>
      </c>
      <c r="P233" s="457">
        <f t="shared" si="11"/>
        <v>1367699.1600000001</v>
      </c>
      <c r="Q233" s="240">
        <f>+Données!X233</f>
        <v>76</v>
      </c>
      <c r="R233" s="457">
        <f t="shared" si="12"/>
        <v>17996.04157894737</v>
      </c>
    </row>
    <row r="234" spans="1:18" x14ac:dyDescent="0.25">
      <c r="A234" s="7">
        <f>Données!A234</f>
        <v>5804</v>
      </c>
      <c r="B234" s="27" t="str">
        <f>Données!B234</f>
        <v>Jorat-Menthue</v>
      </c>
      <c r="C234" s="8">
        <f>Données!C234+Données!D234</f>
        <v>3033939.92</v>
      </c>
      <c r="D234" s="8">
        <f>+Données!G234+Données!H234+Données!S234</f>
        <v>30708.880000000001</v>
      </c>
      <c r="E234" s="8">
        <f>+Données!E234</f>
        <v>0</v>
      </c>
      <c r="F234" s="8">
        <f>+Données!I234</f>
        <v>0</v>
      </c>
      <c r="G234" s="8">
        <f>+Données!J234</f>
        <v>54059.41</v>
      </c>
      <c r="H234" s="8">
        <f>Données!U234</f>
        <v>-99710.62</v>
      </c>
      <c r="I234" s="215">
        <f>Données!V234</f>
        <v>0</v>
      </c>
      <c r="J234" s="215">
        <f>Données!W234</f>
        <v>-784.42</v>
      </c>
      <c r="K234" s="8">
        <f>+Données!Q234</f>
        <v>6872.94</v>
      </c>
      <c r="L234" s="457">
        <f t="shared" si="10"/>
        <v>3025086.11</v>
      </c>
      <c r="M234" s="8">
        <f>+Données!F234</f>
        <v>0</v>
      </c>
      <c r="N234" s="8">
        <f>+Données!K234</f>
        <v>3278.5</v>
      </c>
      <c r="O234" s="8">
        <f>(Données!L234/Données!Y234)*1</f>
        <v>274777.40000000002</v>
      </c>
      <c r="P234" s="457">
        <f t="shared" si="11"/>
        <v>3303142.01</v>
      </c>
      <c r="Q234" s="240">
        <f>+Données!X234</f>
        <v>70.5</v>
      </c>
      <c r="R234" s="457">
        <f t="shared" si="12"/>
        <v>46853.078156028365</v>
      </c>
    </row>
    <row r="235" spans="1:18" x14ac:dyDescent="0.25">
      <c r="A235" s="7">
        <f>Données!A235</f>
        <v>5805</v>
      </c>
      <c r="B235" s="27" t="str">
        <f>Données!B235</f>
        <v>Oron</v>
      </c>
      <c r="C235" s="8">
        <f>Données!C235+Données!D235</f>
        <v>10242508.74</v>
      </c>
      <c r="D235" s="8">
        <f>+Données!G235+Données!H235+Données!S235</f>
        <v>771088.66000000015</v>
      </c>
      <c r="E235" s="8">
        <f>+Données!E235</f>
        <v>0</v>
      </c>
      <c r="F235" s="8">
        <f>+Données!I235</f>
        <v>37768.199999999997</v>
      </c>
      <c r="G235" s="8">
        <f>+Données!J235</f>
        <v>196998.5</v>
      </c>
      <c r="H235" s="8">
        <f>Données!U235</f>
        <v>-305203.15999999997</v>
      </c>
      <c r="I235" s="215">
        <f>Données!V235</f>
        <v>0</v>
      </c>
      <c r="J235" s="215">
        <f>Données!W235</f>
        <v>-1444.1799999999998</v>
      </c>
      <c r="K235" s="8">
        <f>+Données!Q235</f>
        <v>55475.61</v>
      </c>
      <c r="L235" s="457">
        <f t="shared" si="10"/>
        <v>10997192.369999999</v>
      </c>
      <c r="M235" s="8">
        <f>+Données!F235</f>
        <v>0</v>
      </c>
      <c r="N235" s="8">
        <f>+Données!K235</f>
        <v>87060.1</v>
      </c>
      <c r="O235" s="8">
        <f>(Données!L235/Données!Y235)*1</f>
        <v>1054733.7387387387</v>
      </c>
      <c r="P235" s="457">
        <f t="shared" si="11"/>
        <v>12138986.208738737</v>
      </c>
      <c r="Q235" s="240">
        <f>+Données!X235</f>
        <v>69.19</v>
      </c>
      <c r="R235" s="457">
        <f t="shared" si="12"/>
        <v>175444.22906111775</v>
      </c>
    </row>
    <row r="236" spans="1:18" x14ac:dyDescent="0.25">
      <c r="A236" s="7">
        <f>Données!A236</f>
        <v>5806</v>
      </c>
      <c r="B236" s="27" t="str">
        <f>Données!B236</f>
        <v>Jorat-Mézières</v>
      </c>
      <c r="C236" s="8">
        <f>Données!C236+Données!D236</f>
        <v>6575562.29</v>
      </c>
      <c r="D236" s="8">
        <f>+Données!G236+Données!H236+Données!S236</f>
        <v>198450.38</v>
      </c>
      <c r="E236" s="8">
        <f>+Données!E236</f>
        <v>0</v>
      </c>
      <c r="F236" s="8">
        <f>+Données!I236</f>
        <v>53357.25</v>
      </c>
      <c r="G236" s="8">
        <f>+Données!J236</f>
        <v>79955.679999999993</v>
      </c>
      <c r="H236" s="8">
        <f>Données!U236</f>
        <v>-33808.839999999997</v>
      </c>
      <c r="I236" s="215">
        <f>Données!V236</f>
        <v>0</v>
      </c>
      <c r="J236" s="215">
        <f>Données!W236</f>
        <v>-883.54</v>
      </c>
      <c r="K236" s="8">
        <f>+Données!Q236</f>
        <v>22479.03</v>
      </c>
      <c r="L236" s="457">
        <f t="shared" si="10"/>
        <v>6895112.25</v>
      </c>
      <c r="M236" s="8">
        <f>+Données!F236</f>
        <v>0</v>
      </c>
      <c r="N236" s="8">
        <f>+Données!K236</f>
        <v>25070.35</v>
      </c>
      <c r="O236" s="8">
        <f>(Données!L236/Données!Y236)*1</f>
        <v>530879.35</v>
      </c>
      <c r="P236" s="457">
        <f t="shared" si="11"/>
        <v>7451061.9499999993</v>
      </c>
      <c r="Q236" s="240">
        <f>+Données!X236</f>
        <v>73</v>
      </c>
      <c r="R236" s="457">
        <f t="shared" si="12"/>
        <v>102069.34178082191</v>
      </c>
    </row>
    <row r="237" spans="1:18" x14ac:dyDescent="0.25">
      <c r="A237" s="7">
        <f>Données!A237</f>
        <v>5812</v>
      </c>
      <c r="B237" s="27" t="str">
        <f>Données!B237</f>
        <v>Champtauroz</v>
      </c>
      <c r="C237" s="8">
        <f>Données!C237+Données!D237</f>
        <v>244631.59</v>
      </c>
      <c r="D237" s="8">
        <f>+Données!G237+Données!H237+Données!S237</f>
        <v>-1483.9499999999998</v>
      </c>
      <c r="E237" s="8">
        <f>+Données!E237</f>
        <v>0</v>
      </c>
      <c r="F237" s="8">
        <f>+Données!I237</f>
        <v>0</v>
      </c>
      <c r="G237" s="8">
        <f>+Données!J237</f>
        <v>526.65</v>
      </c>
      <c r="H237" s="8">
        <f>Données!U237</f>
        <v>-5587.26</v>
      </c>
      <c r="I237" s="215">
        <f>Données!V237</f>
        <v>0</v>
      </c>
      <c r="J237" s="215">
        <f>Données!W237</f>
        <v>-53.85</v>
      </c>
      <c r="K237" s="8">
        <f>+Données!Q237</f>
        <v>381.99</v>
      </c>
      <c r="L237" s="457">
        <f t="shared" si="10"/>
        <v>238415.16999999995</v>
      </c>
      <c r="M237" s="8">
        <f>+Données!F237</f>
        <v>0</v>
      </c>
      <c r="N237" s="8">
        <f>+Données!K237</f>
        <v>894.75</v>
      </c>
      <c r="O237" s="8">
        <f>(Données!L237/Données!Y237)*1</f>
        <v>18742.75</v>
      </c>
      <c r="P237" s="457">
        <f t="shared" si="11"/>
        <v>258052.66999999995</v>
      </c>
      <c r="Q237" s="240">
        <f>+Données!X237</f>
        <v>77</v>
      </c>
      <c r="R237" s="457">
        <f t="shared" si="12"/>
        <v>3351.3333766233759</v>
      </c>
    </row>
    <row r="238" spans="1:18" x14ac:dyDescent="0.25">
      <c r="A238" s="7">
        <f>Données!A238</f>
        <v>5813</v>
      </c>
      <c r="B238" s="27" t="str">
        <f>Données!B238</f>
        <v>Chevroux</v>
      </c>
      <c r="C238" s="8">
        <f>Données!C238+Données!D238</f>
        <v>924567.42</v>
      </c>
      <c r="D238" s="8">
        <f>+Données!G238+Données!H238+Données!S238</f>
        <v>35767.870000000003</v>
      </c>
      <c r="E238" s="8">
        <f>+Données!E238</f>
        <v>0</v>
      </c>
      <c r="F238" s="8">
        <f>+Données!I238</f>
        <v>0</v>
      </c>
      <c r="G238" s="8">
        <f>+Données!J238</f>
        <v>16389.599999999999</v>
      </c>
      <c r="H238" s="8">
        <f>Données!U238</f>
        <v>-28813.71</v>
      </c>
      <c r="I238" s="215">
        <f>Données!V238</f>
        <v>0</v>
      </c>
      <c r="J238" s="215">
        <f>Données!W238</f>
        <v>0</v>
      </c>
      <c r="K238" s="8">
        <f>+Données!Q238</f>
        <v>147.9</v>
      </c>
      <c r="L238" s="457">
        <f t="shared" si="10"/>
        <v>948059.08000000007</v>
      </c>
      <c r="M238" s="8">
        <f>+Données!F238</f>
        <v>3210</v>
      </c>
      <c r="N238" s="8">
        <f>+Données!K238</f>
        <v>0</v>
      </c>
      <c r="O238" s="8">
        <f>(Données!L238/Données!Y238)*1</f>
        <v>95088.375</v>
      </c>
      <c r="P238" s="457">
        <f t="shared" si="11"/>
        <v>1046357.4550000001</v>
      </c>
      <c r="Q238" s="240">
        <f>+Données!X238</f>
        <v>68.5</v>
      </c>
      <c r="R238" s="457">
        <f t="shared" si="12"/>
        <v>15275.291313868614</v>
      </c>
    </row>
    <row r="239" spans="1:18" x14ac:dyDescent="0.25">
      <c r="A239" s="7">
        <f>Données!A239</f>
        <v>5816</v>
      </c>
      <c r="B239" s="27" t="str">
        <f>Données!B239</f>
        <v>Corcelles-près-Payerne</v>
      </c>
      <c r="C239" s="8">
        <f>Données!C239+Données!D239</f>
        <v>3756186.4099999997</v>
      </c>
      <c r="D239" s="8">
        <f>+Données!G239+Données!H239+Données!S239</f>
        <v>229157.7</v>
      </c>
      <c r="E239" s="8">
        <f>+Données!E239</f>
        <v>0</v>
      </c>
      <c r="F239" s="8">
        <f>+Données!I239</f>
        <v>0</v>
      </c>
      <c r="G239" s="8">
        <f>+Données!J239</f>
        <v>169156.29</v>
      </c>
      <c r="H239" s="8">
        <f>Données!U239</f>
        <v>-124649.64</v>
      </c>
      <c r="I239" s="215">
        <f>Données!V239</f>
        <v>0</v>
      </c>
      <c r="J239" s="215">
        <f>Données!W239</f>
        <v>-39.9</v>
      </c>
      <c r="K239" s="8">
        <f>+Données!Q239</f>
        <v>52136.26</v>
      </c>
      <c r="L239" s="457">
        <f t="shared" si="10"/>
        <v>4081947.1199999996</v>
      </c>
      <c r="M239" s="8">
        <f>+Données!F239</f>
        <v>0</v>
      </c>
      <c r="N239" s="8">
        <f>+Données!K239</f>
        <v>27650.1</v>
      </c>
      <c r="O239" s="8">
        <f>(Données!L239/Données!Y239)*1</f>
        <v>386805.42857142858</v>
      </c>
      <c r="P239" s="457">
        <f t="shared" si="11"/>
        <v>4496402.6485714279</v>
      </c>
      <c r="Q239" s="240">
        <f>+Données!X239</f>
        <v>68.5</v>
      </c>
      <c r="R239" s="457">
        <f t="shared" si="12"/>
        <v>65640.914577685078</v>
      </c>
    </row>
    <row r="240" spans="1:18" x14ac:dyDescent="0.25">
      <c r="A240" s="7">
        <f>Données!A240</f>
        <v>5817</v>
      </c>
      <c r="B240" s="27" t="str">
        <f>Données!B240</f>
        <v>Grandcour</v>
      </c>
      <c r="C240" s="8">
        <f>Données!C240+Données!D240</f>
        <v>1633631.5</v>
      </c>
      <c r="D240" s="8">
        <f>+Données!G240+Données!H240+Données!S240</f>
        <v>37693.049999999996</v>
      </c>
      <c r="E240" s="8">
        <f>+Données!E240</f>
        <v>0</v>
      </c>
      <c r="F240" s="8">
        <f>+Données!I240</f>
        <v>0</v>
      </c>
      <c r="G240" s="8">
        <f>+Données!J240</f>
        <v>34806.870000000003</v>
      </c>
      <c r="H240" s="8">
        <f>Données!U240</f>
        <v>-36557.29</v>
      </c>
      <c r="I240" s="215">
        <f>Données!V240</f>
        <v>0</v>
      </c>
      <c r="J240" s="215">
        <f>Données!W240</f>
        <v>-64.3</v>
      </c>
      <c r="K240" s="8">
        <f>+Données!Q240</f>
        <v>0</v>
      </c>
      <c r="L240" s="457">
        <f t="shared" si="10"/>
        <v>1669509.83</v>
      </c>
      <c r="M240" s="8">
        <f>+Données!F240</f>
        <v>5910</v>
      </c>
      <c r="N240" s="8">
        <f>+Données!K240</f>
        <v>4344.6499999999996</v>
      </c>
      <c r="O240" s="8">
        <f>(Données!L240/Données!Y240)*1</f>
        <v>129917.15</v>
      </c>
      <c r="P240" s="457">
        <f t="shared" si="11"/>
        <v>1809681.63</v>
      </c>
      <c r="Q240" s="240">
        <f>+Données!X240</f>
        <v>73.5</v>
      </c>
      <c r="R240" s="457">
        <f t="shared" si="12"/>
        <v>24621.518775510202</v>
      </c>
    </row>
    <row r="241" spans="1:18" x14ac:dyDescent="0.25">
      <c r="A241" s="7">
        <f>Données!A241</f>
        <v>5819</v>
      </c>
      <c r="B241" s="27" t="str">
        <f>Données!B241</f>
        <v>Henniez</v>
      </c>
      <c r="C241" s="8">
        <f>Données!C241+Données!D241</f>
        <v>673551.4</v>
      </c>
      <c r="D241" s="8">
        <f>+Données!G241+Données!H241+Données!S241</f>
        <v>-22961</v>
      </c>
      <c r="E241" s="8">
        <f>+Données!E241</f>
        <v>0</v>
      </c>
      <c r="F241" s="8">
        <f>+Données!I241</f>
        <v>0</v>
      </c>
      <c r="G241" s="8">
        <f>+Données!J241</f>
        <v>21624.85</v>
      </c>
      <c r="H241" s="8">
        <f>Données!U241</f>
        <v>-43903.92</v>
      </c>
      <c r="I241" s="215">
        <f>Données!V241</f>
        <v>0</v>
      </c>
      <c r="J241" s="215">
        <f>Données!W241</f>
        <v>-24695.9</v>
      </c>
      <c r="K241" s="8">
        <f>+Données!Q241</f>
        <v>-733.37</v>
      </c>
      <c r="L241" s="457">
        <f t="shared" si="10"/>
        <v>602882.05999999994</v>
      </c>
      <c r="M241" s="8">
        <f>+Données!F241</f>
        <v>0</v>
      </c>
      <c r="N241" s="8">
        <f>+Données!K241</f>
        <v>1744.95</v>
      </c>
      <c r="O241" s="8">
        <f>(Données!L241/Données!Y241)*1</f>
        <v>92319.25</v>
      </c>
      <c r="P241" s="457">
        <f t="shared" si="11"/>
        <v>696946.25999999989</v>
      </c>
      <c r="Q241" s="240">
        <f>+Données!X241</f>
        <v>69</v>
      </c>
      <c r="R241" s="457">
        <f t="shared" si="12"/>
        <v>10100.670434782607</v>
      </c>
    </row>
    <row r="242" spans="1:18" x14ac:dyDescent="0.25">
      <c r="A242" s="7">
        <f>Données!A242</f>
        <v>5821</v>
      </c>
      <c r="B242" s="27" t="str">
        <f>Données!B242</f>
        <v>Missy</v>
      </c>
      <c r="C242" s="8">
        <f>Données!C242+Données!D242</f>
        <v>508439.89999999997</v>
      </c>
      <c r="D242" s="8">
        <f>+Données!G242+Données!H242+Données!S242</f>
        <v>6677.08</v>
      </c>
      <c r="E242" s="8">
        <f>+Données!E242</f>
        <v>0</v>
      </c>
      <c r="F242" s="8">
        <f>+Données!I242</f>
        <v>0</v>
      </c>
      <c r="G242" s="8">
        <f>+Données!J242</f>
        <v>21347.9</v>
      </c>
      <c r="H242" s="8">
        <f>Données!U242</f>
        <v>-14061.66</v>
      </c>
      <c r="I242" s="215">
        <f>Données!V242</f>
        <v>0</v>
      </c>
      <c r="J242" s="215">
        <f>Données!W242</f>
        <v>0</v>
      </c>
      <c r="K242" s="8">
        <f>+Données!Q242</f>
        <v>514.79999999999995</v>
      </c>
      <c r="L242" s="457">
        <f t="shared" si="10"/>
        <v>522918.02</v>
      </c>
      <c r="M242" s="8">
        <f>+Données!F242</f>
        <v>2230</v>
      </c>
      <c r="N242" s="8">
        <f>+Données!K242</f>
        <v>1305</v>
      </c>
      <c r="O242" s="8">
        <f>(Données!L242/Données!Y242)*1</f>
        <v>52743.7</v>
      </c>
      <c r="P242" s="457">
        <f t="shared" si="11"/>
        <v>579196.72</v>
      </c>
      <c r="Q242" s="240">
        <f>+Données!X242</f>
        <v>72</v>
      </c>
      <c r="R242" s="457">
        <f t="shared" si="12"/>
        <v>8044.3988888888889</v>
      </c>
    </row>
    <row r="243" spans="1:18" x14ac:dyDescent="0.25">
      <c r="A243" s="7">
        <f>Données!A243</f>
        <v>5822</v>
      </c>
      <c r="B243" s="27" t="str">
        <f>Données!B243</f>
        <v>Payerne</v>
      </c>
      <c r="C243" s="8">
        <f>Données!C243+Données!D243</f>
        <v>14321003.010000002</v>
      </c>
      <c r="D243" s="8">
        <f>+Données!G243+Données!H243+Données!S243</f>
        <v>1130522.5499999998</v>
      </c>
      <c r="E243" s="8">
        <f>+Données!E243</f>
        <v>0</v>
      </c>
      <c r="F243" s="8">
        <f>+Données!I243</f>
        <v>0</v>
      </c>
      <c r="G243" s="8">
        <f>+Données!J243</f>
        <v>684056.64</v>
      </c>
      <c r="H243" s="8">
        <f>Données!U243</f>
        <v>-528323.68999999994</v>
      </c>
      <c r="I243" s="215">
        <f>Données!V243</f>
        <v>0</v>
      </c>
      <c r="J243" s="215">
        <f>Données!W243</f>
        <v>-3170.58</v>
      </c>
      <c r="K243" s="8">
        <f>+Données!Q243</f>
        <v>169489.4</v>
      </c>
      <c r="L243" s="457">
        <f t="shared" si="10"/>
        <v>15773577.330000004</v>
      </c>
      <c r="M243" s="8">
        <f>+Données!F243</f>
        <v>0</v>
      </c>
      <c r="N243" s="8">
        <f>+Données!K243</f>
        <v>209805.9</v>
      </c>
      <c r="O243" s="8">
        <f>(Données!L243/Données!Y243)*1</f>
        <v>1531986.75</v>
      </c>
      <c r="P243" s="457">
        <f t="shared" si="11"/>
        <v>17515369.980000004</v>
      </c>
      <c r="Q243" s="240">
        <f>+Données!X243</f>
        <v>73</v>
      </c>
      <c r="R243" s="457">
        <f t="shared" si="12"/>
        <v>239936.5750684932</v>
      </c>
    </row>
    <row r="244" spans="1:18" x14ac:dyDescent="0.25">
      <c r="A244" s="7">
        <f>Données!A244</f>
        <v>5827</v>
      </c>
      <c r="B244" s="27" t="str">
        <f>Données!B244</f>
        <v>Trey</v>
      </c>
      <c r="C244" s="8">
        <f>Données!C244+Données!D244</f>
        <v>526382.49</v>
      </c>
      <c r="D244" s="8">
        <f>+Données!G244+Données!H244+Données!S244</f>
        <v>8301.16</v>
      </c>
      <c r="E244" s="8">
        <f>+Données!E244</f>
        <v>0</v>
      </c>
      <c r="F244" s="8">
        <f>+Données!I244</f>
        <v>0</v>
      </c>
      <c r="G244" s="8">
        <f>+Données!J244</f>
        <v>19238.439999999999</v>
      </c>
      <c r="H244" s="8">
        <f>Données!U244</f>
        <v>-12646.72</v>
      </c>
      <c r="I244" s="215">
        <f>Données!V244</f>
        <v>0</v>
      </c>
      <c r="J244" s="215">
        <f>Données!W244</f>
        <v>0</v>
      </c>
      <c r="K244" s="8">
        <f>+Données!Q244</f>
        <v>18140.900000000001</v>
      </c>
      <c r="L244" s="457">
        <f t="shared" si="10"/>
        <v>559416.27</v>
      </c>
      <c r="M244" s="8">
        <f>+Données!F244</f>
        <v>1600</v>
      </c>
      <c r="N244" s="8">
        <f>+Données!K244</f>
        <v>1796.35</v>
      </c>
      <c r="O244" s="8">
        <f>(Données!L244/Données!Y244)*1</f>
        <v>41462.35</v>
      </c>
      <c r="P244" s="457">
        <f t="shared" si="11"/>
        <v>604274.97</v>
      </c>
      <c r="Q244" s="240">
        <f>+Données!X244</f>
        <v>78</v>
      </c>
      <c r="R244" s="457">
        <f t="shared" si="12"/>
        <v>7747.1149999999998</v>
      </c>
    </row>
    <row r="245" spans="1:18" x14ac:dyDescent="0.25">
      <c r="A245" s="7">
        <f>Données!A245</f>
        <v>5828</v>
      </c>
      <c r="B245" s="27" t="str">
        <f>Données!B245</f>
        <v>Treytorrens (Payerne)</v>
      </c>
      <c r="C245" s="8">
        <f>Données!C245+Données!D245</f>
        <v>223192.06</v>
      </c>
      <c r="D245" s="8">
        <f>+Données!G245+Données!H245+Données!S245</f>
        <v>278.90000000000003</v>
      </c>
      <c r="E245" s="8">
        <f>+Données!E245</f>
        <v>0</v>
      </c>
      <c r="F245" s="8">
        <f>+Données!I245</f>
        <v>0</v>
      </c>
      <c r="G245" s="8">
        <f>+Données!J245</f>
        <v>72.45</v>
      </c>
      <c r="H245" s="8">
        <f>Données!U245</f>
        <v>-888.96</v>
      </c>
      <c r="I245" s="215">
        <f>Données!V245</f>
        <v>0</v>
      </c>
      <c r="J245" s="215">
        <f>Données!W245</f>
        <v>0</v>
      </c>
      <c r="K245" s="8">
        <f>+Données!Q245</f>
        <v>0</v>
      </c>
      <c r="L245" s="457">
        <f t="shared" si="10"/>
        <v>222654.45</v>
      </c>
      <c r="M245" s="8">
        <f>+Données!F245</f>
        <v>0</v>
      </c>
      <c r="N245" s="8">
        <f>+Données!K245</f>
        <v>0</v>
      </c>
      <c r="O245" s="8">
        <f>(Données!L245/Données!Y245)*1</f>
        <v>16530.366666666665</v>
      </c>
      <c r="P245" s="457">
        <f t="shared" si="11"/>
        <v>239184.81666666668</v>
      </c>
      <c r="Q245" s="240">
        <f>+Données!X245</f>
        <v>82.5</v>
      </c>
      <c r="R245" s="457">
        <f t="shared" si="12"/>
        <v>2899.2098989898991</v>
      </c>
    </row>
    <row r="246" spans="1:18" x14ac:dyDescent="0.25">
      <c r="A246" s="7">
        <f>Données!A246</f>
        <v>5830</v>
      </c>
      <c r="B246" s="27" t="str">
        <f>Données!B246</f>
        <v>Villarzel</v>
      </c>
      <c r="C246" s="8">
        <f>Données!C246+Données!D246</f>
        <v>840379.14</v>
      </c>
      <c r="D246" s="8">
        <f>+Données!G246+Données!H246+Données!S246</f>
        <v>12506.53</v>
      </c>
      <c r="E246" s="8">
        <f>+Données!E246</f>
        <v>0</v>
      </c>
      <c r="F246" s="8">
        <f>+Données!I246</f>
        <v>0</v>
      </c>
      <c r="G246" s="8">
        <f>+Données!J246</f>
        <v>12123.73</v>
      </c>
      <c r="H246" s="8">
        <f>Données!U246</f>
        <v>-5067.7700000000004</v>
      </c>
      <c r="I246" s="215">
        <f>Données!V246</f>
        <v>0</v>
      </c>
      <c r="J246" s="215">
        <f>Données!W246</f>
        <v>-51.36</v>
      </c>
      <c r="K246" s="8">
        <f>+Données!Q246</f>
        <v>9204.1</v>
      </c>
      <c r="L246" s="457">
        <f t="shared" si="10"/>
        <v>869094.37</v>
      </c>
      <c r="M246" s="8">
        <f>+Données!F246</f>
        <v>0</v>
      </c>
      <c r="N246" s="8">
        <f>+Données!K246</f>
        <v>441.2</v>
      </c>
      <c r="O246" s="8">
        <f>(Données!L246/Données!Y246)*1</f>
        <v>61174.8</v>
      </c>
      <c r="P246" s="457">
        <f t="shared" si="11"/>
        <v>930710.37</v>
      </c>
      <c r="Q246" s="240">
        <f>+Données!X246</f>
        <v>75</v>
      </c>
      <c r="R246" s="457">
        <f t="shared" si="12"/>
        <v>12409.471600000001</v>
      </c>
    </row>
    <row r="247" spans="1:18" x14ac:dyDescent="0.25">
      <c r="A247" s="7">
        <f>Données!A247</f>
        <v>5831</v>
      </c>
      <c r="B247" s="27" t="str">
        <f>Données!B247</f>
        <v>Valbroye</v>
      </c>
      <c r="C247" s="8">
        <f>Données!C247+Données!D247</f>
        <v>4954592.4800000004</v>
      </c>
      <c r="D247" s="8">
        <f>+Données!G247+Données!H247+Données!S247</f>
        <v>168800.23</v>
      </c>
      <c r="E247" s="8">
        <f>+Données!E247</f>
        <v>0</v>
      </c>
      <c r="F247" s="8">
        <f>+Données!I247</f>
        <v>0</v>
      </c>
      <c r="G247" s="8">
        <f>+Données!J247</f>
        <v>163886.23000000001</v>
      </c>
      <c r="H247" s="8">
        <f>Données!U247</f>
        <v>-137134.32</v>
      </c>
      <c r="I247" s="215">
        <f>Données!V247</f>
        <v>0</v>
      </c>
      <c r="J247" s="215">
        <f>Données!W247</f>
        <v>-591.34</v>
      </c>
      <c r="K247" s="8">
        <f>+Données!Q247</f>
        <v>41332.51</v>
      </c>
      <c r="L247" s="457">
        <f t="shared" si="10"/>
        <v>5190885.790000001</v>
      </c>
      <c r="M247" s="8">
        <f>+Données!F247</f>
        <v>0</v>
      </c>
      <c r="N247" s="8">
        <f>+Données!K247</f>
        <v>24539.599999999999</v>
      </c>
      <c r="O247" s="8">
        <f>(Données!L247/Données!Y247)*1</f>
        <v>499404.83333333337</v>
      </c>
      <c r="P247" s="457">
        <f t="shared" si="11"/>
        <v>5714830.2233333336</v>
      </c>
      <c r="Q247" s="240">
        <f>+Données!X247</f>
        <v>70.5</v>
      </c>
      <c r="R247" s="457">
        <f t="shared" si="12"/>
        <v>81061.421607565018</v>
      </c>
    </row>
    <row r="248" spans="1:18" x14ac:dyDescent="0.25">
      <c r="A248" s="7">
        <f>Données!A248</f>
        <v>5841</v>
      </c>
      <c r="B248" s="27" t="str">
        <f>Données!B248</f>
        <v>Château-d'Oex</v>
      </c>
      <c r="C248" s="8">
        <f>Données!C248+Données!D248</f>
        <v>7096883.7800000003</v>
      </c>
      <c r="D248" s="8">
        <f>+Données!G248+Données!H248+Données!S248</f>
        <v>179682.13</v>
      </c>
      <c r="E248" s="8">
        <f>+Données!E248</f>
        <v>0</v>
      </c>
      <c r="F248" s="8">
        <f>+Données!I248</f>
        <v>607555.07999999996</v>
      </c>
      <c r="G248" s="8">
        <f>+Données!J248</f>
        <v>395554.33</v>
      </c>
      <c r="H248" s="8">
        <f>Données!U248</f>
        <v>-292514.46000000002</v>
      </c>
      <c r="I248" s="215">
        <f>Données!V248</f>
        <v>0</v>
      </c>
      <c r="J248" s="215">
        <f>Données!W248</f>
        <v>-7607.52</v>
      </c>
      <c r="K248" s="8">
        <f>+Données!Q248</f>
        <v>7461.84</v>
      </c>
      <c r="L248" s="457">
        <f t="shared" si="10"/>
        <v>7987015.1800000006</v>
      </c>
      <c r="M248" s="8">
        <f>+Données!F248</f>
        <v>0</v>
      </c>
      <c r="N248" s="8">
        <f>+Données!K248</f>
        <v>23339.8</v>
      </c>
      <c r="O248" s="8">
        <f>(Données!L248/Données!Y248)*1</f>
        <v>1023987.1</v>
      </c>
      <c r="P248" s="457">
        <f t="shared" si="11"/>
        <v>9034342.0800000001</v>
      </c>
      <c r="Q248" s="240">
        <f>+Données!X248</f>
        <v>81.5</v>
      </c>
      <c r="R248" s="457">
        <f t="shared" si="12"/>
        <v>110850.82306748466</v>
      </c>
    </row>
    <row r="249" spans="1:18" x14ac:dyDescent="0.25">
      <c r="A249" s="7">
        <f>Données!A249</f>
        <v>5842</v>
      </c>
      <c r="B249" s="27" t="str">
        <f>Données!B249</f>
        <v>Rossinière</v>
      </c>
      <c r="C249" s="8">
        <f>Données!C249+Données!D249</f>
        <v>1002680.83</v>
      </c>
      <c r="D249" s="8">
        <f>+Données!G249+Données!H249+Données!S249</f>
        <v>84228.610000000015</v>
      </c>
      <c r="E249" s="8">
        <f>+Données!E249</f>
        <v>0</v>
      </c>
      <c r="F249" s="8">
        <f>+Données!I249</f>
        <v>20057.8</v>
      </c>
      <c r="G249" s="8">
        <f>+Données!J249</f>
        <v>10197.969999999999</v>
      </c>
      <c r="H249" s="8">
        <f>Données!U249</f>
        <v>-3160.77</v>
      </c>
      <c r="I249" s="215">
        <f>Données!V249</f>
        <v>0</v>
      </c>
      <c r="J249" s="215">
        <f>Données!W249</f>
        <v>-310.87</v>
      </c>
      <c r="K249" s="8">
        <f>+Données!Q249</f>
        <v>0</v>
      </c>
      <c r="L249" s="457">
        <f t="shared" si="10"/>
        <v>1113693.5699999998</v>
      </c>
      <c r="M249" s="8">
        <f>+Données!F249</f>
        <v>0</v>
      </c>
      <c r="N249" s="8">
        <f>+Données!K249</f>
        <v>916.35</v>
      </c>
      <c r="O249" s="8">
        <f>(Données!L249/Données!Y249)*1</f>
        <v>95648.833333333328</v>
      </c>
      <c r="P249" s="457">
        <f t="shared" si="11"/>
        <v>1210258.7533333332</v>
      </c>
      <c r="Q249" s="240">
        <f>+Données!X249</f>
        <v>81</v>
      </c>
      <c r="R249" s="457">
        <f t="shared" si="12"/>
        <v>14941.466090534977</v>
      </c>
    </row>
    <row r="250" spans="1:18" x14ac:dyDescent="0.25">
      <c r="A250" s="7">
        <f>Données!A250</f>
        <v>5843</v>
      </c>
      <c r="B250" s="27" t="str">
        <f>Données!B250</f>
        <v>Rougemont</v>
      </c>
      <c r="C250" s="8">
        <f>Données!C250+Données!D250</f>
        <v>4547704.18</v>
      </c>
      <c r="D250" s="8">
        <f>+Données!G250+Données!H250+Données!S250</f>
        <v>127620.32</v>
      </c>
      <c r="E250" s="8">
        <f>+Données!E250</f>
        <v>0</v>
      </c>
      <c r="F250" s="8">
        <f>+Données!I250</f>
        <v>1583236.52</v>
      </c>
      <c r="G250" s="8">
        <f>+Données!J250</f>
        <v>87280.53</v>
      </c>
      <c r="H250" s="8">
        <f>Données!U250</f>
        <v>-12741.46</v>
      </c>
      <c r="I250" s="215">
        <f>Données!V250</f>
        <v>0</v>
      </c>
      <c r="J250" s="215">
        <f>Données!W250</f>
        <v>-19721.29</v>
      </c>
      <c r="K250" s="8">
        <f>+Données!Q250</f>
        <v>22904.38</v>
      </c>
      <c r="L250" s="457">
        <f t="shared" si="10"/>
        <v>6336283.1799999997</v>
      </c>
      <c r="M250" s="8">
        <f>+Données!F250</f>
        <v>0</v>
      </c>
      <c r="N250" s="8">
        <f>+Données!K250</f>
        <v>37320.050000000003</v>
      </c>
      <c r="O250" s="8">
        <f>(Données!L250/Données!Y250)*1</f>
        <v>810522.4</v>
      </c>
      <c r="P250" s="457">
        <f t="shared" si="11"/>
        <v>7184125.6299999999</v>
      </c>
      <c r="Q250" s="240">
        <f>+Données!X250</f>
        <v>74</v>
      </c>
      <c r="R250" s="457">
        <f t="shared" si="12"/>
        <v>97082.778783783782</v>
      </c>
    </row>
    <row r="251" spans="1:18" x14ac:dyDescent="0.25">
      <c r="A251" s="7">
        <f>Données!A251</f>
        <v>5851</v>
      </c>
      <c r="B251" s="27" t="str">
        <f>Données!B251</f>
        <v>Allaman</v>
      </c>
      <c r="C251" s="8">
        <f>Données!C251+Données!D251</f>
        <v>1113825.68</v>
      </c>
      <c r="D251" s="8">
        <f>+Données!G251+Données!H251+Données!S251</f>
        <v>85110.88</v>
      </c>
      <c r="E251" s="8">
        <f>+Données!E251</f>
        <v>0</v>
      </c>
      <c r="F251" s="8">
        <f>+Données!I251</f>
        <v>16716.099999999999</v>
      </c>
      <c r="G251" s="8">
        <f>+Données!J251</f>
        <v>43367.31</v>
      </c>
      <c r="H251" s="8">
        <f>Données!U251</f>
        <v>-11973.54</v>
      </c>
      <c r="I251" s="215">
        <f>Données!V251</f>
        <v>0</v>
      </c>
      <c r="J251" s="215">
        <f>Données!W251</f>
        <v>-916.92</v>
      </c>
      <c r="K251" s="8">
        <f>+Données!Q251</f>
        <v>1194.1500000000001</v>
      </c>
      <c r="L251" s="457">
        <f t="shared" si="10"/>
        <v>1247323.6600000001</v>
      </c>
      <c r="M251" s="8">
        <f>+Données!F251</f>
        <v>0</v>
      </c>
      <c r="N251" s="8">
        <f>+Données!K251</f>
        <v>23465</v>
      </c>
      <c r="O251" s="8">
        <f>(Données!L251/Données!Y251)*1</f>
        <v>221504.40909090909</v>
      </c>
      <c r="P251" s="457">
        <f t="shared" si="11"/>
        <v>1492293.0690909093</v>
      </c>
      <c r="Q251" s="240">
        <f>+Données!X251</f>
        <v>60</v>
      </c>
      <c r="R251" s="457">
        <f t="shared" si="12"/>
        <v>24871.551151515156</v>
      </c>
    </row>
    <row r="252" spans="1:18" x14ac:dyDescent="0.25">
      <c r="A252" s="7">
        <f>Données!A252</f>
        <v>5852</v>
      </c>
      <c r="B252" s="27" t="str">
        <f>Données!B252</f>
        <v>Bursinel</v>
      </c>
      <c r="C252" s="8">
        <f>Données!C252+Données!D252</f>
        <v>1766075.25</v>
      </c>
      <c r="D252" s="8">
        <f>+Données!G252+Données!H252+Données!S252</f>
        <v>9564.09</v>
      </c>
      <c r="E252" s="8">
        <f>+Données!E252</f>
        <v>0</v>
      </c>
      <c r="F252" s="8">
        <f>+Données!I252</f>
        <v>221080.95</v>
      </c>
      <c r="G252" s="8">
        <f>+Données!J252</f>
        <v>39511.160000000003</v>
      </c>
      <c r="H252" s="8">
        <f>Données!U252</f>
        <v>-29844.94</v>
      </c>
      <c r="I252" s="215">
        <f>Données!V252</f>
        <v>0</v>
      </c>
      <c r="J252" s="215">
        <f>Données!W252</f>
        <v>-66495.509999999995</v>
      </c>
      <c r="K252" s="8">
        <f>+Données!Q252</f>
        <v>9680</v>
      </c>
      <c r="L252" s="457">
        <f t="shared" si="10"/>
        <v>1949571</v>
      </c>
      <c r="M252" s="8">
        <f>+Données!F252</f>
        <v>0</v>
      </c>
      <c r="N252" s="8">
        <f>+Données!K252</f>
        <v>7060.35</v>
      </c>
      <c r="O252" s="8">
        <f>(Données!L252/Données!Y252)*1</f>
        <v>190811.86666666667</v>
      </c>
      <c r="P252" s="457">
        <f t="shared" si="11"/>
        <v>2147443.2166666668</v>
      </c>
      <c r="Q252" s="240">
        <f>+Données!X252</f>
        <v>62</v>
      </c>
      <c r="R252" s="457">
        <f t="shared" si="12"/>
        <v>34636.180913978496</v>
      </c>
    </row>
    <row r="253" spans="1:18" x14ac:dyDescent="0.25">
      <c r="A253" s="7">
        <f>Données!A253</f>
        <v>5853</v>
      </c>
      <c r="B253" s="27" t="str">
        <f>Données!B253</f>
        <v>Bursins</v>
      </c>
      <c r="C253" s="8">
        <f>Données!C253+Données!D253</f>
        <v>2581559.15</v>
      </c>
      <c r="D253" s="8">
        <f>+Données!G253+Données!H253+Données!S253</f>
        <v>46331.59</v>
      </c>
      <c r="E253" s="8">
        <f>+Données!E253</f>
        <v>0</v>
      </c>
      <c r="F253" s="8">
        <f>+Données!I253</f>
        <v>305622.55</v>
      </c>
      <c r="G253" s="8">
        <f>+Données!J253</f>
        <v>22948.99</v>
      </c>
      <c r="H253" s="8">
        <f>Données!U253</f>
        <v>-37360.03</v>
      </c>
      <c r="I253" s="215">
        <f>Données!V253</f>
        <v>0</v>
      </c>
      <c r="J253" s="215">
        <f>Données!W253</f>
        <v>-956.95</v>
      </c>
      <c r="K253" s="8">
        <f>+Données!Q253</f>
        <v>11620.92</v>
      </c>
      <c r="L253" s="457">
        <f t="shared" si="10"/>
        <v>2929766.2199999997</v>
      </c>
      <c r="M253" s="8">
        <f>+Données!F253</f>
        <v>0</v>
      </c>
      <c r="N253" s="8">
        <f>+Données!K253</f>
        <v>12241.2</v>
      </c>
      <c r="O253" s="8">
        <f>(Données!L253/Données!Y253)*1</f>
        <v>216377.5</v>
      </c>
      <c r="P253" s="457">
        <f t="shared" si="11"/>
        <v>3158384.92</v>
      </c>
      <c r="Q253" s="240">
        <f>+Données!X253</f>
        <v>71</v>
      </c>
      <c r="R253" s="457">
        <f t="shared" si="12"/>
        <v>44484.29464788732</v>
      </c>
    </row>
    <row r="254" spans="1:18" x14ac:dyDescent="0.25">
      <c r="A254" s="7">
        <f>Données!A254</f>
        <v>5854</v>
      </c>
      <c r="B254" s="27" t="str">
        <f>Données!B254</f>
        <v>Burtigny</v>
      </c>
      <c r="C254" s="8">
        <f>Données!C254+Données!D254</f>
        <v>1117718.23</v>
      </c>
      <c r="D254" s="8">
        <f>+Données!G254+Données!H254+Données!S254</f>
        <v>9370.42</v>
      </c>
      <c r="E254" s="8">
        <f>+Données!E254</f>
        <v>0</v>
      </c>
      <c r="F254" s="8">
        <f>+Données!I254</f>
        <v>0</v>
      </c>
      <c r="G254" s="8">
        <f>+Données!J254</f>
        <v>16366.43</v>
      </c>
      <c r="H254" s="8">
        <f>Données!U254</f>
        <v>-1105.19</v>
      </c>
      <c r="I254" s="215">
        <f>Données!V254</f>
        <v>0</v>
      </c>
      <c r="J254" s="215">
        <f>Données!W254</f>
        <v>-352.74</v>
      </c>
      <c r="K254" s="8">
        <f>+Données!Q254</f>
        <v>0</v>
      </c>
      <c r="L254" s="457">
        <f t="shared" si="10"/>
        <v>1141997.1499999999</v>
      </c>
      <c r="M254" s="8">
        <f>+Données!F254</f>
        <v>0</v>
      </c>
      <c r="N254" s="8">
        <f>+Données!K254</f>
        <v>2158.9</v>
      </c>
      <c r="O254" s="8">
        <f>(Données!L254/Données!Y254)*1</f>
        <v>76292.366666666669</v>
      </c>
      <c r="P254" s="457">
        <f t="shared" si="11"/>
        <v>1220448.4166666665</v>
      </c>
      <c r="Q254" s="240">
        <f>+Données!X254</f>
        <v>80</v>
      </c>
      <c r="R254" s="457">
        <f t="shared" si="12"/>
        <v>15255.605208333331</v>
      </c>
    </row>
    <row r="255" spans="1:18" x14ac:dyDescent="0.25">
      <c r="A255" s="7">
        <f>Données!A255</f>
        <v>5855</v>
      </c>
      <c r="B255" s="27" t="str">
        <f>Données!B255</f>
        <v>Dully</v>
      </c>
      <c r="C255" s="8">
        <f>Données!C255+Données!D255</f>
        <v>3328965.98</v>
      </c>
      <c r="D255" s="8">
        <f>+Données!G255+Données!H255+Données!S255</f>
        <v>99193.25</v>
      </c>
      <c r="E255" s="8">
        <f>+Données!E255</f>
        <v>0</v>
      </c>
      <c r="F255" s="8">
        <f>+Données!I255</f>
        <v>758620.05</v>
      </c>
      <c r="G255" s="8">
        <f>+Données!J255</f>
        <v>41220.51</v>
      </c>
      <c r="H255" s="8">
        <f>Données!U255</f>
        <v>-127.1</v>
      </c>
      <c r="I255" s="215">
        <f>Données!V255</f>
        <v>0</v>
      </c>
      <c r="J255" s="215">
        <f>Données!W255</f>
        <v>-24720.01</v>
      </c>
      <c r="K255" s="8">
        <f>+Données!Q255</f>
        <v>0</v>
      </c>
      <c r="L255" s="457">
        <f t="shared" si="10"/>
        <v>4203152.6800000006</v>
      </c>
      <c r="M255" s="8">
        <f>+Données!F255</f>
        <v>0</v>
      </c>
      <c r="N255" s="8">
        <f>+Données!K255</f>
        <v>16418.5</v>
      </c>
      <c r="O255" s="8">
        <f>(Données!L255/Données!Y255)*1</f>
        <v>370645.7</v>
      </c>
      <c r="P255" s="457">
        <f t="shared" si="11"/>
        <v>4590216.8800000008</v>
      </c>
      <c r="Q255" s="240">
        <f>+Données!X255</f>
        <v>49</v>
      </c>
      <c r="R255" s="457">
        <f t="shared" si="12"/>
        <v>93677.895510204093</v>
      </c>
    </row>
    <row r="256" spans="1:18" x14ac:dyDescent="0.25">
      <c r="A256" s="7">
        <f>Données!A256</f>
        <v>5856</v>
      </c>
      <c r="B256" s="27" t="str">
        <f>Données!B256</f>
        <v>Essertines-sur-Rolle</v>
      </c>
      <c r="C256" s="8">
        <f>Données!C256+Données!D256</f>
        <v>2281862.4300000002</v>
      </c>
      <c r="D256" s="8">
        <f>+Données!G256+Données!H256+Données!S256</f>
        <v>17725.12</v>
      </c>
      <c r="E256" s="8">
        <f>+Données!E256</f>
        <v>0</v>
      </c>
      <c r="F256" s="8">
        <f>+Données!I256</f>
        <v>289067.8</v>
      </c>
      <c r="G256" s="8">
        <f>+Données!J256</f>
        <v>22811.4</v>
      </c>
      <c r="H256" s="8">
        <f>Données!U256</f>
        <v>-11108.16</v>
      </c>
      <c r="I256" s="215">
        <f>Données!V256</f>
        <v>0</v>
      </c>
      <c r="J256" s="215">
        <f>Données!W256</f>
        <v>-1328.98</v>
      </c>
      <c r="K256" s="8">
        <f>+Données!Q256</f>
        <v>221.8</v>
      </c>
      <c r="L256" s="457">
        <f t="shared" si="10"/>
        <v>2599251.4099999997</v>
      </c>
      <c r="M256" s="8">
        <f>+Données!F256</f>
        <v>0</v>
      </c>
      <c r="N256" s="8">
        <f>+Données!K256</f>
        <v>2840.1</v>
      </c>
      <c r="O256" s="8">
        <f>(Données!L256/Données!Y256)*1</f>
        <v>194888.26923076922</v>
      </c>
      <c r="P256" s="457">
        <f t="shared" si="11"/>
        <v>2796979.7792307688</v>
      </c>
      <c r="Q256" s="240">
        <f>+Données!X256</f>
        <v>66.5</v>
      </c>
      <c r="R256" s="457">
        <f t="shared" si="12"/>
        <v>42059.84630422209</v>
      </c>
    </row>
    <row r="257" spans="1:18" x14ac:dyDescent="0.25">
      <c r="A257" s="7">
        <f>Données!A257</f>
        <v>5857</v>
      </c>
      <c r="B257" s="27" t="str">
        <f>Données!B257</f>
        <v>Gilly</v>
      </c>
      <c r="C257" s="8">
        <f>Données!C257+Données!D257</f>
        <v>5260063.49</v>
      </c>
      <c r="D257" s="8">
        <f>+Données!G257+Données!H257+Données!S257</f>
        <v>31245.37</v>
      </c>
      <c r="E257" s="8">
        <f>+Données!E257</f>
        <v>0</v>
      </c>
      <c r="F257" s="8">
        <f>+Données!I257</f>
        <v>0</v>
      </c>
      <c r="G257" s="8">
        <f>+Données!J257</f>
        <v>35675.550000000003</v>
      </c>
      <c r="H257" s="8">
        <f>Données!U257</f>
        <v>-35827.82</v>
      </c>
      <c r="I257" s="215">
        <f>Données!V257</f>
        <v>0</v>
      </c>
      <c r="J257" s="215">
        <f>Données!W257</f>
        <v>-888.64</v>
      </c>
      <c r="K257" s="8">
        <f>+Données!Q257</f>
        <v>0</v>
      </c>
      <c r="L257" s="457">
        <f t="shared" si="10"/>
        <v>5290267.95</v>
      </c>
      <c r="M257" s="8">
        <f>+Données!F257</f>
        <v>0</v>
      </c>
      <c r="N257" s="8">
        <f>+Données!K257</f>
        <v>21221.55</v>
      </c>
      <c r="O257" s="8">
        <f>(Données!L257/Données!Y257)*1</f>
        <v>420306.65</v>
      </c>
      <c r="P257" s="457">
        <f t="shared" si="11"/>
        <v>5731796.1500000004</v>
      </c>
      <c r="Q257" s="240">
        <f>+Données!X257</f>
        <v>64.5</v>
      </c>
      <c r="R257" s="457">
        <f t="shared" si="12"/>
        <v>88865.056589147294</v>
      </c>
    </row>
    <row r="258" spans="1:18" x14ac:dyDescent="0.25">
      <c r="A258" s="7">
        <f>Données!A258</f>
        <v>5858</v>
      </c>
      <c r="B258" s="27" t="str">
        <f>Données!B258</f>
        <v>Luins</v>
      </c>
      <c r="C258" s="8">
        <f>Données!C258+Données!D258</f>
        <v>1924022.05</v>
      </c>
      <c r="D258" s="8">
        <f>+Données!G258+Données!H258+Données!S258</f>
        <v>15965.42</v>
      </c>
      <c r="E258" s="8">
        <f>+Données!E258</f>
        <v>0</v>
      </c>
      <c r="F258" s="8">
        <f>+Données!I258</f>
        <v>26062.26</v>
      </c>
      <c r="G258" s="8">
        <f>+Données!J258</f>
        <v>134330.93</v>
      </c>
      <c r="H258" s="8">
        <f>Données!U258</f>
        <v>-20864.740000000002</v>
      </c>
      <c r="I258" s="215">
        <f>Données!V258</f>
        <v>0</v>
      </c>
      <c r="J258" s="215">
        <f>Données!W258</f>
        <v>-3434.34</v>
      </c>
      <c r="K258" s="8">
        <f>+Données!Q258</f>
        <v>1921.53</v>
      </c>
      <c r="L258" s="457">
        <f t="shared" si="10"/>
        <v>2078003.11</v>
      </c>
      <c r="M258" s="8">
        <f>+Données!F258</f>
        <v>0</v>
      </c>
      <c r="N258" s="8">
        <f>+Données!K258</f>
        <v>1653.9</v>
      </c>
      <c r="O258" s="8">
        <f>(Données!L258/Données!Y258)*1</f>
        <v>158117.36666666667</v>
      </c>
      <c r="P258" s="457">
        <f t="shared" si="11"/>
        <v>2237774.3766666665</v>
      </c>
      <c r="Q258" s="240">
        <f>+Données!X258</f>
        <v>58.5</v>
      </c>
      <c r="R258" s="457">
        <f t="shared" si="12"/>
        <v>38252.553447293445</v>
      </c>
    </row>
    <row r="259" spans="1:18" x14ac:dyDescent="0.25">
      <c r="A259" s="7">
        <f>Données!A259</f>
        <v>5859</v>
      </c>
      <c r="B259" s="27" t="str">
        <f>Données!B259</f>
        <v>Mont-sur-Rolle</v>
      </c>
      <c r="C259" s="8">
        <f>Données!C259+Données!D259</f>
        <v>9073825.5600000005</v>
      </c>
      <c r="D259" s="8">
        <f>+Données!G259+Données!H259+Données!S259</f>
        <v>130981.39</v>
      </c>
      <c r="E259" s="8">
        <f>+Données!E259</f>
        <v>0</v>
      </c>
      <c r="F259" s="8">
        <f>+Données!I259</f>
        <v>251427.3</v>
      </c>
      <c r="G259" s="8">
        <f>+Données!J259</f>
        <v>120596.17</v>
      </c>
      <c r="H259" s="8">
        <f>Données!U259</f>
        <v>-44391.3</v>
      </c>
      <c r="I259" s="215">
        <f>Données!V259</f>
        <v>0</v>
      </c>
      <c r="J259" s="215">
        <f>Données!W259</f>
        <v>-25732.32</v>
      </c>
      <c r="K259" s="8">
        <f>+Données!Q259</f>
        <v>1342.99</v>
      </c>
      <c r="L259" s="457">
        <f t="shared" si="10"/>
        <v>9508049.790000001</v>
      </c>
      <c r="M259" s="8">
        <f>+Données!F259</f>
        <v>0</v>
      </c>
      <c r="N259" s="8">
        <f>+Données!K259</f>
        <v>26616.5</v>
      </c>
      <c r="O259" s="8">
        <f>(Données!L259/Données!Y259)*1</f>
        <v>682773.4</v>
      </c>
      <c r="P259" s="457">
        <f t="shared" si="11"/>
        <v>10217439.690000001</v>
      </c>
      <c r="Q259" s="240">
        <f>+Données!X259</f>
        <v>63.5</v>
      </c>
      <c r="R259" s="457">
        <f t="shared" si="12"/>
        <v>160904.56204724411</v>
      </c>
    </row>
    <row r="260" spans="1:18" x14ac:dyDescent="0.25">
      <c r="A260" s="7">
        <f>Données!A260</f>
        <v>5860</v>
      </c>
      <c r="B260" s="27" t="str">
        <f>Données!B260</f>
        <v>Perroy</v>
      </c>
      <c r="C260" s="8">
        <f>Données!C260+Données!D260</f>
        <v>6368323.9000000004</v>
      </c>
      <c r="D260" s="8">
        <f>+Données!G260+Données!H260+Données!S260</f>
        <v>75820.42</v>
      </c>
      <c r="E260" s="8">
        <f>+Données!E260</f>
        <v>0</v>
      </c>
      <c r="F260" s="8">
        <f>+Données!I260</f>
        <v>286540.95</v>
      </c>
      <c r="G260" s="8">
        <f>+Données!J260</f>
        <v>53145.32</v>
      </c>
      <c r="H260" s="8">
        <f>Données!U260</f>
        <v>-57853.54</v>
      </c>
      <c r="I260" s="215">
        <f>Données!V260</f>
        <v>0</v>
      </c>
      <c r="J260" s="215">
        <f>Données!W260</f>
        <v>-48297.53</v>
      </c>
      <c r="K260" s="8">
        <f>+Données!Q260</f>
        <v>43239.91</v>
      </c>
      <c r="L260" s="457">
        <f t="shared" si="10"/>
        <v>6720919.4300000006</v>
      </c>
      <c r="M260" s="8">
        <f>+Données!F260</f>
        <v>0</v>
      </c>
      <c r="N260" s="8">
        <f>+Données!K260</f>
        <v>4677.8999999999996</v>
      </c>
      <c r="O260" s="8">
        <f>(Données!L260/Données!Y260)*1</f>
        <v>542331.23076923075</v>
      </c>
      <c r="P260" s="457">
        <f t="shared" si="11"/>
        <v>7267928.560769232</v>
      </c>
      <c r="Q260" s="240">
        <f>+Données!X260</f>
        <v>58.5</v>
      </c>
      <c r="R260" s="457">
        <f t="shared" si="12"/>
        <v>124238.0950558843</v>
      </c>
    </row>
    <row r="261" spans="1:18" x14ac:dyDescent="0.25">
      <c r="A261" s="7">
        <f>Données!A261</f>
        <v>5861</v>
      </c>
      <c r="B261" s="27" t="str">
        <f>Données!B261</f>
        <v>Rolle</v>
      </c>
      <c r="C261" s="8">
        <f>Données!C261+Données!D261</f>
        <v>18293551.34</v>
      </c>
      <c r="D261" s="8">
        <f>+Données!G261+Données!H261+Données!S261</f>
        <v>29801521.170000002</v>
      </c>
      <c r="E261" s="8">
        <f>+Données!E261</f>
        <v>0</v>
      </c>
      <c r="F261" s="8">
        <f>+Données!I261</f>
        <v>655911.5</v>
      </c>
      <c r="G261" s="8">
        <f>+Données!J261</f>
        <v>1326774.3799999999</v>
      </c>
      <c r="H261" s="8">
        <f>Données!U261</f>
        <v>-332033.11</v>
      </c>
      <c r="I261" s="215">
        <f>Données!V261</f>
        <v>0</v>
      </c>
      <c r="J261" s="215">
        <f>Données!W261</f>
        <v>-61342.879999999997</v>
      </c>
      <c r="K261" s="8">
        <f>+Données!Q261</f>
        <v>32554.28</v>
      </c>
      <c r="L261" s="457">
        <f t="shared" si="10"/>
        <v>49716936.680000007</v>
      </c>
      <c r="M261" s="8">
        <f>+Données!F261</f>
        <v>0</v>
      </c>
      <c r="N261" s="8">
        <f>+Données!K261</f>
        <v>338690.9</v>
      </c>
      <c r="O261" s="8">
        <f>(Données!L261/Données!Y261)*1</f>
        <v>1864180.6</v>
      </c>
      <c r="P261" s="457">
        <f t="shared" si="11"/>
        <v>51919808.180000007</v>
      </c>
      <c r="Q261" s="240">
        <f>+Données!X261</f>
        <v>59.5</v>
      </c>
      <c r="R261" s="457">
        <f t="shared" si="12"/>
        <v>872601.81815126061</v>
      </c>
    </row>
    <row r="262" spans="1:18" x14ac:dyDescent="0.25">
      <c r="A262" s="7">
        <f>Données!A262</f>
        <v>5862</v>
      </c>
      <c r="B262" s="27" t="str">
        <f>Données!B262</f>
        <v>Tartegnin</v>
      </c>
      <c r="C262" s="8">
        <f>Données!C262+Données!D262</f>
        <v>587715.65</v>
      </c>
      <c r="D262" s="8">
        <f>+Données!G262+Données!H262+Données!S262</f>
        <v>2300.5700000000002</v>
      </c>
      <c r="E262" s="8">
        <f>+Données!E262</f>
        <v>0</v>
      </c>
      <c r="F262" s="8">
        <f>+Données!I262</f>
        <v>0</v>
      </c>
      <c r="G262" s="8">
        <f>+Données!J262</f>
        <v>6624.19</v>
      </c>
      <c r="H262" s="8">
        <f>Données!U262</f>
        <v>-26753.33</v>
      </c>
      <c r="I262" s="215">
        <f>Données!V262</f>
        <v>0</v>
      </c>
      <c r="J262" s="215">
        <f>Données!W262</f>
        <v>-74.75</v>
      </c>
      <c r="K262" s="8">
        <f>+Données!Q262</f>
        <v>3331.82</v>
      </c>
      <c r="L262" s="457">
        <f t="shared" si="10"/>
        <v>573144.14999999991</v>
      </c>
      <c r="M262" s="8">
        <f>+Données!F262</f>
        <v>0</v>
      </c>
      <c r="N262" s="8">
        <f>+Données!K262</f>
        <v>0</v>
      </c>
      <c r="O262" s="8">
        <f>(Données!L262/Données!Y262)*1</f>
        <v>50239.5</v>
      </c>
      <c r="P262" s="457">
        <f t="shared" si="11"/>
        <v>623383.64999999991</v>
      </c>
      <c r="Q262" s="240">
        <f>+Données!X262</f>
        <v>79</v>
      </c>
      <c r="R262" s="457">
        <f t="shared" si="12"/>
        <v>7890.9322784810111</v>
      </c>
    </row>
    <row r="263" spans="1:18" x14ac:dyDescent="0.25">
      <c r="A263" s="7">
        <f>Données!A263</f>
        <v>5863</v>
      </c>
      <c r="B263" s="27" t="str">
        <f>Données!B263</f>
        <v>Vinzel</v>
      </c>
      <c r="C263" s="8">
        <f>Données!C263+Données!D263</f>
        <v>1249194.19</v>
      </c>
      <c r="D263" s="8">
        <f>+Données!G263+Données!H263+Données!S263</f>
        <v>24901.399999999998</v>
      </c>
      <c r="E263" s="8">
        <f>+Données!E263</f>
        <v>0</v>
      </c>
      <c r="F263" s="8">
        <f>+Données!I263</f>
        <v>42873.3</v>
      </c>
      <c r="G263" s="8">
        <f>+Données!J263</f>
        <v>46887.76</v>
      </c>
      <c r="H263" s="8">
        <f>Données!U263</f>
        <v>-13258.33</v>
      </c>
      <c r="I263" s="215">
        <f>Données!V263</f>
        <v>0</v>
      </c>
      <c r="J263" s="215">
        <f>Données!W263</f>
        <v>-1671.28</v>
      </c>
      <c r="K263" s="8">
        <f>+Données!Q263</f>
        <v>0</v>
      </c>
      <c r="L263" s="457">
        <f t="shared" ref="L263:L305" si="13">SUM(C263:K263)</f>
        <v>1348927.0399999998</v>
      </c>
      <c r="M263" s="8">
        <f>+Données!F263</f>
        <v>0</v>
      </c>
      <c r="N263" s="8">
        <f>+Données!K263</f>
        <v>2189.4</v>
      </c>
      <c r="O263" s="8">
        <f>(Données!L263/Données!Y263)*1</f>
        <v>84223.2</v>
      </c>
      <c r="P263" s="457">
        <f t="shared" ref="P263:P305" si="14">SUM(L263:O263)</f>
        <v>1435339.6399999997</v>
      </c>
      <c r="Q263" s="240">
        <f>+Données!X263</f>
        <v>67</v>
      </c>
      <c r="R263" s="457">
        <f t="shared" ref="R263:R305" si="15">P263/Q263</f>
        <v>21422.979701492532</v>
      </c>
    </row>
    <row r="264" spans="1:18" x14ac:dyDescent="0.25">
      <c r="A264" s="7">
        <f>Données!A264</f>
        <v>5871</v>
      </c>
      <c r="B264" s="27" t="str">
        <f>Données!B264</f>
        <v>L'Abbaye</v>
      </c>
      <c r="C264" s="8">
        <f>Données!C264+Données!D264</f>
        <v>3575954</v>
      </c>
      <c r="D264" s="8">
        <f>+Données!G264+Données!H264+Données!S264</f>
        <v>149563.57</v>
      </c>
      <c r="E264" s="8">
        <f>+Données!E264</f>
        <v>0</v>
      </c>
      <c r="F264" s="8">
        <f>+Données!I264</f>
        <v>0</v>
      </c>
      <c r="G264" s="8">
        <f>+Données!J264</f>
        <v>75243.06</v>
      </c>
      <c r="H264" s="8">
        <f>Données!U264</f>
        <v>-88551.23</v>
      </c>
      <c r="I264" s="215">
        <f>Données!V264</f>
        <v>0</v>
      </c>
      <c r="J264" s="215">
        <f>Données!W264</f>
        <v>-372.69</v>
      </c>
      <c r="K264" s="8">
        <f>+Données!Q264</f>
        <v>58010.5</v>
      </c>
      <c r="L264" s="457">
        <f t="shared" si="13"/>
        <v>3769847.21</v>
      </c>
      <c r="M264" s="8">
        <f>+Données!F264</f>
        <v>0</v>
      </c>
      <c r="N264" s="8">
        <f>+Données!K264</f>
        <v>1864.6</v>
      </c>
      <c r="O264" s="8">
        <f>(Données!L264/Données!Y264)*1</f>
        <v>276305.8</v>
      </c>
      <c r="P264" s="457">
        <f t="shared" si="14"/>
        <v>4048017.61</v>
      </c>
      <c r="Q264" s="240">
        <f>+Données!X264</f>
        <v>77.650000000000006</v>
      </c>
      <c r="R264" s="457">
        <f t="shared" si="15"/>
        <v>52131.58544752092</v>
      </c>
    </row>
    <row r="265" spans="1:18" x14ac:dyDescent="0.25">
      <c r="A265" s="7">
        <f>Données!A265</f>
        <v>5872</v>
      </c>
      <c r="B265" s="27" t="str">
        <f>Données!B265</f>
        <v>Le Chenit</v>
      </c>
      <c r="C265" s="8">
        <f>Données!C265+Données!D265</f>
        <v>7595371.7199999997</v>
      </c>
      <c r="D265" s="8">
        <f>+Données!G265+Données!H265+Données!S265</f>
        <v>4475090.8999999994</v>
      </c>
      <c r="E265" s="8">
        <f>+Données!E265</f>
        <v>0</v>
      </c>
      <c r="F265" s="8">
        <f>+Données!I265</f>
        <v>0</v>
      </c>
      <c r="G265" s="8">
        <f>+Données!J265</f>
        <v>466676.81</v>
      </c>
      <c r="H265" s="8">
        <f>Données!U265</f>
        <v>-106252.5</v>
      </c>
      <c r="I265" s="215">
        <f>Données!V265</f>
        <v>0</v>
      </c>
      <c r="J265" s="215">
        <f>Données!W265</f>
        <v>-6231.42</v>
      </c>
      <c r="K265" s="8">
        <f>+Données!Q265</f>
        <v>68523.38</v>
      </c>
      <c r="L265" s="457">
        <f t="shared" si="13"/>
        <v>12493178.890000001</v>
      </c>
      <c r="M265" s="8">
        <f>+Données!F265</f>
        <v>0</v>
      </c>
      <c r="N265" s="8">
        <f>+Données!K265</f>
        <v>55805.05</v>
      </c>
      <c r="O265" s="8">
        <f>(Données!L265/Données!Y265)*1</f>
        <v>778011.3</v>
      </c>
      <c r="P265" s="457">
        <f t="shared" si="14"/>
        <v>13326995.240000002</v>
      </c>
      <c r="Q265" s="240">
        <f>+Données!X265</f>
        <v>66.989999999999995</v>
      </c>
      <c r="R265" s="457">
        <f t="shared" si="15"/>
        <v>198940.06926406932</v>
      </c>
    </row>
    <row r="266" spans="1:18" x14ac:dyDescent="0.25">
      <c r="A266" s="7">
        <f>Données!A266</f>
        <v>5873</v>
      </c>
      <c r="B266" s="27" t="str">
        <f>Données!B266</f>
        <v>Le Lieu</v>
      </c>
      <c r="C266" s="8">
        <f>Données!C266+Données!D266</f>
        <v>1733890.5</v>
      </c>
      <c r="D266" s="8">
        <f>+Données!G266+Données!H266+Données!S266</f>
        <v>269716.89</v>
      </c>
      <c r="E266" s="8">
        <f>+Données!E266</f>
        <v>0</v>
      </c>
      <c r="F266" s="8">
        <f>+Données!I266</f>
        <v>0</v>
      </c>
      <c r="G266" s="8">
        <f>+Données!J266</f>
        <v>64565.08</v>
      </c>
      <c r="H266" s="8">
        <f>Données!U266</f>
        <v>-23219.39</v>
      </c>
      <c r="I266" s="215">
        <f>Données!V266</f>
        <v>0</v>
      </c>
      <c r="J266" s="215">
        <f>Données!W266</f>
        <v>-402.41</v>
      </c>
      <c r="K266" s="8">
        <f>+Données!Q266</f>
        <v>9158.26</v>
      </c>
      <c r="L266" s="457">
        <f t="shared" si="13"/>
        <v>2053708.9300000004</v>
      </c>
      <c r="M266" s="8">
        <f>+Données!F266</f>
        <v>0</v>
      </c>
      <c r="N266" s="8">
        <f>+Données!K266</f>
        <v>0</v>
      </c>
      <c r="O266" s="8">
        <f>(Données!L266/Données!Y266)*1</f>
        <v>148716.43749999997</v>
      </c>
      <c r="P266" s="457">
        <f t="shared" si="14"/>
        <v>2202425.3675000002</v>
      </c>
      <c r="Q266" s="240">
        <f>+Données!X266</f>
        <v>70</v>
      </c>
      <c r="R266" s="457">
        <f t="shared" si="15"/>
        <v>31463.219535714288</v>
      </c>
    </row>
    <row r="267" spans="1:18" x14ac:dyDescent="0.25">
      <c r="A267" s="7">
        <f>Données!A267</f>
        <v>5882</v>
      </c>
      <c r="B267" s="27" t="str">
        <f>Données!B267</f>
        <v>Chardonne</v>
      </c>
      <c r="C267" s="8">
        <f>Données!C267+Données!D267</f>
        <v>10783665.02</v>
      </c>
      <c r="D267" s="8">
        <f>+Données!G267+Données!H267+Données!S267</f>
        <v>202693.38</v>
      </c>
      <c r="E267" s="8">
        <f>+Données!E267</f>
        <v>0</v>
      </c>
      <c r="F267" s="8">
        <f>+Données!I267</f>
        <v>577853.94999999995</v>
      </c>
      <c r="G267" s="8">
        <f>+Données!J267</f>
        <v>169623.76</v>
      </c>
      <c r="H267" s="8">
        <f>Données!U267</f>
        <v>-57817.440000000002</v>
      </c>
      <c r="I267" s="215">
        <f>Données!V267</f>
        <v>0</v>
      </c>
      <c r="J267" s="215">
        <f>Données!W267</f>
        <v>-32860.769999999997</v>
      </c>
      <c r="K267" s="8">
        <f>+Données!Q267</f>
        <v>12390.21</v>
      </c>
      <c r="L267" s="457">
        <f t="shared" si="13"/>
        <v>11655548.110000001</v>
      </c>
      <c r="M267" s="8">
        <f>+Données!F267</f>
        <v>0</v>
      </c>
      <c r="N267" s="8">
        <f>+Données!K267</f>
        <v>51194.35</v>
      </c>
      <c r="O267" s="8">
        <f>(Données!L267/Données!Y267)*1</f>
        <v>1005198.66</v>
      </c>
      <c r="P267" s="457">
        <f t="shared" si="14"/>
        <v>12711941.120000001</v>
      </c>
      <c r="Q267" s="240">
        <f>+Données!X267</f>
        <v>68</v>
      </c>
      <c r="R267" s="457">
        <f t="shared" si="15"/>
        <v>186940.3105882353</v>
      </c>
    </row>
    <row r="268" spans="1:18" x14ac:dyDescent="0.25">
      <c r="A268" s="7">
        <f>Données!A268</f>
        <v>5883</v>
      </c>
      <c r="B268" s="27" t="str">
        <f>Données!B268</f>
        <v>Corseaux</v>
      </c>
      <c r="C268" s="8">
        <f>Données!C268+Données!D268</f>
        <v>12065243.74</v>
      </c>
      <c r="D268" s="8">
        <f>+Données!G268+Données!H268+Données!S268</f>
        <v>89965.229999999981</v>
      </c>
      <c r="E268" s="8">
        <f>+Données!E268</f>
        <v>0</v>
      </c>
      <c r="F268" s="8">
        <f>+Données!I268</f>
        <v>375246.94</v>
      </c>
      <c r="G268" s="8">
        <f>+Données!J268</f>
        <v>-158220.06</v>
      </c>
      <c r="H268" s="8">
        <f>Données!U268</f>
        <v>-25677.83</v>
      </c>
      <c r="I268" s="215">
        <f>Données!V268</f>
        <v>0</v>
      </c>
      <c r="J268" s="215">
        <f>Données!W268</f>
        <v>-17532.259999999998</v>
      </c>
      <c r="K268" s="8">
        <f>+Données!Q268</f>
        <v>2879.24</v>
      </c>
      <c r="L268" s="457">
        <f t="shared" si="13"/>
        <v>12331905</v>
      </c>
      <c r="M268" s="8">
        <f>+Données!F268</f>
        <v>0</v>
      </c>
      <c r="N268" s="8">
        <f>+Données!K268</f>
        <v>16329.9</v>
      </c>
      <c r="O268" s="8">
        <f>(Données!L268/Données!Y268)*1</f>
        <v>685419.85</v>
      </c>
      <c r="P268" s="457">
        <f t="shared" si="14"/>
        <v>13033654.75</v>
      </c>
      <c r="Q268" s="240">
        <f>+Données!X268</f>
        <v>67.5</v>
      </c>
      <c r="R268" s="457">
        <f t="shared" si="15"/>
        <v>193091.18148148147</v>
      </c>
    </row>
    <row r="269" spans="1:18" x14ac:dyDescent="0.25">
      <c r="A269" s="7">
        <f>Données!A269</f>
        <v>5884</v>
      </c>
      <c r="B269" s="27" t="str">
        <f>Données!B269</f>
        <v>Corsier-sur-Vevey</v>
      </c>
      <c r="C269" s="8">
        <f>Données!C269+Données!D269</f>
        <v>6695797.6299999999</v>
      </c>
      <c r="D269" s="8">
        <f>+Données!G269+Données!H269+Données!S269</f>
        <v>1933889.7199999997</v>
      </c>
      <c r="E269" s="8">
        <f>+Données!E269</f>
        <v>0</v>
      </c>
      <c r="F269" s="8">
        <f>+Données!I269</f>
        <v>33220.85</v>
      </c>
      <c r="G269" s="8">
        <f>+Données!J269</f>
        <v>127959.97</v>
      </c>
      <c r="H269" s="8">
        <f>Données!U269</f>
        <v>-213574.81</v>
      </c>
      <c r="I269" s="215">
        <f>Données!V269</f>
        <v>0</v>
      </c>
      <c r="J269" s="215">
        <f>Données!W269</f>
        <v>-4080.92</v>
      </c>
      <c r="K269" s="8">
        <f>+Données!Q269</f>
        <v>13811.13</v>
      </c>
      <c r="L269" s="457">
        <f t="shared" si="13"/>
        <v>8587023.5700000003</v>
      </c>
      <c r="M269" s="8">
        <f>+Données!F269</f>
        <v>0</v>
      </c>
      <c r="N269" s="8">
        <f>+Données!K269</f>
        <v>187082.9</v>
      </c>
      <c r="O269" s="8">
        <f>(Données!L269/Données!Y269)*1</f>
        <v>823758.83333333337</v>
      </c>
      <c r="P269" s="457">
        <f t="shared" si="14"/>
        <v>9597865.3033333346</v>
      </c>
      <c r="Q269" s="240">
        <f>+Données!X269</f>
        <v>64.5</v>
      </c>
      <c r="R269" s="457">
        <f t="shared" si="15"/>
        <v>148804.11322997417</v>
      </c>
    </row>
    <row r="270" spans="1:18" x14ac:dyDescent="0.25">
      <c r="A270" s="7">
        <f>Données!A270</f>
        <v>5885</v>
      </c>
      <c r="B270" s="27" t="str">
        <f>Données!B270</f>
        <v>Jongny</v>
      </c>
      <c r="C270" s="8">
        <f>Données!C270+Données!D270</f>
        <v>6148691.0699999994</v>
      </c>
      <c r="D270" s="8">
        <f>+Données!G270+Données!H270+Données!S270</f>
        <v>50393.24</v>
      </c>
      <c r="E270" s="8">
        <f>+Données!E270</f>
        <v>0</v>
      </c>
      <c r="F270" s="8">
        <f>+Données!I270</f>
        <v>172503.95</v>
      </c>
      <c r="G270" s="8">
        <f>+Données!J270</f>
        <v>54698.69</v>
      </c>
      <c r="H270" s="8">
        <f>Données!U270</f>
        <v>-106805.73</v>
      </c>
      <c r="I270" s="215">
        <f>Données!V270</f>
        <v>0</v>
      </c>
      <c r="J270" s="215">
        <f>Données!W270</f>
        <v>-9533.7199999999993</v>
      </c>
      <c r="K270" s="8">
        <f>+Données!Q270</f>
        <v>3480.39</v>
      </c>
      <c r="L270" s="457">
        <f t="shared" si="13"/>
        <v>6313427.8899999997</v>
      </c>
      <c r="M270" s="8">
        <f>+Données!F270</f>
        <v>0</v>
      </c>
      <c r="N270" s="8">
        <f>+Données!K270</f>
        <v>-12632.95</v>
      </c>
      <c r="O270" s="8">
        <f>(Données!L270/Données!Y270)*1</f>
        <v>445896.66666666669</v>
      </c>
      <c r="P270" s="457">
        <f t="shared" si="14"/>
        <v>6746691.6066666665</v>
      </c>
      <c r="Q270" s="240">
        <f>+Données!X270</f>
        <v>69.5</v>
      </c>
      <c r="R270" s="457">
        <f t="shared" si="15"/>
        <v>97074.6993764988</v>
      </c>
    </row>
    <row r="271" spans="1:18" x14ac:dyDescent="0.25">
      <c r="A271" s="7">
        <f>Données!A271</f>
        <v>5886</v>
      </c>
      <c r="B271" s="27" t="str">
        <f>Données!B271</f>
        <v>Montreux</v>
      </c>
      <c r="C271" s="8">
        <f>Données!C271+Données!D271</f>
        <v>58618382.57</v>
      </c>
      <c r="D271" s="8">
        <f>+Données!G271+Données!H271+Données!S271</f>
        <v>4350256.87</v>
      </c>
      <c r="E271" s="8">
        <f>+Données!E271</f>
        <v>0</v>
      </c>
      <c r="F271" s="8">
        <f>+Données!I271</f>
        <v>4534589.04</v>
      </c>
      <c r="G271" s="8">
        <f>+Données!J271</f>
        <v>1980964.99</v>
      </c>
      <c r="H271" s="8">
        <f>Données!U271</f>
        <v>-886144.14</v>
      </c>
      <c r="I271" s="215">
        <f>Données!V271</f>
        <v>0</v>
      </c>
      <c r="J271" s="215">
        <f>Données!W271</f>
        <v>-97724.35</v>
      </c>
      <c r="K271" s="8">
        <f>+Données!Q271</f>
        <v>321489.27</v>
      </c>
      <c r="L271" s="457">
        <f t="shared" si="13"/>
        <v>68821814.25</v>
      </c>
      <c r="M271" s="8">
        <f>+Données!F271</f>
        <v>0</v>
      </c>
      <c r="N271" s="8">
        <f>+Données!K271</f>
        <v>627150.69999999995</v>
      </c>
      <c r="O271" s="8">
        <f>(Données!L271/Données!Y271)*1</f>
        <v>6858916.1799999997</v>
      </c>
      <c r="P271" s="457">
        <f t="shared" si="14"/>
        <v>76307881.129999995</v>
      </c>
      <c r="Q271" s="240">
        <f>+Données!X271</f>
        <v>65</v>
      </c>
      <c r="R271" s="457">
        <f t="shared" si="15"/>
        <v>1173967.402</v>
      </c>
    </row>
    <row r="272" spans="1:18" x14ac:dyDescent="0.25">
      <c r="A272" s="7">
        <f>Données!A272</f>
        <v>5889</v>
      </c>
      <c r="B272" s="27" t="str">
        <f>Données!B272</f>
        <v>La Tour-de-Peilz</v>
      </c>
      <c r="C272" s="8">
        <f>Données!C272+Données!D272</f>
        <v>34167716.170000002</v>
      </c>
      <c r="D272" s="8">
        <f>+Données!G272+Données!H272+Données!S272</f>
        <v>9254100.2100000009</v>
      </c>
      <c r="E272" s="8">
        <f>+Données!E272</f>
        <v>0</v>
      </c>
      <c r="F272" s="8">
        <f>+Données!I272</f>
        <v>675203.69</v>
      </c>
      <c r="G272" s="8">
        <f>+Données!J272</f>
        <v>645786.52</v>
      </c>
      <c r="H272" s="8">
        <f>Données!U272</f>
        <v>-303506.06</v>
      </c>
      <c r="I272" s="215">
        <f>Données!V272</f>
        <v>0</v>
      </c>
      <c r="J272" s="215">
        <f>Données!W272</f>
        <v>-112201.94</v>
      </c>
      <c r="K272" s="8">
        <f>+Données!Q272</f>
        <v>146154.68</v>
      </c>
      <c r="L272" s="457">
        <f t="shared" si="13"/>
        <v>44473253.270000003</v>
      </c>
      <c r="M272" s="8">
        <f>+Données!F272</f>
        <v>0</v>
      </c>
      <c r="N272" s="8">
        <f>+Données!K272</f>
        <v>306717.05</v>
      </c>
      <c r="O272" s="8">
        <f>(Données!L272/Données!Y272)*1</f>
        <v>2585703.5833333335</v>
      </c>
      <c r="P272" s="457">
        <f t="shared" si="14"/>
        <v>47365673.903333336</v>
      </c>
      <c r="Q272" s="240">
        <f>+Données!X272</f>
        <v>64</v>
      </c>
      <c r="R272" s="457">
        <f t="shared" si="15"/>
        <v>740088.65473958338</v>
      </c>
    </row>
    <row r="273" spans="1:18" x14ac:dyDescent="0.25">
      <c r="A273" s="7">
        <f>Données!A273</f>
        <v>5890</v>
      </c>
      <c r="B273" s="27" t="str">
        <f>Données!B273</f>
        <v>Vevey</v>
      </c>
      <c r="C273" s="8">
        <f>Données!C273+Données!D273</f>
        <v>43051261.190000005</v>
      </c>
      <c r="D273" s="8">
        <f>+Données!G273+Données!H273+Données!S273</f>
        <v>21311399.379999999</v>
      </c>
      <c r="E273" s="8">
        <f>+Données!E273</f>
        <v>0</v>
      </c>
      <c r="F273" s="8">
        <f>+Données!I273</f>
        <v>388358.83</v>
      </c>
      <c r="G273" s="8">
        <f>+Données!J273</f>
        <v>3327671</v>
      </c>
      <c r="H273" s="8">
        <f>Données!U273</f>
        <v>-698119.75</v>
      </c>
      <c r="I273" s="215">
        <f>Données!V273</f>
        <v>0</v>
      </c>
      <c r="J273" s="215">
        <f>Données!W273</f>
        <v>-38688.300000000003</v>
      </c>
      <c r="K273" s="8">
        <f>+Données!Q273</f>
        <v>191449.14</v>
      </c>
      <c r="L273" s="457">
        <f t="shared" si="13"/>
        <v>67533331.49000001</v>
      </c>
      <c r="M273" s="8">
        <f>+Données!F273</f>
        <v>0</v>
      </c>
      <c r="N273" s="8">
        <f>+Données!K273</f>
        <v>796821.45</v>
      </c>
      <c r="O273" s="8">
        <f>(Données!L273/Données!Y273)*1</f>
        <v>3852344.86</v>
      </c>
      <c r="P273" s="457">
        <f t="shared" si="14"/>
        <v>72182497.800000012</v>
      </c>
      <c r="Q273" s="240">
        <f>+Données!X273</f>
        <v>74.5</v>
      </c>
      <c r="R273" s="457">
        <f t="shared" si="15"/>
        <v>968892.58791946329</v>
      </c>
    </row>
    <row r="274" spans="1:18" x14ac:dyDescent="0.25">
      <c r="A274" s="7">
        <f>Données!A274</f>
        <v>5891</v>
      </c>
      <c r="B274" s="27" t="str">
        <f>Données!B274</f>
        <v>Veytaux</v>
      </c>
      <c r="C274" s="8">
        <f>Données!C274+Données!D274</f>
        <v>2233190.67</v>
      </c>
      <c r="D274" s="8">
        <f>+Données!G274+Données!H274+Données!S274</f>
        <v>102058.73</v>
      </c>
      <c r="E274" s="8">
        <f>+Données!E274</f>
        <v>0</v>
      </c>
      <c r="F274" s="8">
        <f>+Données!I274</f>
        <v>43104.95</v>
      </c>
      <c r="G274" s="8">
        <f>+Données!J274</f>
        <v>60495.839999999997</v>
      </c>
      <c r="H274" s="8">
        <f>Données!U274</f>
        <v>-38546.910000000003</v>
      </c>
      <c r="I274" s="215">
        <f>Données!V274</f>
        <v>0</v>
      </c>
      <c r="J274" s="215">
        <f>Données!W274</f>
        <v>-1163.5</v>
      </c>
      <c r="K274" s="8">
        <f>+Données!Q274</f>
        <v>9717.17</v>
      </c>
      <c r="L274" s="457">
        <f t="shared" si="13"/>
        <v>2408856.9499999997</v>
      </c>
      <c r="M274" s="8">
        <f>+Données!F274</f>
        <v>0</v>
      </c>
      <c r="N274" s="8">
        <f>+Données!K274</f>
        <v>15204.85</v>
      </c>
      <c r="O274" s="8">
        <f>(Données!L274/Données!Y274)*1</f>
        <v>294695.8</v>
      </c>
      <c r="P274" s="457">
        <f t="shared" si="14"/>
        <v>2718757.5999999996</v>
      </c>
      <c r="Q274" s="240">
        <f>+Données!X274</f>
        <v>69.5</v>
      </c>
      <c r="R274" s="457">
        <f t="shared" si="15"/>
        <v>39118.814388489205</v>
      </c>
    </row>
    <row r="275" spans="1:18" x14ac:dyDescent="0.25">
      <c r="A275" s="7">
        <f>Données!A275</f>
        <v>5892</v>
      </c>
      <c r="B275" s="27" t="str">
        <f>Données!B275</f>
        <v>Blonay-St-Légier</v>
      </c>
      <c r="C275" s="8">
        <f>Données!C275+Données!D275</f>
        <v>43986867.089999996</v>
      </c>
      <c r="D275" s="8">
        <f>+Données!G275+Données!H275+Données!S275</f>
        <v>714750.83</v>
      </c>
      <c r="E275" s="8">
        <f>+Données!E275</f>
        <v>0</v>
      </c>
      <c r="F275" s="8">
        <f>+Données!I275</f>
        <v>683562.22</v>
      </c>
      <c r="G275" s="8">
        <f>+Données!J275</f>
        <v>-113790.93</v>
      </c>
      <c r="H275" s="8">
        <f>Données!U275</f>
        <v>-577938.79</v>
      </c>
      <c r="I275" s="215">
        <f>Données!V275</f>
        <v>0</v>
      </c>
      <c r="J275" s="215">
        <f>Données!W275</f>
        <v>-52627.7</v>
      </c>
      <c r="K275" s="8">
        <f>+Données!Q275</f>
        <v>148092.65</v>
      </c>
      <c r="L275" s="457">
        <f t="shared" si="13"/>
        <v>44788915.36999999</v>
      </c>
      <c r="M275" s="8">
        <f>+Données!F275</f>
        <v>0</v>
      </c>
      <c r="N275" s="8">
        <f>+Données!K275</f>
        <v>120094.05</v>
      </c>
      <c r="O275" s="8">
        <f>(Données!L275/Données!Y275)*1</f>
        <v>3403210.3181818174</v>
      </c>
      <c r="P275" s="457">
        <f t="shared" si="14"/>
        <v>48312219.738181807</v>
      </c>
      <c r="Q275" s="240">
        <f>+Données!X275</f>
        <v>68.5</v>
      </c>
      <c r="R275" s="457">
        <f t="shared" si="15"/>
        <v>705287.87938951538</v>
      </c>
    </row>
    <row r="276" spans="1:18" x14ac:dyDescent="0.25">
      <c r="A276" s="7">
        <f>Données!A276</f>
        <v>5902</v>
      </c>
      <c r="B276" s="27" t="str">
        <f>Données!B276</f>
        <v>Belmont-sur-Yverdon</v>
      </c>
      <c r="C276" s="8">
        <f>Données!C276+Données!D276</f>
        <v>782946.94</v>
      </c>
      <c r="D276" s="8">
        <f>+Données!G276+Données!H276+Données!S276</f>
        <v>2391.0700000000002</v>
      </c>
      <c r="E276" s="8">
        <f>+Données!E276</f>
        <v>0</v>
      </c>
      <c r="F276" s="8">
        <f>+Données!I276</f>
        <v>0</v>
      </c>
      <c r="G276" s="8">
        <f>+Données!J276</f>
        <v>2692.1</v>
      </c>
      <c r="H276" s="8">
        <f>Données!U276</f>
        <v>-47.61</v>
      </c>
      <c r="I276" s="215">
        <f>Données!V276</f>
        <v>0</v>
      </c>
      <c r="J276" s="215">
        <f>Données!W276</f>
        <v>-135.94999999999999</v>
      </c>
      <c r="K276" s="8">
        <f>+Données!Q276</f>
        <v>0</v>
      </c>
      <c r="L276" s="457">
        <f t="shared" si="13"/>
        <v>787846.54999999993</v>
      </c>
      <c r="M276" s="8">
        <f>+Données!F276</f>
        <v>0</v>
      </c>
      <c r="N276" s="8">
        <f>+Données!K276</f>
        <v>0</v>
      </c>
      <c r="O276" s="8">
        <f>(Données!L276/Données!Y276)*1</f>
        <v>59786.55</v>
      </c>
      <c r="P276" s="457">
        <f t="shared" si="14"/>
        <v>847633.1</v>
      </c>
      <c r="Q276" s="240">
        <f>+Données!X276</f>
        <v>70</v>
      </c>
      <c r="R276" s="457">
        <f t="shared" si="15"/>
        <v>12109.044285714286</v>
      </c>
    </row>
    <row r="277" spans="1:18" x14ac:dyDescent="0.25">
      <c r="A277" s="7">
        <f>Données!A277</f>
        <v>5903</v>
      </c>
      <c r="B277" s="27" t="str">
        <f>Données!B277</f>
        <v>Bioley-Magnoux</v>
      </c>
      <c r="C277" s="8">
        <f>Données!C277+Données!D277</f>
        <v>401336.7</v>
      </c>
      <c r="D277" s="8">
        <f>+Données!G277+Données!H277+Données!S277</f>
        <v>-2117.1</v>
      </c>
      <c r="E277" s="8">
        <f>+Données!E277</f>
        <v>0</v>
      </c>
      <c r="F277" s="8">
        <f>+Données!I277</f>
        <v>0</v>
      </c>
      <c r="G277" s="8">
        <f>+Données!J277</f>
        <v>711.72</v>
      </c>
      <c r="H277" s="8">
        <f>Données!U277</f>
        <v>-2000.24</v>
      </c>
      <c r="I277" s="215">
        <f>Données!V277</f>
        <v>0</v>
      </c>
      <c r="J277" s="215">
        <f>Données!W277</f>
        <v>-143.72</v>
      </c>
      <c r="K277" s="8">
        <f>+Données!Q277</f>
        <v>0</v>
      </c>
      <c r="L277" s="457">
        <f t="shared" si="13"/>
        <v>397787.36000000004</v>
      </c>
      <c r="M277" s="8">
        <f>+Données!F277</f>
        <v>0</v>
      </c>
      <c r="N277" s="8">
        <f>+Données!K277</f>
        <v>0</v>
      </c>
      <c r="O277" s="8">
        <f>(Données!L277/Données!Y277)*1</f>
        <v>38714.785714285717</v>
      </c>
      <c r="P277" s="457">
        <f t="shared" si="14"/>
        <v>436502.14571428578</v>
      </c>
      <c r="Q277" s="240">
        <f>+Données!X277</f>
        <v>72</v>
      </c>
      <c r="R277" s="457">
        <f t="shared" si="15"/>
        <v>6062.5298015873022</v>
      </c>
    </row>
    <row r="278" spans="1:18" x14ac:dyDescent="0.25">
      <c r="A278" s="7">
        <f>Données!A278</f>
        <v>5904</v>
      </c>
      <c r="B278" s="27" t="str">
        <f>Données!B278</f>
        <v>Chamblon</v>
      </c>
      <c r="C278" s="8">
        <f>Données!C278+Données!D278</f>
        <v>1322310.7799999998</v>
      </c>
      <c r="D278" s="8">
        <f>+Données!G278+Données!H278+Données!S278</f>
        <v>19871.259999999998</v>
      </c>
      <c r="E278" s="8">
        <f>+Données!E278</f>
        <v>0</v>
      </c>
      <c r="F278" s="8">
        <f>+Données!I278</f>
        <v>0</v>
      </c>
      <c r="G278" s="8">
        <f>+Données!J278</f>
        <v>27953.1</v>
      </c>
      <c r="H278" s="8">
        <f>Données!U278</f>
        <v>-5642.34</v>
      </c>
      <c r="I278" s="215">
        <f>Données!V278</f>
        <v>0</v>
      </c>
      <c r="J278" s="215">
        <f>Données!W278</f>
        <v>-212.77</v>
      </c>
      <c r="K278" s="8">
        <f>+Données!Q278</f>
        <v>0</v>
      </c>
      <c r="L278" s="457">
        <f t="shared" si="13"/>
        <v>1364280.0299999998</v>
      </c>
      <c r="M278" s="8">
        <f>+Données!F278</f>
        <v>0</v>
      </c>
      <c r="N278" s="8">
        <f>+Données!K278</f>
        <v>1431.65</v>
      </c>
      <c r="O278" s="8">
        <f>(Données!L278/Données!Y278)*1</f>
        <v>97989.1</v>
      </c>
      <c r="P278" s="457">
        <f t="shared" si="14"/>
        <v>1463700.7799999998</v>
      </c>
      <c r="Q278" s="240">
        <f>+Données!X278</f>
        <v>66</v>
      </c>
      <c r="R278" s="457">
        <f t="shared" si="15"/>
        <v>22177.284545454542</v>
      </c>
    </row>
    <row r="279" spans="1:18" x14ac:dyDescent="0.25">
      <c r="A279" s="7">
        <f>Données!A279</f>
        <v>5905</v>
      </c>
      <c r="B279" s="27" t="str">
        <f>Données!B279</f>
        <v>Champvent</v>
      </c>
      <c r="C279" s="8">
        <f>Données!C279+Données!D279</f>
        <v>1317036.33</v>
      </c>
      <c r="D279" s="8">
        <f>+Données!G279+Données!H279+Données!S279</f>
        <v>178143.79</v>
      </c>
      <c r="E279" s="8">
        <f>+Données!E279</f>
        <v>0</v>
      </c>
      <c r="F279" s="8">
        <f>+Données!I279</f>
        <v>0</v>
      </c>
      <c r="G279" s="8">
        <f>+Données!J279</f>
        <v>27902.33</v>
      </c>
      <c r="H279" s="8">
        <f>Données!U279</f>
        <v>-3492.36</v>
      </c>
      <c r="I279" s="215">
        <f>Données!V279</f>
        <v>0</v>
      </c>
      <c r="J279" s="215">
        <f>Données!W279</f>
        <v>-614.89</v>
      </c>
      <c r="K279" s="8">
        <f>+Données!Q279</f>
        <v>465.13</v>
      </c>
      <c r="L279" s="457">
        <f t="shared" si="13"/>
        <v>1519440.33</v>
      </c>
      <c r="M279" s="8">
        <f>+Données!F279</f>
        <v>0</v>
      </c>
      <c r="N279" s="8">
        <f>+Données!K279</f>
        <v>3104.55</v>
      </c>
      <c r="O279" s="8">
        <f>(Données!L279/Données!Y279)*1</f>
        <v>107781</v>
      </c>
      <c r="P279" s="457">
        <f t="shared" si="14"/>
        <v>1630325.8800000001</v>
      </c>
      <c r="Q279" s="240">
        <f>+Données!X279</f>
        <v>70</v>
      </c>
      <c r="R279" s="457">
        <f t="shared" si="15"/>
        <v>23290.369714285716</v>
      </c>
    </row>
    <row r="280" spans="1:18" x14ac:dyDescent="0.25">
      <c r="A280" s="7">
        <f>Données!A280</f>
        <v>5907</v>
      </c>
      <c r="B280" s="27" t="str">
        <f>Données!B280</f>
        <v>Chavannes-le-Chêne</v>
      </c>
      <c r="C280" s="8">
        <f>Données!C280+Données!D280</f>
        <v>547006.25</v>
      </c>
      <c r="D280" s="8">
        <f>+Données!G280+Données!H280+Données!S280</f>
        <v>914.56</v>
      </c>
      <c r="E280" s="8">
        <f>+Données!E280</f>
        <v>0</v>
      </c>
      <c r="F280" s="8">
        <f>+Données!I280</f>
        <v>0</v>
      </c>
      <c r="G280" s="8">
        <f>+Données!J280</f>
        <v>-9093.52</v>
      </c>
      <c r="H280" s="8">
        <f>Données!U280</f>
        <v>-3075.95</v>
      </c>
      <c r="I280" s="215">
        <f>Données!V280</f>
        <v>0</v>
      </c>
      <c r="J280" s="215">
        <f>Données!W280</f>
        <v>-4.53</v>
      </c>
      <c r="K280" s="8">
        <f>+Données!Q280</f>
        <v>0</v>
      </c>
      <c r="L280" s="457">
        <f t="shared" si="13"/>
        <v>535746.81000000006</v>
      </c>
      <c r="M280" s="8">
        <f>+Données!F280</f>
        <v>2030</v>
      </c>
      <c r="N280" s="8">
        <f>+Données!K280</f>
        <v>520.70000000000005</v>
      </c>
      <c r="O280" s="8">
        <f>(Données!L280/Données!Y280)*1</f>
        <v>48075.75</v>
      </c>
      <c r="P280" s="457">
        <f t="shared" si="14"/>
        <v>586373.26</v>
      </c>
      <c r="Q280" s="240">
        <f>+Données!X280</f>
        <v>75</v>
      </c>
      <c r="R280" s="457">
        <f t="shared" si="15"/>
        <v>7818.3101333333334</v>
      </c>
    </row>
    <row r="281" spans="1:18" x14ac:dyDescent="0.25">
      <c r="A281" s="7">
        <f>Données!A281</f>
        <v>5908</v>
      </c>
      <c r="B281" s="27" t="str">
        <f>Données!B281</f>
        <v>Chêne-Pâquier</v>
      </c>
      <c r="C281" s="8">
        <f>Données!C281+Données!D281</f>
        <v>308949.82</v>
      </c>
      <c r="D281" s="8">
        <f>+Données!G281+Données!H281+Données!S281</f>
        <v>11527.599999999999</v>
      </c>
      <c r="E281" s="8">
        <f>+Données!E281</f>
        <v>0</v>
      </c>
      <c r="F281" s="8">
        <f>+Données!I281</f>
        <v>0</v>
      </c>
      <c r="G281" s="8">
        <f>+Données!J281</f>
        <v>11594.65</v>
      </c>
      <c r="H281" s="8">
        <f>Données!U281</f>
        <v>-7072.3</v>
      </c>
      <c r="I281" s="215">
        <f>Données!V281</f>
        <v>0</v>
      </c>
      <c r="J281" s="215">
        <f>Données!W281</f>
        <v>-49.33</v>
      </c>
      <c r="K281" s="8">
        <f>+Données!Q281</f>
        <v>0</v>
      </c>
      <c r="L281" s="457">
        <f t="shared" si="13"/>
        <v>324950.44</v>
      </c>
      <c r="M281" s="8">
        <f>+Données!F281</f>
        <v>0</v>
      </c>
      <c r="N281" s="8">
        <f>+Données!K281</f>
        <v>662.95</v>
      </c>
      <c r="O281" s="8">
        <f>(Données!L281/Données!Y281)*1</f>
        <v>23047.35</v>
      </c>
      <c r="P281" s="457">
        <f t="shared" si="14"/>
        <v>348660.74</v>
      </c>
      <c r="Q281" s="240">
        <f>+Données!X281</f>
        <v>79</v>
      </c>
      <c r="R281" s="457">
        <f t="shared" si="15"/>
        <v>4413.4270886075947</v>
      </c>
    </row>
    <row r="282" spans="1:18" x14ac:dyDescent="0.25">
      <c r="A282" s="7">
        <f>Données!A282</f>
        <v>5909</v>
      </c>
      <c r="B282" s="27" t="str">
        <f>Données!B282</f>
        <v>Cheseaux-Noréaz</v>
      </c>
      <c r="C282" s="8">
        <f>Données!C282+Données!D282</f>
        <v>2292853.7399999998</v>
      </c>
      <c r="D282" s="8">
        <f>+Données!G282+Données!H282+Données!S282</f>
        <v>-8473.9500000000007</v>
      </c>
      <c r="E282" s="8">
        <f>+Données!E282</f>
        <v>0</v>
      </c>
      <c r="F282" s="8">
        <f>+Données!I282</f>
        <v>0</v>
      </c>
      <c r="G282" s="8">
        <f>+Données!J282</f>
        <v>25369.15</v>
      </c>
      <c r="H282" s="8">
        <f>Données!U282</f>
        <v>-1915.8</v>
      </c>
      <c r="I282" s="215">
        <f>Données!V282</f>
        <v>0</v>
      </c>
      <c r="J282" s="215">
        <f>Données!W282</f>
        <v>-761.37</v>
      </c>
      <c r="K282" s="8">
        <f>+Données!Q282</f>
        <v>2108.14</v>
      </c>
      <c r="L282" s="457">
        <f t="shared" si="13"/>
        <v>2309179.9099999997</v>
      </c>
      <c r="M282" s="8">
        <f>+Données!F282</f>
        <v>0</v>
      </c>
      <c r="N282" s="8">
        <f>+Données!K282</f>
        <v>768.05</v>
      </c>
      <c r="O282" s="8">
        <f>(Données!L282/Données!Y282)*1</f>
        <v>163216.22</v>
      </c>
      <c r="P282" s="457">
        <f t="shared" si="14"/>
        <v>2473164.1799999997</v>
      </c>
      <c r="Q282" s="240">
        <f>+Données!X282</f>
        <v>67</v>
      </c>
      <c r="R282" s="457">
        <f t="shared" si="15"/>
        <v>36912.898208955223</v>
      </c>
    </row>
    <row r="283" spans="1:18" x14ac:dyDescent="0.25">
      <c r="A283" s="7">
        <f>Données!A283</f>
        <v>5910</v>
      </c>
      <c r="B283" s="27" t="str">
        <f>Données!B283</f>
        <v>Cronay</v>
      </c>
      <c r="C283" s="8">
        <f>Données!C283+Données!D283</f>
        <v>751573.59</v>
      </c>
      <c r="D283" s="8">
        <f>+Données!G283+Données!H283+Données!S283</f>
        <v>11003.98</v>
      </c>
      <c r="E283" s="8">
        <f>+Données!E283</f>
        <v>0</v>
      </c>
      <c r="F283" s="8">
        <f>+Données!I283</f>
        <v>0</v>
      </c>
      <c r="G283" s="8">
        <f>+Données!J283</f>
        <v>8599.1200000000008</v>
      </c>
      <c r="H283" s="8">
        <f>Données!U283</f>
        <v>-18196.66</v>
      </c>
      <c r="I283" s="215">
        <f>Données!V283</f>
        <v>0</v>
      </c>
      <c r="J283" s="215">
        <f>Données!W283</f>
        <v>0</v>
      </c>
      <c r="K283" s="8">
        <f>+Données!Q283</f>
        <v>0</v>
      </c>
      <c r="L283" s="457">
        <f t="shared" si="13"/>
        <v>752980.02999999991</v>
      </c>
      <c r="M283" s="8">
        <f>+Données!F283</f>
        <v>2200</v>
      </c>
      <c r="N283" s="8">
        <f>+Données!K283</f>
        <v>0</v>
      </c>
      <c r="O283" s="8">
        <f>(Données!L283/Données!Y283)*1</f>
        <v>61018</v>
      </c>
      <c r="P283" s="457">
        <f t="shared" si="14"/>
        <v>816198.02999999991</v>
      </c>
      <c r="Q283" s="240">
        <f>+Données!X283</f>
        <v>77</v>
      </c>
      <c r="R283" s="457">
        <f t="shared" si="15"/>
        <v>10599.974415584415</v>
      </c>
    </row>
    <row r="284" spans="1:18" x14ac:dyDescent="0.25">
      <c r="A284" s="7">
        <f>Données!A284</f>
        <v>5911</v>
      </c>
      <c r="B284" s="27" t="str">
        <f>Données!B284</f>
        <v>Cuarny</v>
      </c>
      <c r="C284" s="8">
        <f>Données!C284+Données!D284</f>
        <v>532427.22</v>
      </c>
      <c r="D284" s="8">
        <f>+Données!G284+Données!H284+Données!S284</f>
        <v>7890.18</v>
      </c>
      <c r="E284" s="8">
        <f>+Données!E284</f>
        <v>0</v>
      </c>
      <c r="F284" s="8">
        <f>+Données!I284</f>
        <v>0</v>
      </c>
      <c r="G284" s="8">
        <f>+Données!J284</f>
        <v>1364.8</v>
      </c>
      <c r="H284" s="8">
        <f>Données!U284</f>
        <v>-2706.69</v>
      </c>
      <c r="I284" s="215">
        <f>Données!V284</f>
        <v>0</v>
      </c>
      <c r="J284" s="215">
        <f>Données!W284</f>
        <v>-600.22</v>
      </c>
      <c r="K284" s="8">
        <f>+Données!Q284</f>
        <v>0</v>
      </c>
      <c r="L284" s="457">
        <f t="shared" si="13"/>
        <v>538375.29000000015</v>
      </c>
      <c r="M284" s="8">
        <f>+Données!F284</f>
        <v>1380</v>
      </c>
      <c r="N284" s="8">
        <f>+Données!K284</f>
        <v>2738.5</v>
      </c>
      <c r="O284" s="8">
        <f>(Données!L284/Données!Y284)*1</f>
        <v>35287.1</v>
      </c>
      <c r="P284" s="457">
        <f t="shared" si="14"/>
        <v>577780.89000000013</v>
      </c>
      <c r="Q284" s="240">
        <f>+Données!X284</f>
        <v>77</v>
      </c>
      <c r="R284" s="457">
        <f t="shared" si="15"/>
        <v>7503.6479220779238</v>
      </c>
    </row>
    <row r="285" spans="1:18" x14ac:dyDescent="0.25">
      <c r="A285" s="7">
        <f>Données!A285</f>
        <v>5912</v>
      </c>
      <c r="B285" s="27" t="str">
        <f>Données!B285</f>
        <v>Démoret</v>
      </c>
      <c r="C285" s="8">
        <f>Données!C285+Données!D285</f>
        <v>350946.35</v>
      </c>
      <c r="D285" s="8">
        <f>+Données!G285+Données!H285+Données!S285</f>
        <v>4391.21</v>
      </c>
      <c r="E285" s="8">
        <f>+Données!E285</f>
        <v>0</v>
      </c>
      <c r="F285" s="8">
        <f>+Données!I285</f>
        <v>0</v>
      </c>
      <c r="G285" s="8">
        <f>+Données!J285</f>
        <v>6624.13</v>
      </c>
      <c r="H285" s="8">
        <f>Données!U285</f>
        <v>-2205.6</v>
      </c>
      <c r="I285" s="215">
        <f>Données!V285</f>
        <v>0</v>
      </c>
      <c r="J285" s="215">
        <f>Données!W285</f>
        <v>0</v>
      </c>
      <c r="K285" s="8">
        <f>+Données!Q285</f>
        <v>0</v>
      </c>
      <c r="L285" s="457">
        <f t="shared" si="13"/>
        <v>359756.09</v>
      </c>
      <c r="M285" s="8">
        <f>+Données!F285</f>
        <v>880</v>
      </c>
      <c r="N285" s="8">
        <f>+Données!K285</f>
        <v>0</v>
      </c>
      <c r="O285" s="8">
        <f>(Données!L285/Données!Y285)*1</f>
        <v>21877.3</v>
      </c>
      <c r="P285" s="457">
        <f t="shared" si="14"/>
        <v>382513.39</v>
      </c>
      <c r="Q285" s="240">
        <f>+Données!X285</f>
        <v>81</v>
      </c>
      <c r="R285" s="457">
        <f t="shared" si="15"/>
        <v>4722.3875308641973</v>
      </c>
    </row>
    <row r="286" spans="1:18" x14ac:dyDescent="0.25">
      <c r="A286" s="7">
        <f>Données!A286</f>
        <v>5913</v>
      </c>
      <c r="B286" s="27" t="str">
        <f>Données!B286</f>
        <v>Donneloye</v>
      </c>
      <c r="C286" s="8">
        <f>Données!C286+Données!D286</f>
        <v>1613197.95</v>
      </c>
      <c r="D286" s="8">
        <f>+Données!G286+Données!H286+Données!S286</f>
        <v>3879.64</v>
      </c>
      <c r="E286" s="8">
        <f>+Données!E286</f>
        <v>0</v>
      </c>
      <c r="F286" s="8">
        <f>+Données!I286</f>
        <v>0</v>
      </c>
      <c r="G286" s="8">
        <f>+Données!J286</f>
        <v>21753.759999999998</v>
      </c>
      <c r="H286" s="8">
        <f>Données!U286</f>
        <v>-17825.29</v>
      </c>
      <c r="I286" s="215">
        <f>Données!V286</f>
        <v>0</v>
      </c>
      <c r="J286" s="215">
        <f>Données!W286</f>
        <v>-113.86</v>
      </c>
      <c r="K286" s="8">
        <f>+Données!Q286</f>
        <v>0</v>
      </c>
      <c r="L286" s="457">
        <f t="shared" si="13"/>
        <v>1620892.1999999997</v>
      </c>
      <c r="M286" s="8">
        <f>+Données!F286</f>
        <v>0</v>
      </c>
      <c r="N286" s="8">
        <f>+Données!K286</f>
        <v>1585.35</v>
      </c>
      <c r="O286" s="8">
        <f>(Données!L286/Données!Y286)*1</f>
        <v>121723</v>
      </c>
      <c r="P286" s="457">
        <f t="shared" si="14"/>
        <v>1744200.5499999998</v>
      </c>
      <c r="Q286" s="240">
        <f>+Données!X286</f>
        <v>73</v>
      </c>
      <c r="R286" s="457">
        <f t="shared" si="15"/>
        <v>23893.15821917808</v>
      </c>
    </row>
    <row r="287" spans="1:18" x14ac:dyDescent="0.25">
      <c r="A287" s="7">
        <f>Données!A287</f>
        <v>5914</v>
      </c>
      <c r="B287" s="27" t="str">
        <f>Données!B287</f>
        <v>Ependes</v>
      </c>
      <c r="C287" s="8">
        <f>Données!C287+Données!D287</f>
        <v>625914.66</v>
      </c>
      <c r="D287" s="8">
        <f>+Données!G287+Données!H287+Données!S287</f>
        <v>23204.97</v>
      </c>
      <c r="E287" s="8">
        <f>+Données!E287</f>
        <v>0</v>
      </c>
      <c r="F287" s="8">
        <f>+Données!I287</f>
        <v>0</v>
      </c>
      <c r="G287" s="8">
        <f>+Données!J287</f>
        <v>7438.26</v>
      </c>
      <c r="H287" s="8">
        <f>Données!U287</f>
        <v>-11855.03</v>
      </c>
      <c r="I287" s="215">
        <f>Données!V287</f>
        <v>0</v>
      </c>
      <c r="J287" s="215">
        <f>Données!W287</f>
        <v>-3.01</v>
      </c>
      <c r="K287" s="8">
        <f>+Données!Q287</f>
        <v>2446.0500000000002</v>
      </c>
      <c r="L287" s="457">
        <f t="shared" si="13"/>
        <v>647145.9</v>
      </c>
      <c r="M287" s="8">
        <f>+Données!F287</f>
        <v>2290</v>
      </c>
      <c r="N287" s="8">
        <f>+Données!K287</f>
        <v>8081.45</v>
      </c>
      <c r="O287" s="8">
        <f>(Données!L287/Données!Y287)*1</f>
        <v>64880.15</v>
      </c>
      <c r="P287" s="457">
        <f t="shared" si="14"/>
        <v>722397.5</v>
      </c>
      <c r="Q287" s="240">
        <f>+Données!X287</f>
        <v>73.5</v>
      </c>
      <c r="R287" s="457">
        <f t="shared" si="15"/>
        <v>9828.5374149659856</v>
      </c>
    </row>
    <row r="288" spans="1:18" x14ac:dyDescent="0.25">
      <c r="A288" s="7">
        <f>Données!A288</f>
        <v>5919</v>
      </c>
      <c r="B288" s="27" t="str">
        <f>Données!B288</f>
        <v>Mathod</v>
      </c>
      <c r="C288" s="8">
        <f>Données!C288+Données!D288</f>
        <v>1200523.8499999999</v>
      </c>
      <c r="D288" s="8">
        <f>+Données!G288+Données!H288+Données!S288</f>
        <v>15267.56</v>
      </c>
      <c r="E288" s="8">
        <f>+Données!E288</f>
        <v>0</v>
      </c>
      <c r="F288" s="8">
        <f>+Données!I288</f>
        <v>0</v>
      </c>
      <c r="G288" s="8">
        <f>+Données!J288</f>
        <v>23681.83</v>
      </c>
      <c r="H288" s="8">
        <f>Données!U288</f>
        <v>-26247.29</v>
      </c>
      <c r="I288" s="215">
        <f>Données!V288</f>
        <v>0</v>
      </c>
      <c r="J288" s="215">
        <f>Données!W288</f>
        <v>-66.72</v>
      </c>
      <c r="K288" s="8">
        <f>+Données!Q288</f>
        <v>1659.81</v>
      </c>
      <c r="L288" s="457">
        <f t="shared" si="13"/>
        <v>1214819.04</v>
      </c>
      <c r="M288" s="8">
        <f>+Données!F288</f>
        <v>3860</v>
      </c>
      <c r="N288" s="8">
        <f>+Données!K288</f>
        <v>9487.2999999999993</v>
      </c>
      <c r="O288" s="8">
        <f>(Données!L288/Données!Y288)*1</f>
        <v>117098.25</v>
      </c>
      <c r="P288" s="457">
        <f t="shared" si="14"/>
        <v>1345264.59</v>
      </c>
      <c r="Q288" s="240">
        <f>+Données!X288</f>
        <v>72</v>
      </c>
      <c r="R288" s="457">
        <f t="shared" si="15"/>
        <v>18684.230416666669</v>
      </c>
    </row>
    <row r="289" spans="1:18" x14ac:dyDescent="0.25">
      <c r="A289" s="7">
        <f>Données!A289</f>
        <v>5921</v>
      </c>
      <c r="B289" s="27" t="str">
        <f>Données!B289</f>
        <v>Molondin</v>
      </c>
      <c r="C289" s="8">
        <f>Données!C289+Données!D289</f>
        <v>433827.44</v>
      </c>
      <c r="D289" s="8">
        <f>+Données!G289+Données!H289+Données!S289</f>
        <v>12460.689999999999</v>
      </c>
      <c r="E289" s="8">
        <f>+Données!E289</f>
        <v>0</v>
      </c>
      <c r="F289" s="8">
        <f>+Données!I289</f>
        <v>0</v>
      </c>
      <c r="G289" s="8">
        <f>+Données!J289</f>
        <v>12004.38</v>
      </c>
      <c r="H289" s="8">
        <f>Données!U289</f>
        <v>-18273.919999999998</v>
      </c>
      <c r="I289" s="215">
        <f>Données!V289</f>
        <v>0</v>
      </c>
      <c r="J289" s="215">
        <f>Données!W289</f>
        <v>-19.93</v>
      </c>
      <c r="K289" s="8">
        <f>+Données!Q289</f>
        <v>0</v>
      </c>
      <c r="L289" s="457">
        <f t="shared" si="13"/>
        <v>439998.66000000003</v>
      </c>
      <c r="M289" s="8">
        <f>+Données!F289</f>
        <v>1420.9</v>
      </c>
      <c r="N289" s="8">
        <f>+Données!K289</f>
        <v>0</v>
      </c>
      <c r="O289" s="8">
        <f>(Données!L289/Données!Y289)*1</f>
        <v>34416.65</v>
      </c>
      <c r="P289" s="457">
        <f t="shared" si="14"/>
        <v>475836.21000000008</v>
      </c>
      <c r="Q289" s="240">
        <f>+Données!X289</f>
        <v>81</v>
      </c>
      <c r="R289" s="457">
        <f t="shared" si="15"/>
        <v>5874.5211111111121</v>
      </c>
    </row>
    <row r="290" spans="1:18" x14ac:dyDescent="0.25">
      <c r="A290" s="7">
        <f>Données!A290</f>
        <v>5922</v>
      </c>
      <c r="B290" s="27" t="str">
        <f>Données!B290</f>
        <v>Montagny-près-Yverdon</v>
      </c>
      <c r="C290" s="8">
        <f>Données!C290+Données!D290</f>
        <v>1648818.6600000001</v>
      </c>
      <c r="D290" s="8">
        <f>+Données!G290+Données!H290+Données!S290</f>
        <v>477187.80999999994</v>
      </c>
      <c r="E290" s="8">
        <f>+Données!E290</f>
        <v>0</v>
      </c>
      <c r="F290" s="8">
        <f>+Données!I290</f>
        <v>0</v>
      </c>
      <c r="G290" s="8">
        <f>+Données!J290</f>
        <v>91122.68</v>
      </c>
      <c r="H290" s="8">
        <f>Données!U290</f>
        <v>-29613.51</v>
      </c>
      <c r="I290" s="215">
        <f>Données!V290</f>
        <v>0</v>
      </c>
      <c r="J290" s="215">
        <f>Données!W290</f>
        <v>-444.96</v>
      </c>
      <c r="K290" s="8">
        <f>+Données!Q290</f>
        <v>8693.7900000000009</v>
      </c>
      <c r="L290" s="457">
        <f t="shared" si="13"/>
        <v>2195764.4700000007</v>
      </c>
      <c r="M290" s="8">
        <f>+Données!F290</f>
        <v>0</v>
      </c>
      <c r="N290" s="8">
        <f>+Données!K290</f>
        <v>29094.15</v>
      </c>
      <c r="O290" s="8">
        <f>(Données!L290/Données!Y290)*1</f>
        <v>328770.99999999994</v>
      </c>
      <c r="P290" s="457">
        <f t="shared" si="14"/>
        <v>2553629.6200000006</v>
      </c>
      <c r="Q290" s="240">
        <f>+Données!X290</f>
        <v>64.5</v>
      </c>
      <c r="R290" s="457">
        <f t="shared" si="15"/>
        <v>39591.156899224814</v>
      </c>
    </row>
    <row r="291" spans="1:18" x14ac:dyDescent="0.25">
      <c r="A291" s="7">
        <f>Données!A291</f>
        <v>5923</v>
      </c>
      <c r="B291" s="27" t="str">
        <f>Données!B291</f>
        <v>Oppens</v>
      </c>
      <c r="C291" s="8">
        <f>Données!C291+Données!D291</f>
        <v>377113.16</v>
      </c>
      <c r="D291" s="8">
        <f>+Données!G291+Données!H291+Données!S291</f>
        <v>-852.90000000000009</v>
      </c>
      <c r="E291" s="8">
        <f>+Données!E291</f>
        <v>0</v>
      </c>
      <c r="F291" s="8">
        <f>+Données!I291</f>
        <v>0</v>
      </c>
      <c r="G291" s="8">
        <f>+Données!J291</f>
        <v>15044.24</v>
      </c>
      <c r="H291" s="8">
        <f>Données!U291</f>
        <v>-5294.37</v>
      </c>
      <c r="I291" s="215">
        <f>Données!V291</f>
        <v>0</v>
      </c>
      <c r="J291" s="215">
        <f>Données!W291</f>
        <v>-0.17</v>
      </c>
      <c r="K291" s="8">
        <f>+Données!Q291</f>
        <v>364.95</v>
      </c>
      <c r="L291" s="457">
        <f t="shared" si="13"/>
        <v>386374.91</v>
      </c>
      <c r="M291" s="8">
        <f>+Données!F291</f>
        <v>0</v>
      </c>
      <c r="N291" s="8">
        <f>+Données!K291</f>
        <v>0</v>
      </c>
      <c r="O291" s="8">
        <f>(Données!L291/Données!Y291)*1</f>
        <v>26403.4</v>
      </c>
      <c r="P291" s="457">
        <f t="shared" si="14"/>
        <v>412778.31</v>
      </c>
      <c r="Q291" s="240">
        <f>+Données!X291</f>
        <v>81</v>
      </c>
      <c r="R291" s="457">
        <f t="shared" si="15"/>
        <v>5096.0285185185185</v>
      </c>
    </row>
    <row r="292" spans="1:18" x14ac:dyDescent="0.25">
      <c r="A292" s="7">
        <f>Données!A292</f>
        <v>5924</v>
      </c>
      <c r="B292" s="27" t="str">
        <f>Données!B292</f>
        <v>Orges</v>
      </c>
      <c r="C292" s="8">
        <f>Données!C292+Données!D292</f>
        <v>877776.53</v>
      </c>
      <c r="D292" s="8">
        <f>+Données!G292+Données!H292+Données!S292</f>
        <v>21364.14</v>
      </c>
      <c r="E292" s="8">
        <f>+Données!E292</f>
        <v>0</v>
      </c>
      <c r="F292" s="8">
        <f>+Données!I292</f>
        <v>0</v>
      </c>
      <c r="G292" s="8">
        <f>+Données!J292</f>
        <v>15442.3</v>
      </c>
      <c r="H292" s="8">
        <f>Données!U292</f>
        <v>-1776.21</v>
      </c>
      <c r="I292" s="215">
        <f>Données!V292</f>
        <v>0</v>
      </c>
      <c r="J292" s="215">
        <f>Données!W292</f>
        <v>-881.5</v>
      </c>
      <c r="K292" s="8">
        <f>+Données!Q292</f>
        <v>5.52</v>
      </c>
      <c r="L292" s="457">
        <f t="shared" si="13"/>
        <v>911930.78000000014</v>
      </c>
      <c r="M292" s="8">
        <f>+Données!F292</f>
        <v>0</v>
      </c>
      <c r="N292" s="8">
        <f>+Données!K292</f>
        <v>-179</v>
      </c>
      <c r="O292" s="8">
        <f>(Données!L292/Données!Y292)*1</f>
        <v>58334.75</v>
      </c>
      <c r="P292" s="457">
        <f t="shared" si="14"/>
        <v>970086.53000000014</v>
      </c>
      <c r="Q292" s="240">
        <f>+Données!X292</f>
        <v>74</v>
      </c>
      <c r="R292" s="457">
        <f t="shared" si="15"/>
        <v>13109.277432432435</v>
      </c>
    </row>
    <row r="293" spans="1:18" x14ac:dyDescent="0.25">
      <c r="A293" s="7">
        <f>Données!A293</f>
        <v>5925</v>
      </c>
      <c r="B293" s="27" t="str">
        <f>Données!B293</f>
        <v>Orzens</v>
      </c>
      <c r="C293" s="8">
        <f>Données!C293+Données!D293</f>
        <v>377194.33999999997</v>
      </c>
      <c r="D293" s="8">
        <f>+Données!G293+Données!H293+Données!S293</f>
        <v>4991.03</v>
      </c>
      <c r="E293" s="8">
        <f>+Données!E293</f>
        <v>0</v>
      </c>
      <c r="F293" s="8">
        <f>+Données!I293</f>
        <v>0</v>
      </c>
      <c r="G293" s="8">
        <f>+Données!J293</f>
        <v>10860.24</v>
      </c>
      <c r="H293" s="8">
        <f>Données!U293</f>
        <v>-12375.55</v>
      </c>
      <c r="I293" s="215">
        <f>Données!V293</f>
        <v>0</v>
      </c>
      <c r="J293" s="215">
        <f>Données!W293</f>
        <v>-245.38</v>
      </c>
      <c r="K293" s="8">
        <f>+Données!Q293</f>
        <v>257.86</v>
      </c>
      <c r="L293" s="457">
        <f t="shared" si="13"/>
        <v>380682.54</v>
      </c>
      <c r="M293" s="8">
        <f>+Données!F293</f>
        <v>1240</v>
      </c>
      <c r="N293" s="8">
        <f>+Données!K293</f>
        <v>0</v>
      </c>
      <c r="O293" s="8">
        <f>(Données!L293/Données!Y293)*1</f>
        <v>31278.400000000001</v>
      </c>
      <c r="P293" s="457">
        <f t="shared" si="14"/>
        <v>413200.94</v>
      </c>
      <c r="Q293" s="240">
        <f>+Données!X293</f>
        <v>79</v>
      </c>
      <c r="R293" s="457">
        <f t="shared" si="15"/>
        <v>5230.3916455696199</v>
      </c>
    </row>
    <row r="294" spans="1:18" x14ac:dyDescent="0.25">
      <c r="A294" s="7">
        <f>Données!A294</f>
        <v>5926</v>
      </c>
      <c r="B294" s="27" t="str">
        <f>Données!B294</f>
        <v>Pomy</v>
      </c>
      <c r="C294" s="8">
        <f>Données!C294+Données!D294</f>
        <v>1887479.4300000002</v>
      </c>
      <c r="D294" s="8">
        <f>+Données!G294+Données!H294+Données!S294</f>
        <v>22083.7</v>
      </c>
      <c r="E294" s="8">
        <f>+Données!E294</f>
        <v>0</v>
      </c>
      <c r="F294" s="8">
        <f>+Données!I294</f>
        <v>0</v>
      </c>
      <c r="G294" s="8">
        <f>+Données!J294</f>
        <v>19080.93</v>
      </c>
      <c r="H294" s="8">
        <f>Données!U294</f>
        <v>-81744.06</v>
      </c>
      <c r="I294" s="215">
        <f>Données!V294</f>
        <v>0</v>
      </c>
      <c r="J294" s="215">
        <f>Données!W294</f>
        <v>-194.64</v>
      </c>
      <c r="K294" s="8">
        <f>+Données!Q294</f>
        <v>118.75</v>
      </c>
      <c r="L294" s="457">
        <f t="shared" si="13"/>
        <v>1846824.11</v>
      </c>
      <c r="M294" s="8">
        <f>+Données!F294</f>
        <v>0</v>
      </c>
      <c r="N294" s="8">
        <f>+Données!K294</f>
        <v>0</v>
      </c>
      <c r="O294" s="8">
        <f>(Données!L294/Données!Y294)*1</f>
        <v>132240</v>
      </c>
      <c r="P294" s="457">
        <f t="shared" si="14"/>
        <v>1979064.11</v>
      </c>
      <c r="Q294" s="240">
        <f>+Données!X294</f>
        <v>71</v>
      </c>
      <c r="R294" s="457">
        <f t="shared" si="15"/>
        <v>27874.142394366198</v>
      </c>
    </row>
    <row r="295" spans="1:18" x14ac:dyDescent="0.25">
      <c r="A295" s="7">
        <f>Données!A295</f>
        <v>5928</v>
      </c>
      <c r="B295" s="27" t="str">
        <f>Données!B295</f>
        <v>Rovray</v>
      </c>
      <c r="C295" s="8">
        <f>Données!C295+Données!D295</f>
        <v>384904.47</v>
      </c>
      <c r="D295" s="8">
        <f>+Données!G295+Données!H295+Données!S295</f>
        <v>341.05</v>
      </c>
      <c r="E295" s="8">
        <f>+Données!E295</f>
        <v>0</v>
      </c>
      <c r="F295" s="8">
        <f>+Données!I295</f>
        <v>0</v>
      </c>
      <c r="G295" s="8">
        <f>+Données!J295</f>
        <v>-8779.6</v>
      </c>
      <c r="H295" s="8">
        <f>Données!U295</f>
        <v>-9588.84</v>
      </c>
      <c r="I295" s="215">
        <f>Données!V295</f>
        <v>0</v>
      </c>
      <c r="J295" s="215">
        <f>Données!W295</f>
        <v>0</v>
      </c>
      <c r="K295" s="8">
        <f>+Données!Q295</f>
        <v>0</v>
      </c>
      <c r="L295" s="457">
        <f t="shared" si="13"/>
        <v>366877.07999999996</v>
      </c>
      <c r="M295" s="8">
        <f>+Données!F295</f>
        <v>0</v>
      </c>
      <c r="N295" s="8">
        <f>+Données!K295</f>
        <v>0</v>
      </c>
      <c r="O295" s="8">
        <f>(Données!L295/Données!Y295)*1</f>
        <v>23473.3</v>
      </c>
      <c r="P295" s="457">
        <f t="shared" si="14"/>
        <v>390350.37999999995</v>
      </c>
      <c r="Q295" s="240">
        <f>+Données!X295</f>
        <v>71.5</v>
      </c>
      <c r="R295" s="457">
        <f t="shared" si="15"/>
        <v>5459.4458741258732</v>
      </c>
    </row>
    <row r="296" spans="1:18" x14ac:dyDescent="0.25">
      <c r="A296" s="7">
        <f>Données!A296</f>
        <v>5929</v>
      </c>
      <c r="B296" s="27" t="str">
        <f>Données!B296</f>
        <v>Suchy</v>
      </c>
      <c r="C296" s="8">
        <f>Données!C296+Données!D296</f>
        <v>1216951.27</v>
      </c>
      <c r="D296" s="8">
        <f>+Données!G296+Données!H296+Données!S296</f>
        <v>53223.31</v>
      </c>
      <c r="E296" s="8">
        <f>+Données!E296</f>
        <v>0</v>
      </c>
      <c r="F296" s="8">
        <f>+Données!I296</f>
        <v>41100.15</v>
      </c>
      <c r="G296" s="8">
        <f>+Données!J296</f>
        <v>3702.39</v>
      </c>
      <c r="H296" s="8">
        <f>Données!U296</f>
        <v>-12531.13</v>
      </c>
      <c r="I296" s="215">
        <f>Données!V296</f>
        <v>0</v>
      </c>
      <c r="J296" s="215">
        <f>Données!W296</f>
        <v>-29</v>
      </c>
      <c r="K296" s="8">
        <f>+Données!Q296</f>
        <v>0</v>
      </c>
      <c r="L296" s="457">
        <f t="shared" si="13"/>
        <v>1302416.99</v>
      </c>
      <c r="M296" s="8">
        <f>+Données!F296</f>
        <v>0</v>
      </c>
      <c r="N296" s="8">
        <f>+Données!K296</f>
        <v>0</v>
      </c>
      <c r="O296" s="8">
        <f>(Données!L296/Données!Y296)*1</f>
        <v>116107.68749999999</v>
      </c>
      <c r="P296" s="457">
        <f t="shared" si="14"/>
        <v>1418524.6775</v>
      </c>
      <c r="Q296" s="240">
        <f>+Données!X296</f>
        <v>70</v>
      </c>
      <c r="R296" s="457">
        <f t="shared" si="15"/>
        <v>20264.63825</v>
      </c>
    </row>
    <row r="297" spans="1:18" s="219" customFormat="1" x14ac:dyDescent="0.25">
      <c r="A297" s="7">
        <f>Données!A297</f>
        <v>5930</v>
      </c>
      <c r="B297" s="27" t="str">
        <f>Données!B297</f>
        <v>Suscévaz</v>
      </c>
      <c r="C297" s="8">
        <f>Données!C297+Données!D297</f>
        <v>450847.18</v>
      </c>
      <c r="D297" s="8">
        <f>+Données!G297+Données!H297+Données!S297</f>
        <v>1531.12</v>
      </c>
      <c r="E297" s="8">
        <f>+Données!E297</f>
        <v>0</v>
      </c>
      <c r="F297" s="8">
        <f>+Données!I297</f>
        <v>0</v>
      </c>
      <c r="G297" s="8">
        <f>+Données!J297</f>
        <v>4628.62</v>
      </c>
      <c r="H297" s="8">
        <f>Données!U297</f>
        <v>-9284.16</v>
      </c>
      <c r="I297" s="215">
        <f>Données!V297</f>
        <v>0</v>
      </c>
      <c r="J297" s="215">
        <f>Données!W297</f>
        <v>0</v>
      </c>
      <c r="K297" s="8">
        <f>+Données!Q297</f>
        <v>0</v>
      </c>
      <c r="L297" s="457">
        <f t="shared" si="13"/>
        <v>447722.76</v>
      </c>
      <c r="M297" s="8">
        <f>+Données!F297</f>
        <v>1170</v>
      </c>
      <c r="N297" s="8">
        <f>+Données!K297</f>
        <v>228.6</v>
      </c>
      <c r="O297" s="8">
        <f>(Données!L297/Données!Y297)*1</f>
        <v>30524.5</v>
      </c>
      <c r="P297" s="457">
        <f t="shared" si="14"/>
        <v>479645.86</v>
      </c>
      <c r="Q297" s="240">
        <f>+Données!X297</f>
        <v>72</v>
      </c>
      <c r="R297" s="457">
        <f t="shared" si="15"/>
        <v>6661.7480555555558</v>
      </c>
    </row>
    <row r="298" spans="1:18" x14ac:dyDescent="0.25">
      <c r="A298" s="7">
        <f>Données!A298</f>
        <v>5931</v>
      </c>
      <c r="B298" s="27" t="str">
        <f>Données!B298</f>
        <v>Treycovagnes</v>
      </c>
      <c r="C298" s="8">
        <f>Données!C298+Données!D298</f>
        <v>1021412.2100000001</v>
      </c>
      <c r="D298" s="8">
        <f>+Données!G298+Données!H298+Données!S298</f>
        <v>36884.870000000003</v>
      </c>
      <c r="E298" s="8">
        <f>+Données!E298</f>
        <v>0</v>
      </c>
      <c r="F298" s="8">
        <f>+Données!I298</f>
        <v>0</v>
      </c>
      <c r="G298" s="8">
        <f>+Données!J298</f>
        <v>10376.91</v>
      </c>
      <c r="H298" s="8">
        <f>Données!U298</f>
        <v>-4568.16</v>
      </c>
      <c r="I298" s="215">
        <f>Données!V298</f>
        <v>0</v>
      </c>
      <c r="J298" s="215">
        <f>Données!W298</f>
        <v>-41.03</v>
      </c>
      <c r="K298" s="8">
        <f>+Données!Q298</f>
        <v>0</v>
      </c>
      <c r="L298" s="457">
        <f t="shared" si="13"/>
        <v>1064064.8</v>
      </c>
      <c r="M298" s="8">
        <f>+Données!F298</f>
        <v>0</v>
      </c>
      <c r="N298" s="8">
        <f>+Données!K298</f>
        <v>781.4</v>
      </c>
      <c r="O298" s="8">
        <f>(Données!L298/Données!Y298)*1</f>
        <v>80371.8</v>
      </c>
      <c r="P298" s="457">
        <f t="shared" si="14"/>
        <v>1145218</v>
      </c>
      <c r="Q298" s="240">
        <f>+Données!X298</f>
        <v>75</v>
      </c>
      <c r="R298" s="457">
        <f t="shared" si="15"/>
        <v>15269.573333333334</v>
      </c>
    </row>
    <row r="299" spans="1:18" x14ac:dyDescent="0.25">
      <c r="A299" s="7">
        <f>Données!A299</f>
        <v>5932</v>
      </c>
      <c r="B299" s="27" t="str">
        <f>Données!B299</f>
        <v>Ursins</v>
      </c>
      <c r="C299" s="8">
        <f>Données!C299+Données!D299</f>
        <v>509146.61000000004</v>
      </c>
      <c r="D299" s="8">
        <f>+Données!G299+Données!H299+Données!S299</f>
        <v>705.80000000000007</v>
      </c>
      <c r="E299" s="8">
        <f>+Données!E299</f>
        <v>0</v>
      </c>
      <c r="F299" s="8">
        <f>+Données!I299</f>
        <v>46204.7</v>
      </c>
      <c r="G299" s="8">
        <f>+Données!J299</f>
        <v>1744.92</v>
      </c>
      <c r="H299" s="8">
        <f>Données!U299</f>
        <v>-18154.11</v>
      </c>
      <c r="I299" s="215">
        <f>Données!V299</f>
        <v>0</v>
      </c>
      <c r="J299" s="215">
        <f>Données!W299</f>
        <v>0</v>
      </c>
      <c r="K299" s="8">
        <f>+Données!Q299</f>
        <v>2970.43</v>
      </c>
      <c r="L299" s="457">
        <f t="shared" si="13"/>
        <v>542618.35000000009</v>
      </c>
      <c r="M299" s="8">
        <f>+Données!F299</f>
        <v>1410</v>
      </c>
      <c r="N299" s="8">
        <f>+Données!K299</f>
        <v>819.5</v>
      </c>
      <c r="O299" s="8">
        <f>(Données!L299/Données!Y299)*1</f>
        <v>32899.300000000003</v>
      </c>
      <c r="P299" s="457">
        <f t="shared" si="14"/>
        <v>577747.15000000014</v>
      </c>
      <c r="Q299" s="240">
        <f>+Données!X299</f>
        <v>75</v>
      </c>
      <c r="R299" s="457">
        <f t="shared" si="15"/>
        <v>7703.2953333333353</v>
      </c>
    </row>
    <row r="300" spans="1:18" x14ac:dyDescent="0.25">
      <c r="A300" s="7">
        <f>Données!A300</f>
        <v>5933</v>
      </c>
      <c r="B300" s="27" t="str">
        <f>Données!B300</f>
        <v>Valeyres-sous-Montagny</v>
      </c>
      <c r="C300" s="8">
        <f>Données!C300+Données!D300</f>
        <v>1267894.45</v>
      </c>
      <c r="D300" s="8">
        <f>+Données!G300+Données!H300+Données!S300</f>
        <v>14076.66</v>
      </c>
      <c r="E300" s="8">
        <f>+Données!E300</f>
        <v>0</v>
      </c>
      <c r="F300" s="8">
        <f>+Données!I300</f>
        <v>0</v>
      </c>
      <c r="G300" s="8">
        <f>+Données!J300</f>
        <v>17395.04</v>
      </c>
      <c r="H300" s="8">
        <f>Données!U300</f>
        <v>-29548.06</v>
      </c>
      <c r="I300" s="215">
        <f>Données!V300</f>
        <v>-14260.6</v>
      </c>
      <c r="J300" s="215">
        <f>Données!W300</f>
        <v>-2642.79</v>
      </c>
      <c r="K300" s="8">
        <f>+Données!Q300</f>
        <v>2884.24</v>
      </c>
      <c r="L300" s="457">
        <f t="shared" si="13"/>
        <v>1255798.9399999997</v>
      </c>
      <c r="M300" s="8">
        <f>+Données!F300</f>
        <v>0</v>
      </c>
      <c r="N300" s="8">
        <f>+Données!K300</f>
        <v>4918.05</v>
      </c>
      <c r="O300" s="8">
        <f>(Données!L300/Données!Y300)*1</f>
        <v>121538.15</v>
      </c>
      <c r="P300" s="457">
        <f t="shared" si="14"/>
        <v>1382255.1399999997</v>
      </c>
      <c r="Q300" s="240">
        <f>+Données!X300</f>
        <v>70.5</v>
      </c>
      <c r="R300" s="457">
        <f t="shared" si="15"/>
        <v>19606.455886524818</v>
      </c>
    </row>
    <row r="301" spans="1:18" x14ac:dyDescent="0.25">
      <c r="A301" s="7">
        <f>Données!A301</f>
        <v>5934</v>
      </c>
      <c r="B301" s="27" t="str">
        <f>Données!B301</f>
        <v>Valeyres-sous-Ursins</v>
      </c>
      <c r="C301" s="8">
        <f>Données!C301+Données!D301</f>
        <v>495592.52</v>
      </c>
      <c r="D301" s="8">
        <f>+Données!G301+Données!H301+Données!S301</f>
        <v>177.57</v>
      </c>
      <c r="E301" s="8">
        <f>+Données!E301</f>
        <v>0</v>
      </c>
      <c r="F301" s="8">
        <f>+Données!I301</f>
        <v>0</v>
      </c>
      <c r="G301" s="8">
        <f>+Données!J301</f>
        <v>18715.39</v>
      </c>
      <c r="H301" s="8">
        <f>Données!U301</f>
        <v>-4191.24</v>
      </c>
      <c r="I301" s="215">
        <f>Données!V301</f>
        <v>0</v>
      </c>
      <c r="J301" s="215">
        <f>Données!W301</f>
        <v>0</v>
      </c>
      <c r="K301" s="8">
        <f>+Données!Q301</f>
        <v>0</v>
      </c>
      <c r="L301" s="457">
        <f t="shared" si="13"/>
        <v>510294.24000000005</v>
      </c>
      <c r="M301" s="8">
        <f>+Données!F301</f>
        <v>1490</v>
      </c>
      <c r="N301" s="8">
        <f>+Données!K301</f>
        <v>34.700000000000003</v>
      </c>
      <c r="O301" s="8">
        <f>(Données!L301/Données!Y301)*1</f>
        <v>28588.35</v>
      </c>
      <c r="P301" s="457">
        <f t="shared" si="14"/>
        <v>540407.29</v>
      </c>
      <c r="Q301" s="240">
        <f>+Données!X301</f>
        <v>77</v>
      </c>
      <c r="R301" s="457">
        <f t="shared" si="15"/>
        <v>7018.2764935064943</v>
      </c>
    </row>
    <row r="302" spans="1:18" x14ac:dyDescent="0.25">
      <c r="A302" s="7">
        <f>Données!A302</f>
        <v>5935</v>
      </c>
      <c r="B302" s="27" t="str">
        <f>Données!B302</f>
        <v>Villars-Epeney</v>
      </c>
      <c r="C302" s="8">
        <f>Données!C302+Données!D302</f>
        <v>183660.87</v>
      </c>
      <c r="D302" s="8">
        <f>+Données!G302+Données!H302+Données!S302</f>
        <v>484.78000000000003</v>
      </c>
      <c r="E302" s="8">
        <f>+Données!E302</f>
        <v>0</v>
      </c>
      <c r="F302" s="8">
        <f>+Données!I302</f>
        <v>0</v>
      </c>
      <c r="G302" s="8">
        <f>+Données!J302</f>
        <v>2477.0700000000002</v>
      </c>
      <c r="H302" s="8">
        <f>Données!U302</f>
        <v>-24.25</v>
      </c>
      <c r="I302" s="215">
        <f>Données!V302</f>
        <v>0</v>
      </c>
      <c r="J302" s="215">
        <f>Données!W302</f>
        <v>-255.68</v>
      </c>
      <c r="K302" s="8">
        <f>+Données!Q302</f>
        <v>0</v>
      </c>
      <c r="L302" s="457">
        <f t="shared" si="13"/>
        <v>186342.79</v>
      </c>
      <c r="M302" s="8">
        <f>+Données!F302</f>
        <v>0</v>
      </c>
      <c r="N302" s="8">
        <f>+Données!K302</f>
        <v>0</v>
      </c>
      <c r="O302" s="8">
        <f>(Données!L302/Données!Y302)*1</f>
        <v>20549.55</v>
      </c>
      <c r="P302" s="457">
        <f t="shared" si="14"/>
        <v>206892.34</v>
      </c>
      <c r="Q302" s="240">
        <f>+Données!X302</f>
        <v>60</v>
      </c>
      <c r="R302" s="457">
        <f t="shared" si="15"/>
        <v>3448.2056666666667</v>
      </c>
    </row>
    <row r="303" spans="1:18" x14ac:dyDescent="0.25">
      <c r="A303" s="7">
        <f>Données!A303</f>
        <v>5937</v>
      </c>
      <c r="B303" s="27" t="str">
        <f>Données!B303</f>
        <v>Vugelles-La Mothe</v>
      </c>
      <c r="C303" s="8">
        <f>Données!C303+Données!D303</f>
        <v>236342.65000000002</v>
      </c>
      <c r="D303" s="8">
        <f>+Données!G303+Données!H303+Données!S303</f>
        <v>6331.93</v>
      </c>
      <c r="E303" s="8">
        <f>+Données!E303</f>
        <v>0</v>
      </c>
      <c r="F303" s="8">
        <f>+Données!I303</f>
        <v>0</v>
      </c>
      <c r="G303" s="8">
        <f>+Données!J303</f>
        <v>4311.78</v>
      </c>
      <c r="H303" s="8">
        <f>Données!U303</f>
        <v>-22710.7</v>
      </c>
      <c r="I303" s="215">
        <f>Données!V303</f>
        <v>0</v>
      </c>
      <c r="J303" s="215">
        <f>Données!W303</f>
        <v>-27.91</v>
      </c>
      <c r="K303" s="8">
        <f>+Données!Q303</f>
        <v>1938.72</v>
      </c>
      <c r="L303" s="457">
        <f t="shared" si="13"/>
        <v>226186.47</v>
      </c>
      <c r="M303" s="8">
        <f>+Données!F303</f>
        <v>0</v>
      </c>
      <c r="N303" s="8">
        <f>+Données!K303</f>
        <v>0</v>
      </c>
      <c r="O303" s="8">
        <f>(Données!L303/Données!Y303)*1</f>
        <v>17378.17142857143</v>
      </c>
      <c r="P303" s="457">
        <f t="shared" si="14"/>
        <v>243564.64142857143</v>
      </c>
      <c r="Q303" s="240">
        <f>+Données!X303</f>
        <v>70</v>
      </c>
      <c r="R303" s="457">
        <f t="shared" si="15"/>
        <v>3479.4948775510202</v>
      </c>
    </row>
    <row r="304" spans="1:18" x14ac:dyDescent="0.25">
      <c r="A304" s="7">
        <f>Données!A304</f>
        <v>5938</v>
      </c>
      <c r="B304" s="27" t="str">
        <f>Données!B304</f>
        <v>Yverdon-les-Bains</v>
      </c>
      <c r="C304" s="8">
        <f>Données!C304+Données!D304</f>
        <v>47405843.18</v>
      </c>
      <c r="D304" s="8">
        <f>+Données!G304+Données!H304+Données!S304</f>
        <v>4275338.6900000004</v>
      </c>
      <c r="E304" s="8">
        <f>+Données!E304</f>
        <v>0</v>
      </c>
      <c r="F304" s="8">
        <f>+Données!I304</f>
        <v>-73350.05</v>
      </c>
      <c r="G304" s="8">
        <f>+Données!J304</f>
        <v>1527061.42</v>
      </c>
      <c r="H304" s="8">
        <f>Données!U304</f>
        <v>-1612544.18</v>
      </c>
      <c r="I304" s="215">
        <f>Données!V304</f>
        <v>0</v>
      </c>
      <c r="J304" s="215">
        <f>Données!W304</f>
        <v>-21296.37</v>
      </c>
      <c r="K304" s="8">
        <f>+Données!Q304</f>
        <v>592665.73</v>
      </c>
      <c r="L304" s="457">
        <f t="shared" si="13"/>
        <v>52093718.420000002</v>
      </c>
      <c r="M304" s="8">
        <f>+Données!F304</f>
        <v>0</v>
      </c>
      <c r="N304" s="8">
        <f>+Données!K304</f>
        <v>700264</v>
      </c>
      <c r="O304" s="8">
        <f>(Données!L304/Données!Y304)*1</f>
        <v>4400574.8499999996</v>
      </c>
      <c r="P304" s="457">
        <f t="shared" si="14"/>
        <v>57194557.270000003</v>
      </c>
      <c r="Q304" s="240">
        <f>+Données!X304</f>
        <v>75</v>
      </c>
      <c r="R304" s="457">
        <f t="shared" si="15"/>
        <v>762594.09693333332</v>
      </c>
    </row>
    <row r="305" spans="1:18" x14ac:dyDescent="0.25">
      <c r="A305" s="7">
        <f>Données!A305</f>
        <v>5939</v>
      </c>
      <c r="B305" s="27" t="str">
        <f>Données!B305</f>
        <v>Yvonand</v>
      </c>
      <c r="C305" s="8">
        <f>Données!C305+Données!D305</f>
        <v>6672297.5200000005</v>
      </c>
      <c r="D305" s="8">
        <f>+Données!G305+Données!H305+Données!S305</f>
        <v>270739.49</v>
      </c>
      <c r="E305" s="8">
        <f>+Données!E305</f>
        <v>0</v>
      </c>
      <c r="F305" s="8">
        <f>+Données!I305</f>
        <v>0</v>
      </c>
      <c r="G305" s="8">
        <f>+Données!J305</f>
        <v>73635.88</v>
      </c>
      <c r="H305" s="8">
        <f>Données!U305</f>
        <v>-149908.45000000001</v>
      </c>
      <c r="I305" s="215">
        <f>Données!V305</f>
        <v>0</v>
      </c>
      <c r="J305" s="215">
        <f>Données!W305</f>
        <v>-499.18</v>
      </c>
      <c r="K305" s="8">
        <f>+Données!Q305</f>
        <v>21836.2</v>
      </c>
      <c r="L305" s="457">
        <f t="shared" si="13"/>
        <v>6888101.4600000009</v>
      </c>
      <c r="M305" s="8">
        <f>+Données!F305</f>
        <v>0</v>
      </c>
      <c r="N305" s="8">
        <f>+Données!K305</f>
        <v>53811.65</v>
      </c>
      <c r="O305" s="8">
        <f>(Données!L305/Données!Y305)*1</f>
        <v>588836.15</v>
      </c>
      <c r="P305" s="457">
        <f t="shared" si="14"/>
        <v>7530749.2600000016</v>
      </c>
      <c r="Q305" s="240">
        <f>+Données!X305</f>
        <v>71.5</v>
      </c>
      <c r="R305" s="457">
        <f t="shared" si="15"/>
        <v>105325.16447552449</v>
      </c>
    </row>
    <row r="306" spans="1:18" x14ac:dyDescent="0.25">
      <c r="A306" s="6"/>
      <c r="B306" s="19">
        <f>COUNTA(B6:B305)</f>
        <v>300</v>
      </c>
      <c r="C306" s="9">
        <f t="shared" ref="C306:P306" si="16">SUM(C6:C305)</f>
        <v>2048718118.1600008</v>
      </c>
      <c r="D306" s="9">
        <f t="shared" si="16"/>
        <v>337313937.20999992</v>
      </c>
      <c r="E306" s="9">
        <f t="shared" si="16"/>
        <v>0</v>
      </c>
      <c r="F306" s="9">
        <f t="shared" si="16"/>
        <v>40618993.310000017</v>
      </c>
      <c r="G306" s="9">
        <f t="shared" si="16"/>
        <v>64886069.479999989</v>
      </c>
      <c r="H306" s="9">
        <f t="shared" si="16"/>
        <v>-33089303.579999983</v>
      </c>
      <c r="I306" s="9">
        <f t="shared" si="16"/>
        <v>-22747.050000000003</v>
      </c>
      <c r="J306" s="9">
        <f t="shared" si="16"/>
        <v>-5414014.9799999995</v>
      </c>
      <c r="K306" s="9">
        <f t="shared" si="16"/>
        <v>8990129.9899999984</v>
      </c>
      <c r="L306" s="458">
        <f t="shared" si="16"/>
        <v>2462001182.539999</v>
      </c>
      <c r="M306" s="62">
        <f t="shared" si="16"/>
        <v>120769.35</v>
      </c>
      <c r="N306" s="9">
        <f t="shared" si="16"/>
        <v>20497665.900000002</v>
      </c>
      <c r="O306" s="9">
        <f t="shared" si="16"/>
        <v>186413219.79836681</v>
      </c>
      <c r="P306" s="458">
        <f t="shared" si="16"/>
        <v>2669032837.5883656</v>
      </c>
      <c r="Q306" s="17">
        <f>P306/R306</f>
        <v>67.586100811375815</v>
      </c>
      <c r="R306" s="458">
        <f t="shared" ref="R306" si="17">SUM(R6:R305)</f>
        <v>39490853.970660269</v>
      </c>
    </row>
    <row r="307" spans="1:18" x14ac:dyDescent="0.25">
      <c r="C307" s="5"/>
      <c r="E307" s="5"/>
      <c r="G307" s="5"/>
      <c r="H307" s="5"/>
      <c r="I307" s="5"/>
      <c r="J307" s="5"/>
      <c r="K307" s="5"/>
      <c r="L307" s="5"/>
      <c r="M307" s="5"/>
      <c r="N307" s="5"/>
      <c r="O307" s="206"/>
      <c r="P307" s="5"/>
      <c r="Q307" s="5"/>
      <c r="R307" s="5"/>
    </row>
    <row r="308" spans="1:18" x14ac:dyDescent="0.25">
      <c r="C308" s="5"/>
      <c r="H308" s="5"/>
      <c r="I308" s="5"/>
      <c r="J308" s="5"/>
      <c r="K308" s="5"/>
      <c r="L308" s="5"/>
      <c r="M308" s="5"/>
      <c r="P308" s="5"/>
      <c r="Q308" s="5"/>
      <c r="R308" s="5"/>
    </row>
    <row r="309" spans="1:18" x14ac:dyDescent="0.25">
      <c r="C309" s="5"/>
      <c r="I309" s="5"/>
      <c r="P309" s="5"/>
    </row>
    <row r="310" spans="1:18" x14ac:dyDescent="0.25">
      <c r="C310" s="5"/>
      <c r="G310" s="5"/>
      <c r="I310" s="29"/>
      <c r="P310" s="228"/>
    </row>
    <row r="311" spans="1:18" x14ac:dyDescent="0.25">
      <c r="G311" s="5"/>
    </row>
    <row r="312" spans="1:18" x14ac:dyDescent="0.25">
      <c r="G312" s="5"/>
    </row>
    <row r="313" spans="1:18" x14ac:dyDescent="0.25">
      <c r="G313" s="5"/>
    </row>
    <row r="314" spans="1:18" x14ac:dyDescent="0.25">
      <c r="G314" s="29"/>
    </row>
    <row r="315" spans="1:18" s="5" customFormat="1" x14ac:dyDescent="0.25">
      <c r="A315" s="4"/>
    </row>
  </sheetData>
  <mergeCells count="9">
    <mergeCell ref="O4:O5"/>
    <mergeCell ref="P4:P5"/>
    <mergeCell ref="A4:A5"/>
    <mergeCell ref="B4:B5"/>
    <mergeCell ref="K4:K5"/>
    <mergeCell ref="L4:L5"/>
    <mergeCell ref="H4:H5"/>
    <mergeCell ref="I4:I5"/>
    <mergeCell ref="J4:J5"/>
  </mergeCells>
  <phoneticPr fontId="0" type="noConversion"/>
  <hyperlinks>
    <hyperlink ref="E1" location="Données!A1" display="← Précédent" xr:uid="{BBD3D6D8-6A8D-46DD-B28F-66885CE3043A}"/>
    <hyperlink ref="F1" location="'Table des matières'!A1" display="Table des             matières" xr:uid="{A8DDC96E-1717-4FF4-AED1-4FC492DF2C51}"/>
    <hyperlink ref="G1" location="PCS!A1" display="Suivant →" xr:uid="{744A35FE-F150-4B65-9CDD-34566698A827}"/>
  </hyperlinks>
  <pageMargins left="0" right="0" top="0" bottom="0" header="0.51181102362204722" footer="0.51181102362204722"/>
  <pageSetup paperSize="8" scale="70" orientation="landscape" horizontalDpi="4294967292" verticalDpi="4294967292" r:id="rId1"/>
  <headerFooter alignWithMargins="0"/>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Feuil8">
    <tabColor rgb="FFC00000"/>
  </sheetPr>
  <dimension ref="A1:AC324"/>
  <sheetViews>
    <sheetView workbookViewId="0">
      <pane ySplit="11" topLeftCell="A12" activePane="bottomLeft" state="frozen"/>
      <selection pane="bottomLeft" activeCell="A12" sqref="A12"/>
    </sheetView>
  </sheetViews>
  <sheetFormatPr baseColWidth="10" defaultColWidth="10.75" defaultRowHeight="15" x14ac:dyDescent="0.25"/>
  <cols>
    <col min="1" max="1" width="7.25" style="11" customWidth="1"/>
    <col min="2" max="2" width="20.25" style="11" customWidth="1"/>
    <col min="3" max="3" width="16.25" style="11" customWidth="1"/>
    <col min="4" max="4" width="12.75" style="11" customWidth="1"/>
    <col min="5" max="5" width="16.125" style="11" customWidth="1"/>
    <col min="6" max="6" width="12.5" style="11" customWidth="1"/>
    <col min="7" max="7" width="12.125" style="11" customWidth="1"/>
    <col min="8" max="8" width="12.5" style="11" customWidth="1"/>
    <col min="9" max="9" width="10.75" style="219" bestFit="1" customWidth="1"/>
    <col min="10" max="10" width="14" style="11" customWidth="1"/>
    <col min="11" max="16" width="12.125" style="11" customWidth="1"/>
    <col min="17" max="19" width="8.125" style="11" customWidth="1"/>
    <col min="20" max="27" width="11" style="11" customWidth="1"/>
    <col min="28" max="28" width="9.25" style="11" customWidth="1"/>
    <col min="29" max="29" width="11" style="11" customWidth="1"/>
    <col min="30" max="16384" width="10.75" style="11"/>
  </cols>
  <sheetData>
    <row r="1" spans="1:29" s="33" customFormat="1" ht="26.25" x14ac:dyDescent="0.25">
      <c r="A1" s="281" t="s">
        <v>427</v>
      </c>
      <c r="B1" s="32"/>
      <c r="C1" s="49"/>
      <c r="D1" s="49"/>
      <c r="E1" s="411" t="s">
        <v>406</v>
      </c>
      <c r="F1" s="305" t="s">
        <v>398</v>
      </c>
      <c r="G1" s="503" t="s">
        <v>407</v>
      </c>
      <c r="H1" s="49"/>
      <c r="I1" s="221"/>
      <c r="J1" s="11"/>
      <c r="K1" s="11"/>
      <c r="L1" s="11"/>
      <c r="M1" s="11"/>
      <c r="N1" s="11"/>
      <c r="O1" s="11"/>
      <c r="P1" s="11"/>
      <c r="Q1" s="11"/>
      <c r="R1" s="11"/>
      <c r="S1" s="11"/>
      <c r="T1" s="11"/>
      <c r="U1" s="11"/>
      <c r="V1" s="11"/>
      <c r="W1" s="11"/>
      <c r="X1" s="11"/>
      <c r="Y1" s="11"/>
      <c r="Z1" s="11"/>
      <c r="AA1" s="11"/>
      <c r="AB1" s="11"/>
      <c r="AC1" s="11"/>
    </row>
    <row r="2" spans="1:29" s="33" customFormat="1" ht="15.75" x14ac:dyDescent="0.25">
      <c r="A2" s="358" t="str">
        <f>Paramètres!B4</f>
        <v>Acomptes 2023</v>
      </c>
      <c r="B2" s="32"/>
      <c r="C2" s="221"/>
      <c r="D2" s="221"/>
      <c r="E2" s="221"/>
      <c r="F2" s="221"/>
      <c r="G2" s="221"/>
      <c r="H2" s="221"/>
      <c r="I2" s="221"/>
      <c r="J2" s="219"/>
      <c r="K2" s="219"/>
      <c r="L2" s="219"/>
      <c r="M2" s="219"/>
      <c r="N2" s="219"/>
      <c r="O2" s="219"/>
      <c r="P2" s="219"/>
      <c r="Q2" s="219"/>
      <c r="R2" s="219"/>
      <c r="S2" s="219"/>
      <c r="T2" s="219"/>
      <c r="U2" s="219"/>
      <c r="V2" s="219"/>
      <c r="W2" s="219"/>
      <c r="X2" s="219"/>
      <c r="Y2" s="219"/>
      <c r="Z2" s="219"/>
      <c r="AA2" s="219"/>
      <c r="AB2" s="219"/>
      <c r="AC2" s="219"/>
    </row>
    <row r="3" spans="1:29" s="40" customFormat="1" x14ac:dyDescent="0.25">
      <c r="A3" s="22"/>
      <c r="D3" s="11"/>
      <c r="E3" s="11"/>
      <c r="F3" s="11"/>
      <c r="G3" s="11"/>
      <c r="H3" s="380"/>
      <c r="I3" s="380"/>
      <c r="J3" s="11"/>
      <c r="K3" s="11"/>
      <c r="L3" s="11"/>
      <c r="M3" s="11"/>
      <c r="N3" s="11"/>
      <c r="O3" s="11"/>
      <c r="P3" s="11"/>
      <c r="Q3" s="11"/>
      <c r="R3" s="11"/>
      <c r="S3" s="11"/>
      <c r="T3" s="11"/>
      <c r="U3" s="11"/>
      <c r="V3" s="11"/>
      <c r="W3" s="11"/>
      <c r="X3" s="11"/>
      <c r="Y3" s="11"/>
      <c r="Z3" s="11"/>
      <c r="AA3" s="11"/>
      <c r="AB3" s="11"/>
      <c r="AC3" s="11"/>
    </row>
    <row r="4" spans="1:29" s="40" customFormat="1" ht="15" customHeight="1" x14ac:dyDescent="0.25">
      <c r="A4" s="638" t="s">
        <v>415</v>
      </c>
      <c r="B4" s="639"/>
      <c r="C4" s="639"/>
      <c r="D4" s="331" t="s">
        <v>381</v>
      </c>
      <c r="E4" s="333" t="s">
        <v>381</v>
      </c>
      <c r="F4" s="219"/>
      <c r="G4" s="392"/>
      <c r="H4" s="392"/>
      <c r="I4" s="392"/>
      <c r="J4" s="11"/>
      <c r="K4" s="11"/>
      <c r="L4" s="11"/>
      <c r="M4" s="11"/>
      <c r="N4" s="11"/>
      <c r="O4" s="11"/>
      <c r="P4" s="11"/>
      <c r="Q4" s="11"/>
      <c r="R4" s="11"/>
      <c r="S4" s="11"/>
      <c r="T4" s="11"/>
      <c r="U4" s="11"/>
      <c r="V4" s="11"/>
      <c r="W4" s="11"/>
      <c r="X4" s="11"/>
      <c r="Y4" s="11"/>
      <c r="Z4" s="11"/>
      <c r="AA4" s="11"/>
      <c r="AB4" s="11"/>
      <c r="AC4" s="11"/>
    </row>
    <row r="5" spans="1:29" s="469" customFormat="1" ht="18" customHeight="1" x14ac:dyDescent="0.2">
      <c r="A5" s="647" t="s">
        <v>423</v>
      </c>
      <c r="B5" s="648"/>
      <c r="C5" s="466">
        <f>+Paramètres!B11</f>
        <v>796046500</v>
      </c>
      <c r="D5" s="467">
        <f>C5/$E$5</f>
        <v>20.157743374995707</v>
      </c>
      <c r="E5" s="468">
        <f>VPI!R306</f>
        <v>39490853.970660269</v>
      </c>
      <c r="F5" s="312"/>
      <c r="G5" s="392"/>
      <c r="H5" s="392"/>
      <c r="I5" s="392"/>
      <c r="J5" s="312"/>
      <c r="K5" s="312"/>
      <c r="L5" s="312"/>
      <c r="M5" s="312"/>
      <c r="N5" s="312"/>
      <c r="O5" s="312"/>
      <c r="P5" s="312"/>
      <c r="Q5" s="312"/>
      <c r="R5" s="312"/>
      <c r="S5" s="312"/>
      <c r="T5" s="312"/>
      <c r="U5" s="312"/>
      <c r="V5" s="312"/>
      <c r="W5" s="312"/>
      <c r="X5" s="312"/>
      <c r="Y5" s="312"/>
      <c r="Z5" s="312"/>
      <c r="AA5" s="312"/>
      <c r="AB5" s="312"/>
      <c r="AC5" s="312"/>
    </row>
    <row r="6" spans="1:29" s="469" customFormat="1" ht="18" customHeight="1" x14ac:dyDescent="0.2">
      <c r="A6" s="649" t="s">
        <v>309</v>
      </c>
      <c r="B6" s="650"/>
      <c r="C6" s="470">
        <f>-F312</f>
        <v>-172803202.24500003</v>
      </c>
      <c r="D6" s="471">
        <f>C6/$E$5</f>
        <v>-4.3757778034727783</v>
      </c>
      <c r="E6" s="472"/>
      <c r="F6" s="312"/>
      <c r="G6" s="392"/>
      <c r="H6" s="392"/>
      <c r="I6" s="392"/>
      <c r="J6" s="312"/>
      <c r="K6" s="312"/>
      <c r="L6" s="312"/>
      <c r="M6" s="312"/>
      <c r="N6" s="312"/>
      <c r="O6" s="312"/>
      <c r="P6" s="312"/>
      <c r="Q6" s="312"/>
      <c r="R6" s="312"/>
      <c r="S6" s="312"/>
      <c r="T6" s="312"/>
      <c r="U6" s="312"/>
      <c r="V6" s="312"/>
      <c r="W6" s="312"/>
      <c r="X6" s="312"/>
      <c r="Y6" s="312"/>
      <c r="Z6" s="312"/>
      <c r="AA6" s="312"/>
      <c r="AB6" s="312"/>
      <c r="AC6" s="312"/>
    </row>
    <row r="7" spans="1:29" s="469" customFormat="1" ht="18" customHeight="1" x14ac:dyDescent="0.2">
      <c r="A7" s="651" t="s">
        <v>310</v>
      </c>
      <c r="B7" s="652"/>
      <c r="C7" s="473">
        <f>-Ecrêtage!M306</f>
        <v>-121837380.39489655</v>
      </c>
      <c r="D7" s="474">
        <f>C7/$E$5</f>
        <v>-3.0852050068457784</v>
      </c>
      <c r="E7" s="472"/>
      <c r="F7" s="312"/>
      <c r="G7" s="392"/>
      <c r="H7" s="392"/>
      <c r="I7" s="392"/>
      <c r="J7" s="312"/>
      <c r="K7" s="312"/>
      <c r="L7" s="312"/>
      <c r="M7" s="312"/>
      <c r="N7" s="312"/>
      <c r="O7" s="312"/>
      <c r="P7" s="312"/>
      <c r="Q7" s="312"/>
      <c r="R7" s="312"/>
      <c r="S7" s="312"/>
      <c r="T7" s="312"/>
      <c r="U7" s="312"/>
      <c r="V7" s="312"/>
      <c r="W7" s="312"/>
      <c r="X7" s="312"/>
      <c r="Y7" s="312"/>
      <c r="Z7" s="312"/>
      <c r="AA7" s="312"/>
      <c r="AB7" s="312"/>
      <c r="AC7" s="312"/>
    </row>
    <row r="8" spans="1:29" s="469" customFormat="1" ht="18" customHeight="1" x14ac:dyDescent="0.2">
      <c r="A8" s="647" t="s">
        <v>424</v>
      </c>
      <c r="B8" s="648"/>
      <c r="C8" s="466">
        <f>C5+C7+C6</f>
        <v>501405917.36010349</v>
      </c>
      <c r="D8" s="467">
        <f>C8/$E$5</f>
        <v>12.696760564677154</v>
      </c>
      <c r="E8" s="472"/>
      <c r="F8" s="312"/>
      <c r="G8" s="392"/>
      <c r="H8" s="392"/>
      <c r="I8" s="392"/>
      <c r="J8" s="312"/>
      <c r="K8" s="312"/>
      <c r="L8" s="312"/>
      <c r="M8" s="312"/>
      <c r="N8" s="312"/>
      <c r="O8" s="312"/>
      <c r="P8" s="312"/>
      <c r="Q8" s="312"/>
      <c r="R8" s="312"/>
      <c r="S8" s="312"/>
      <c r="T8" s="312"/>
      <c r="U8" s="312"/>
      <c r="V8" s="312"/>
      <c r="W8" s="312"/>
      <c r="X8" s="312"/>
      <c r="Y8" s="312"/>
      <c r="Z8" s="312"/>
      <c r="AA8" s="312"/>
      <c r="AB8" s="312"/>
      <c r="AC8" s="312"/>
    </row>
    <row r="9" spans="1:29" s="40" customFormat="1" x14ac:dyDescent="0.25">
      <c r="A9" s="22"/>
      <c r="D9" s="11"/>
      <c r="E9" s="11"/>
      <c r="F9" s="11"/>
      <c r="G9" s="11"/>
      <c r="J9" s="11"/>
      <c r="K9" s="11"/>
      <c r="L9" s="11"/>
      <c r="M9" s="11"/>
      <c r="N9" s="11"/>
      <c r="O9" s="11"/>
      <c r="P9" s="11"/>
      <c r="Q9" s="11"/>
      <c r="R9" s="11"/>
      <c r="S9" s="11"/>
      <c r="T9" s="11"/>
      <c r="U9" s="11"/>
      <c r="V9" s="11"/>
      <c r="W9" s="11"/>
      <c r="X9" s="11"/>
      <c r="Y9" s="11"/>
      <c r="Z9" s="11"/>
      <c r="AA9" s="11"/>
      <c r="AB9" s="11"/>
      <c r="AC9" s="11"/>
    </row>
    <row r="10" spans="1:29" ht="49.5" customHeight="1" x14ac:dyDescent="0.25">
      <c r="A10" s="640" t="s">
        <v>44</v>
      </c>
      <c r="B10" s="644" t="s">
        <v>84</v>
      </c>
      <c r="C10" s="640" t="s">
        <v>499</v>
      </c>
      <c r="D10" s="321" t="s">
        <v>422</v>
      </c>
      <c r="E10" s="321" t="s">
        <v>533</v>
      </c>
      <c r="F10" s="640" t="s">
        <v>350</v>
      </c>
      <c r="G10" s="644" t="s">
        <v>365</v>
      </c>
      <c r="H10" s="331" t="s">
        <v>487</v>
      </c>
      <c r="I10" s="642" t="s">
        <v>334</v>
      </c>
    </row>
    <row r="11" spans="1:29" ht="14.45" customHeight="1" x14ac:dyDescent="0.25">
      <c r="A11" s="641"/>
      <c r="B11" s="645"/>
      <c r="C11" s="646"/>
      <c r="D11" s="322">
        <f>Paramètres!B20</f>
        <v>0.3</v>
      </c>
      <c r="E11" s="323">
        <f>Paramètres!B19</f>
        <v>0.5</v>
      </c>
      <c r="F11" s="641"/>
      <c r="G11" s="645"/>
      <c r="H11" s="475">
        <f>D8</f>
        <v>12.696760564677154</v>
      </c>
      <c r="I11" s="643"/>
    </row>
    <row r="12" spans="1:29" x14ac:dyDescent="0.25">
      <c r="A12" s="36">
        <f>Données!A6</f>
        <v>5401</v>
      </c>
      <c r="B12" s="554" t="str">
        <f>Données!B6</f>
        <v>Aigle</v>
      </c>
      <c r="C12" s="332">
        <f>VPI!R6</f>
        <v>280916.50972222222</v>
      </c>
      <c r="D12" s="41">
        <f>Données!N6</f>
        <v>1208164.8999999999</v>
      </c>
      <c r="E12" s="238">
        <f>Données!O6+Données!P6+Données!R6</f>
        <v>2198110.25</v>
      </c>
      <c r="F12" s="504">
        <f>D12*$D$11+E12*$E$11</f>
        <v>1461504.595</v>
      </c>
      <c r="G12" s="504">
        <f>Ecrêtage!M6</f>
        <v>0</v>
      </c>
      <c r="H12" s="505">
        <f t="shared" ref="H12" si="0">$H$11*C12</f>
        <v>3566729.6626078575</v>
      </c>
      <c r="I12" s="324">
        <f t="shared" ref="I12" si="1">F12+H12+G12</f>
        <v>5028234.2576078577</v>
      </c>
    </row>
    <row r="13" spans="1:29" s="35" customFormat="1" x14ac:dyDescent="0.25">
      <c r="A13" s="38">
        <f>Données!A7</f>
        <v>5402</v>
      </c>
      <c r="B13" s="555" t="str">
        <f>Données!B7</f>
        <v>Bex</v>
      </c>
      <c r="C13" s="31">
        <f>VPI!R7</f>
        <v>192666.65084507043</v>
      </c>
      <c r="D13" s="8">
        <f>Données!N7</f>
        <v>360746.15</v>
      </c>
      <c r="E13" s="238">
        <f>Données!O7+Données!P7+Données!R7</f>
        <v>1585982.05</v>
      </c>
      <c r="F13" s="504">
        <f t="shared" ref="F13:F76" si="2">D13*$D$11+E13*$E$11</f>
        <v>901214.87</v>
      </c>
      <c r="G13" s="504">
        <f>Ecrêtage!M7</f>
        <v>0</v>
      </c>
      <c r="H13" s="505">
        <f t="shared" ref="H13:H76" si="3">$H$11*C13</f>
        <v>2446242.3345781127</v>
      </c>
      <c r="I13" s="324">
        <f t="shared" ref="I13:I76" si="4">F13+H13+G13</f>
        <v>3347457.2045781128</v>
      </c>
    </row>
    <row r="14" spans="1:29" s="35" customFormat="1" x14ac:dyDescent="0.25">
      <c r="A14" s="38">
        <f>Données!A8</f>
        <v>5403</v>
      </c>
      <c r="B14" s="555" t="str">
        <f>Données!B8</f>
        <v>Chessel</v>
      </c>
      <c r="C14" s="31">
        <f>VPI!R8</f>
        <v>12085.365135135135</v>
      </c>
      <c r="D14" s="8">
        <f>Données!N8</f>
        <v>5448.25</v>
      </c>
      <c r="E14" s="238">
        <f>Données!O8+Données!P8+Données!R8</f>
        <v>77839.199999999997</v>
      </c>
      <c r="F14" s="504">
        <f t="shared" si="2"/>
        <v>40554.074999999997</v>
      </c>
      <c r="G14" s="504">
        <f>Ecrêtage!M8</f>
        <v>0</v>
      </c>
      <c r="H14" s="505">
        <f t="shared" si="3"/>
        <v>153444.98745750796</v>
      </c>
      <c r="I14" s="324">
        <f t="shared" si="4"/>
        <v>193999.06245750794</v>
      </c>
    </row>
    <row r="15" spans="1:29" s="35" customFormat="1" x14ac:dyDescent="0.25">
      <c r="A15" s="38">
        <f>Données!A9</f>
        <v>5404</v>
      </c>
      <c r="B15" s="555" t="str">
        <f>Données!B9</f>
        <v>Corbeyrier</v>
      </c>
      <c r="C15" s="31">
        <f>VPI!R9</f>
        <v>11580.799189189189</v>
      </c>
      <c r="D15" s="8">
        <f>Données!N9</f>
        <v>20708.849999999999</v>
      </c>
      <c r="E15" s="238">
        <f>Données!O9+Données!P9+Données!R9</f>
        <v>97072.25</v>
      </c>
      <c r="F15" s="504">
        <f t="shared" si="2"/>
        <v>54748.78</v>
      </c>
      <c r="G15" s="504">
        <f>Ecrêtage!M9</f>
        <v>0</v>
      </c>
      <c r="H15" s="505">
        <f t="shared" si="3"/>
        <v>147038.63445274247</v>
      </c>
      <c r="I15" s="324">
        <f t="shared" si="4"/>
        <v>201787.41445274247</v>
      </c>
    </row>
    <row r="16" spans="1:29" s="35" customFormat="1" x14ac:dyDescent="0.25">
      <c r="A16" s="38">
        <f>Données!A10</f>
        <v>5405</v>
      </c>
      <c r="B16" s="555" t="str">
        <f>Données!B10</f>
        <v>Gryon</v>
      </c>
      <c r="C16" s="31">
        <f>VPI!R10</f>
        <v>78106.688299319736</v>
      </c>
      <c r="D16" s="8">
        <f>Données!N10</f>
        <v>4448.5</v>
      </c>
      <c r="E16" s="238">
        <f>Données!O10+Données!P10+Données!R10</f>
        <v>1453263.7</v>
      </c>
      <c r="F16" s="504">
        <f t="shared" si="2"/>
        <v>727966.4</v>
      </c>
      <c r="G16" s="504">
        <f>Ecrêtage!M10</f>
        <v>174393.65599799296</v>
      </c>
      <c r="H16" s="505">
        <f t="shared" si="3"/>
        <v>991701.91983633337</v>
      </c>
      <c r="I16" s="324">
        <f t="shared" si="4"/>
        <v>1894061.9758343264</v>
      </c>
    </row>
    <row r="17" spans="1:9" s="35" customFormat="1" x14ac:dyDescent="0.25">
      <c r="A17" s="38">
        <f>Données!A11</f>
        <v>5406</v>
      </c>
      <c r="B17" s="555" t="str">
        <f>Données!B11</f>
        <v>Lavey-Morcles</v>
      </c>
      <c r="C17" s="31">
        <f>VPI!R11</f>
        <v>21511.827778375475</v>
      </c>
      <c r="D17" s="8">
        <f>Données!N11</f>
        <v>1948.95</v>
      </c>
      <c r="E17" s="238">
        <f>Données!O11+Données!P11+Données!R11</f>
        <v>99996.05</v>
      </c>
      <c r="F17" s="504">
        <f t="shared" si="2"/>
        <v>50582.71</v>
      </c>
      <c r="G17" s="504">
        <f>Ecrêtage!M11</f>
        <v>0</v>
      </c>
      <c r="H17" s="505">
        <f t="shared" si="3"/>
        <v>273130.52661060431</v>
      </c>
      <c r="I17" s="324">
        <f t="shared" si="4"/>
        <v>323713.23661060433</v>
      </c>
    </row>
    <row r="18" spans="1:9" s="35" customFormat="1" x14ac:dyDescent="0.25">
      <c r="A18" s="38">
        <f>Données!A12</f>
        <v>5407</v>
      </c>
      <c r="B18" s="555" t="str">
        <f>Données!B12</f>
        <v>Leysin</v>
      </c>
      <c r="C18" s="31">
        <f>VPI!R12</f>
        <v>90677.609059829061</v>
      </c>
      <c r="D18" s="8">
        <f>Données!N12</f>
        <v>85323.25</v>
      </c>
      <c r="E18" s="238">
        <f>Données!O12+Données!P12+Données!R12</f>
        <v>1102503.3999999999</v>
      </c>
      <c r="F18" s="504">
        <f t="shared" si="2"/>
        <v>576848.67499999993</v>
      </c>
      <c r="G18" s="504">
        <f>Ecrêtage!M12</f>
        <v>0</v>
      </c>
      <c r="H18" s="505">
        <f t="shared" si="3"/>
        <v>1151311.8908100494</v>
      </c>
      <c r="I18" s="324">
        <f t="shared" si="4"/>
        <v>1728160.5658100494</v>
      </c>
    </row>
    <row r="19" spans="1:9" s="35" customFormat="1" x14ac:dyDescent="0.25">
      <c r="A19" s="38">
        <f>Données!A13</f>
        <v>5408</v>
      </c>
      <c r="B19" s="555" t="str">
        <f>Données!B13</f>
        <v>Noville</v>
      </c>
      <c r="C19" s="31">
        <f>VPI!R13</f>
        <v>41378.888492569007</v>
      </c>
      <c r="D19" s="8">
        <f>Données!N13</f>
        <v>139810.25</v>
      </c>
      <c r="E19" s="238">
        <f>Données!O13+Données!P13+Données!R13</f>
        <v>444682.05</v>
      </c>
      <c r="F19" s="504">
        <f t="shared" si="2"/>
        <v>264284.09999999998</v>
      </c>
      <c r="G19" s="504">
        <f>Ecrêtage!M13</f>
        <v>0</v>
      </c>
      <c r="H19" s="505">
        <f t="shared" si="3"/>
        <v>525377.83962262352</v>
      </c>
      <c r="I19" s="324">
        <f t="shared" si="4"/>
        <v>789661.9396226235</v>
      </c>
    </row>
    <row r="20" spans="1:9" s="35" customFormat="1" x14ac:dyDescent="0.25">
      <c r="A20" s="38">
        <f>Données!A14</f>
        <v>5409</v>
      </c>
      <c r="B20" s="555" t="str">
        <f>Données!B14</f>
        <v>Ollon</v>
      </c>
      <c r="C20" s="31">
        <f>VPI!R14</f>
        <v>428223.81707013579</v>
      </c>
      <c r="D20" s="8">
        <f>Données!N14</f>
        <v>83657.55</v>
      </c>
      <c r="E20" s="238">
        <f>Données!O14+Données!P14+Données!R14</f>
        <v>3815865.5</v>
      </c>
      <c r="F20" s="504">
        <f t="shared" si="2"/>
        <v>1933030.0149999999</v>
      </c>
      <c r="G20" s="504">
        <f>Ecrêtage!M14</f>
        <v>671332.86008947389</v>
      </c>
      <c r="H20" s="505">
        <f t="shared" si="3"/>
        <v>5437055.2734316234</v>
      </c>
      <c r="I20" s="324">
        <f t="shared" si="4"/>
        <v>8041418.1485210974</v>
      </c>
    </row>
    <row r="21" spans="1:9" s="35" customFormat="1" x14ac:dyDescent="0.25">
      <c r="A21" s="38">
        <f>Données!A15</f>
        <v>5410</v>
      </c>
      <c r="B21" s="555" t="str">
        <f>Données!B15</f>
        <v>Ormont-Dessous</v>
      </c>
      <c r="C21" s="31">
        <f>VPI!R15</f>
        <v>38612.897532467534</v>
      </c>
      <c r="D21" s="8">
        <f>Données!N15</f>
        <v>13127.75</v>
      </c>
      <c r="E21" s="238">
        <f>Données!O15+Données!P15+Données!R15</f>
        <v>650302.15</v>
      </c>
      <c r="F21" s="504">
        <f t="shared" si="2"/>
        <v>329089.40000000002</v>
      </c>
      <c r="G21" s="504">
        <f>Ecrêtage!M15</f>
        <v>0</v>
      </c>
      <c r="H21" s="505">
        <f t="shared" si="3"/>
        <v>490258.71467815357</v>
      </c>
      <c r="I21" s="324">
        <f t="shared" si="4"/>
        <v>819348.11467815354</v>
      </c>
    </row>
    <row r="22" spans="1:9" s="35" customFormat="1" x14ac:dyDescent="0.25">
      <c r="A22" s="38">
        <f>Données!A16</f>
        <v>5411</v>
      </c>
      <c r="B22" s="555" t="str">
        <f>Données!B16</f>
        <v>Ormont-Dessus</v>
      </c>
      <c r="C22" s="31">
        <f>VPI!R16</f>
        <v>77406.69241228071</v>
      </c>
      <c r="D22" s="8">
        <f>Données!N16</f>
        <v>8538.2000000000007</v>
      </c>
      <c r="E22" s="238">
        <f>Données!O16+Données!P16+Données!R16</f>
        <v>1025669.85</v>
      </c>
      <c r="F22" s="504">
        <f t="shared" si="2"/>
        <v>515396.38500000001</v>
      </c>
      <c r="G22" s="504">
        <f>Ecrêtage!M16</f>
        <v>119413.52096963544</v>
      </c>
      <c r="H22" s="505">
        <f t="shared" si="3"/>
        <v>982814.23966234003</v>
      </c>
      <c r="I22" s="324">
        <f t="shared" si="4"/>
        <v>1617624.1456319755</v>
      </c>
    </row>
    <row r="23" spans="1:9" s="35" customFormat="1" x14ac:dyDescent="0.25">
      <c r="A23" s="38">
        <f>Données!A17</f>
        <v>5412</v>
      </c>
      <c r="B23" s="555" t="str">
        <f>Données!B17</f>
        <v>Rennaz</v>
      </c>
      <c r="C23" s="31">
        <f>VPI!R17</f>
        <v>28866.898550724636</v>
      </c>
      <c r="D23" s="8">
        <f>Données!N17</f>
        <v>939726.85</v>
      </c>
      <c r="E23" s="238">
        <f>Données!O17+Données!P17+Données!R17</f>
        <v>122614.25</v>
      </c>
      <c r="F23" s="504">
        <f t="shared" si="2"/>
        <v>343225.18</v>
      </c>
      <c r="G23" s="504">
        <f>Ecrêtage!M17</f>
        <v>0</v>
      </c>
      <c r="H23" s="505">
        <f t="shared" si="3"/>
        <v>366516.09914337663</v>
      </c>
      <c r="I23" s="324">
        <f t="shared" si="4"/>
        <v>709741.27914337663</v>
      </c>
    </row>
    <row r="24" spans="1:9" s="35" customFormat="1" x14ac:dyDescent="0.25">
      <c r="A24" s="38">
        <f>Données!A18</f>
        <v>5413</v>
      </c>
      <c r="B24" s="555" t="str">
        <f>Données!B18</f>
        <v>Roche</v>
      </c>
      <c r="C24" s="31">
        <f>VPI!R18</f>
        <v>43141.688749999994</v>
      </c>
      <c r="D24" s="8">
        <f>Données!N18</f>
        <v>228687.95</v>
      </c>
      <c r="E24" s="238">
        <f>Données!O18+Données!P18+Données!R18</f>
        <v>865195.1</v>
      </c>
      <c r="F24" s="504">
        <f t="shared" si="2"/>
        <v>501203.935</v>
      </c>
      <c r="G24" s="504">
        <f>Ecrêtage!M18</f>
        <v>0</v>
      </c>
      <c r="H24" s="505">
        <f t="shared" si="3"/>
        <v>547759.69241457595</v>
      </c>
      <c r="I24" s="324">
        <f t="shared" si="4"/>
        <v>1048963.627414576</v>
      </c>
    </row>
    <row r="25" spans="1:9" s="35" customFormat="1" x14ac:dyDescent="0.25">
      <c r="A25" s="38">
        <f>Données!A19</f>
        <v>5414</v>
      </c>
      <c r="B25" s="555" t="str">
        <f>Données!B19</f>
        <v>Villeneuve</v>
      </c>
      <c r="C25" s="31">
        <f>VPI!R19</f>
        <v>185623.95377777779</v>
      </c>
      <c r="D25" s="8">
        <f>Données!N19</f>
        <v>1493353.75</v>
      </c>
      <c r="E25" s="238">
        <f>Données!O19+Données!P19+Données!R19</f>
        <v>1687343.9</v>
      </c>
      <c r="F25" s="504">
        <f t="shared" si="2"/>
        <v>1291678.075</v>
      </c>
      <c r="G25" s="504">
        <f>Ecrêtage!M19</f>
        <v>0</v>
      </c>
      <c r="H25" s="505">
        <f t="shared" si="3"/>
        <v>2356822.8961851439</v>
      </c>
      <c r="I25" s="324">
        <f t="shared" si="4"/>
        <v>3648500.971185144</v>
      </c>
    </row>
    <row r="26" spans="1:9" s="35" customFormat="1" x14ac:dyDescent="0.25">
      <c r="A26" s="38">
        <f>Données!A20</f>
        <v>5415</v>
      </c>
      <c r="B26" s="555" t="str">
        <f>Données!B20</f>
        <v>Yvorne</v>
      </c>
      <c r="C26" s="31">
        <f>VPI!R20</f>
        <v>35904.669044289032</v>
      </c>
      <c r="D26" s="8">
        <f>Données!N20</f>
        <v>34692.85</v>
      </c>
      <c r="E26" s="238">
        <f>Données!O20+Données!P20+Données!R20</f>
        <v>546878.9</v>
      </c>
      <c r="F26" s="504">
        <f t="shared" si="2"/>
        <v>283847.30499999999</v>
      </c>
      <c r="G26" s="504">
        <f>Ecrêtage!M20</f>
        <v>0</v>
      </c>
      <c r="H26" s="505">
        <f t="shared" si="3"/>
        <v>455872.98600931355</v>
      </c>
      <c r="I26" s="324">
        <f t="shared" si="4"/>
        <v>739720.29100931354</v>
      </c>
    </row>
    <row r="27" spans="1:9" s="35" customFormat="1" x14ac:dyDescent="0.25">
      <c r="A27" s="38">
        <f>Données!A21</f>
        <v>5422</v>
      </c>
      <c r="B27" s="555" t="str">
        <f>Données!B21</f>
        <v>Aubonne</v>
      </c>
      <c r="C27" s="31">
        <f>VPI!R21</f>
        <v>307027.61800000002</v>
      </c>
      <c r="D27" s="8">
        <f>Données!N21</f>
        <v>962173.15</v>
      </c>
      <c r="E27" s="238">
        <f>Données!O21+Données!P21+Données!R21</f>
        <v>1463693.5</v>
      </c>
      <c r="F27" s="504">
        <f t="shared" si="2"/>
        <v>1020498.6950000001</v>
      </c>
      <c r="G27" s="504">
        <f>Ecrêtage!M21</f>
        <v>2634173.4190716455</v>
      </c>
      <c r="H27" s="505">
        <f t="shared" si="3"/>
        <v>3898256.1524891616</v>
      </c>
      <c r="I27" s="324">
        <f t="shared" si="4"/>
        <v>7552928.2665608069</v>
      </c>
    </row>
    <row r="28" spans="1:9" s="35" customFormat="1" x14ac:dyDescent="0.25">
      <c r="A28" s="38">
        <f>Données!A22</f>
        <v>5423</v>
      </c>
      <c r="B28" s="555" t="str">
        <f>Données!B22</f>
        <v>Ballens</v>
      </c>
      <c r="C28" s="31">
        <f>VPI!R22</f>
        <v>16194.081232876708</v>
      </c>
      <c r="D28" s="8">
        <f>Données!N22</f>
        <v>23690.6</v>
      </c>
      <c r="E28" s="238">
        <f>Données!O22+Données!P22+Données!R22</f>
        <v>145887.70000000001</v>
      </c>
      <c r="F28" s="504">
        <f t="shared" si="2"/>
        <v>80051.03</v>
      </c>
      <c r="G28" s="504">
        <f>Ecrêtage!M22</f>
        <v>0</v>
      </c>
      <c r="H28" s="505">
        <f t="shared" si="3"/>
        <v>205612.37197876736</v>
      </c>
      <c r="I28" s="324">
        <f t="shared" si="4"/>
        <v>285663.40197876736</v>
      </c>
    </row>
    <row r="29" spans="1:9" s="35" customFormat="1" x14ac:dyDescent="0.25">
      <c r="A29" s="38">
        <f>Données!A23</f>
        <v>5424</v>
      </c>
      <c r="B29" s="555" t="str">
        <f>Données!B23</f>
        <v>Berolle</v>
      </c>
      <c r="C29" s="31">
        <f>VPI!R23</f>
        <v>8301.7307284768212</v>
      </c>
      <c r="D29" s="8">
        <f>Données!N23</f>
        <v>0</v>
      </c>
      <c r="E29" s="238">
        <f>Données!O23+Données!P23+Données!R23</f>
        <v>31568.95</v>
      </c>
      <c r="F29" s="504">
        <f t="shared" si="2"/>
        <v>15784.475</v>
      </c>
      <c r="G29" s="504">
        <f>Ecrêtage!M23</f>
        <v>0</v>
      </c>
      <c r="H29" s="505">
        <f t="shared" si="3"/>
        <v>105405.08733189305</v>
      </c>
      <c r="I29" s="324">
        <f t="shared" si="4"/>
        <v>121189.56233189306</v>
      </c>
    </row>
    <row r="30" spans="1:9" s="35" customFormat="1" x14ac:dyDescent="0.25">
      <c r="A30" s="38">
        <f>Données!A24</f>
        <v>5425</v>
      </c>
      <c r="B30" s="555" t="str">
        <f>Données!B24</f>
        <v>Bière</v>
      </c>
      <c r="C30" s="31">
        <f>VPI!R24</f>
        <v>44215.914072963518</v>
      </c>
      <c r="D30" s="8">
        <f>Données!N24</f>
        <v>73221.8</v>
      </c>
      <c r="E30" s="238">
        <f>Données!O24+Données!P24+Données!R24</f>
        <v>282247.05</v>
      </c>
      <c r="F30" s="504">
        <f t="shared" si="2"/>
        <v>163090.065</v>
      </c>
      <c r="G30" s="504">
        <f>Ecrêtage!M24</f>
        <v>0</v>
      </c>
      <c r="H30" s="505">
        <f t="shared" si="3"/>
        <v>561398.87413275684</v>
      </c>
      <c r="I30" s="324">
        <f t="shared" si="4"/>
        <v>724488.93913275679</v>
      </c>
    </row>
    <row r="31" spans="1:9" s="35" customFormat="1" x14ac:dyDescent="0.25">
      <c r="A31" s="38">
        <f>Données!A25</f>
        <v>5426</v>
      </c>
      <c r="B31" s="555" t="str">
        <f>Données!B25</f>
        <v>Bougy-Villars</v>
      </c>
      <c r="C31" s="31">
        <f>VPI!R25</f>
        <v>53043.343074935401</v>
      </c>
      <c r="D31" s="8">
        <f>Données!N25</f>
        <v>12144.3</v>
      </c>
      <c r="E31" s="238">
        <f>Données!O25+Données!P25+Données!R25</f>
        <v>308270.25</v>
      </c>
      <c r="F31" s="504">
        <f t="shared" si="2"/>
        <v>157778.41500000001</v>
      </c>
      <c r="G31" s="504">
        <f>Ecrêtage!M25</f>
        <v>681153.39155361836</v>
      </c>
      <c r="H31" s="505">
        <f t="shared" si="3"/>
        <v>673478.62657248077</v>
      </c>
      <c r="I31" s="324">
        <f t="shared" si="4"/>
        <v>1512410.4331260992</v>
      </c>
    </row>
    <row r="32" spans="1:9" s="35" customFormat="1" x14ac:dyDescent="0.25">
      <c r="A32" s="38">
        <f>Données!A26</f>
        <v>5427</v>
      </c>
      <c r="B32" s="555" t="str">
        <f>Données!B26</f>
        <v>Féchy</v>
      </c>
      <c r="C32" s="31">
        <f>VPI!R26</f>
        <v>88211.829663461554</v>
      </c>
      <c r="D32" s="8">
        <f>Données!N26</f>
        <v>12746.65</v>
      </c>
      <c r="E32" s="238">
        <f>Données!O26+Données!P26+Données!R26</f>
        <v>425690.30000000005</v>
      </c>
      <c r="F32" s="504">
        <f t="shared" si="2"/>
        <v>216669.14500000002</v>
      </c>
      <c r="G32" s="504">
        <f>Ecrêtage!M26</f>
        <v>987342.20274313283</v>
      </c>
      <c r="H32" s="505">
        <f t="shared" si="3"/>
        <v>1120004.480209057</v>
      </c>
      <c r="I32" s="324">
        <f t="shared" si="4"/>
        <v>2324015.8279521898</v>
      </c>
    </row>
    <row r="33" spans="1:9" s="35" customFormat="1" x14ac:dyDescent="0.25">
      <c r="A33" s="38">
        <f>Données!A27</f>
        <v>5428</v>
      </c>
      <c r="B33" s="555" t="str">
        <f>Données!B27</f>
        <v>Gimel</v>
      </c>
      <c r="C33" s="31">
        <f>VPI!R27</f>
        <v>70557.620626398202</v>
      </c>
      <c r="D33" s="8">
        <f>Données!N27</f>
        <v>253111.45</v>
      </c>
      <c r="E33" s="238">
        <f>Données!O27+Données!P27+Données!R27</f>
        <v>688447.54999999993</v>
      </c>
      <c r="F33" s="504">
        <f t="shared" si="2"/>
        <v>420157.20999999996</v>
      </c>
      <c r="G33" s="504">
        <f>Ecrêtage!M27</f>
        <v>0</v>
      </c>
      <c r="H33" s="505">
        <f t="shared" si="3"/>
        <v>895853.21510670404</v>
      </c>
      <c r="I33" s="324">
        <f t="shared" si="4"/>
        <v>1316010.425106704</v>
      </c>
    </row>
    <row r="34" spans="1:9" s="35" customFormat="1" x14ac:dyDescent="0.25">
      <c r="A34" s="38">
        <f>Données!A28</f>
        <v>5429</v>
      </c>
      <c r="B34" s="555" t="str">
        <f>Données!B28</f>
        <v>Longirod</v>
      </c>
      <c r="C34" s="31">
        <f>VPI!R28</f>
        <v>18573.92709677419</v>
      </c>
      <c r="D34" s="8">
        <f>Données!N28</f>
        <v>2875.4</v>
      </c>
      <c r="E34" s="238">
        <f>Données!O28+Données!P28+Données!R28</f>
        <v>187891.35</v>
      </c>
      <c r="F34" s="504">
        <f t="shared" si="2"/>
        <v>94808.294999999998</v>
      </c>
      <c r="G34" s="504">
        <f>Ecrêtage!M28</f>
        <v>0</v>
      </c>
      <c r="H34" s="505">
        <f t="shared" si="3"/>
        <v>235828.70509351097</v>
      </c>
      <c r="I34" s="324">
        <f t="shared" si="4"/>
        <v>330637.00009351096</v>
      </c>
    </row>
    <row r="35" spans="1:9" s="35" customFormat="1" x14ac:dyDescent="0.25">
      <c r="A35" s="38">
        <f>Données!A29</f>
        <v>5430</v>
      </c>
      <c r="B35" s="555" t="str">
        <f>Données!B29</f>
        <v>Marchissy</v>
      </c>
      <c r="C35" s="31">
        <f>VPI!R29</f>
        <v>15580.605290322583</v>
      </c>
      <c r="D35" s="8">
        <f>Données!N29</f>
        <v>3411.95</v>
      </c>
      <c r="E35" s="238">
        <f>Données!O29+Données!P29+Données!R29</f>
        <v>93523.900000000009</v>
      </c>
      <c r="F35" s="504">
        <f t="shared" si="2"/>
        <v>47785.535000000003</v>
      </c>
      <c r="G35" s="504">
        <f>Ecrêtage!M29</f>
        <v>0</v>
      </c>
      <c r="H35" s="505">
        <f t="shared" si="3"/>
        <v>197823.21482396801</v>
      </c>
      <c r="I35" s="324">
        <f t="shared" si="4"/>
        <v>245608.74982396801</v>
      </c>
    </row>
    <row r="36" spans="1:9" s="35" customFormat="1" x14ac:dyDescent="0.25">
      <c r="A36" s="38">
        <f>Données!A30</f>
        <v>5431</v>
      </c>
      <c r="B36" s="555" t="str">
        <f>Données!B30</f>
        <v>Mollens</v>
      </c>
      <c r="C36" s="31">
        <f>VPI!R30</f>
        <v>10464.936351351351</v>
      </c>
      <c r="D36" s="8">
        <f>Données!N30</f>
        <v>304.2</v>
      </c>
      <c r="E36" s="238">
        <f>Données!O30+Données!P30+Données!R30</f>
        <v>34152.1</v>
      </c>
      <c r="F36" s="504">
        <f t="shared" si="2"/>
        <v>17167.309999999998</v>
      </c>
      <c r="G36" s="504">
        <f>Ecrêtage!M30</f>
        <v>0</v>
      </c>
      <c r="H36" s="505">
        <f t="shared" si="3"/>
        <v>132870.79117769425</v>
      </c>
      <c r="I36" s="324">
        <f t="shared" si="4"/>
        <v>150038.10117769425</v>
      </c>
    </row>
    <row r="37" spans="1:9" s="35" customFormat="1" x14ac:dyDescent="0.25">
      <c r="A37" s="38">
        <f>Données!A31</f>
        <v>5434</v>
      </c>
      <c r="B37" s="555" t="str">
        <f>Données!B31</f>
        <v>Saint-George</v>
      </c>
      <c r="C37" s="31">
        <f>VPI!R31</f>
        <v>43543.93829736211</v>
      </c>
      <c r="D37" s="8">
        <f>Données!N31</f>
        <v>35327.85</v>
      </c>
      <c r="E37" s="238">
        <f>Données!O31+Données!P31+Données!R31</f>
        <v>264140.79999999999</v>
      </c>
      <c r="F37" s="504">
        <f t="shared" si="2"/>
        <v>142668.755</v>
      </c>
      <c r="G37" s="504">
        <f>Ecrêtage!M31</f>
        <v>0</v>
      </c>
      <c r="H37" s="505">
        <f t="shared" si="3"/>
        <v>552866.95860468247</v>
      </c>
      <c r="I37" s="324">
        <f t="shared" si="4"/>
        <v>695535.71360468247</v>
      </c>
    </row>
    <row r="38" spans="1:9" s="35" customFormat="1" x14ac:dyDescent="0.25">
      <c r="A38" s="38">
        <f>Données!A32</f>
        <v>5435</v>
      </c>
      <c r="B38" s="555" t="str">
        <f>Données!B32</f>
        <v>Saint-Livres</v>
      </c>
      <c r="C38" s="31">
        <f>VPI!R32</f>
        <v>25853.824637681166</v>
      </c>
      <c r="D38" s="8">
        <f>Données!N32</f>
        <v>17237.5</v>
      </c>
      <c r="E38" s="238">
        <f>Données!O32+Données!P32+Données!R32</f>
        <v>263622.95</v>
      </c>
      <c r="F38" s="504">
        <f t="shared" si="2"/>
        <v>136982.72500000001</v>
      </c>
      <c r="G38" s="504">
        <f>Ecrêtage!M32</f>
        <v>0</v>
      </c>
      <c r="H38" s="505">
        <f t="shared" si="3"/>
        <v>328259.82110578881</v>
      </c>
      <c r="I38" s="324">
        <f t="shared" si="4"/>
        <v>465242.54610578879</v>
      </c>
    </row>
    <row r="39" spans="1:9" s="35" customFormat="1" x14ac:dyDescent="0.25">
      <c r="A39" s="38">
        <f>Données!A33</f>
        <v>5436</v>
      </c>
      <c r="B39" s="555" t="str">
        <f>Données!B33</f>
        <v>Saint-Oyens</v>
      </c>
      <c r="C39" s="31">
        <f>VPI!R33</f>
        <v>16868.155185185187</v>
      </c>
      <c r="D39" s="8">
        <f>Données!N33</f>
        <v>0</v>
      </c>
      <c r="E39" s="238">
        <f>Données!O33+Données!P33+Données!R33</f>
        <v>151642</v>
      </c>
      <c r="F39" s="504">
        <f t="shared" si="2"/>
        <v>75821</v>
      </c>
      <c r="G39" s="504">
        <f>Ecrêtage!M33</f>
        <v>0</v>
      </c>
      <c r="H39" s="505">
        <f t="shared" si="3"/>
        <v>214170.92755411373</v>
      </c>
      <c r="I39" s="324">
        <f t="shared" si="4"/>
        <v>289991.92755411373</v>
      </c>
    </row>
    <row r="40" spans="1:9" s="35" customFormat="1" x14ac:dyDescent="0.25">
      <c r="A40" s="38">
        <f>Données!A34</f>
        <v>5437</v>
      </c>
      <c r="B40" s="555" t="str">
        <f>Données!B34</f>
        <v>Saubraz</v>
      </c>
      <c r="C40" s="31">
        <f>VPI!R34</f>
        <v>13551.123374999999</v>
      </c>
      <c r="D40" s="8">
        <f>Données!N34</f>
        <v>0</v>
      </c>
      <c r="E40" s="238">
        <f>Données!O34+Données!P34+Données!R34</f>
        <v>317060.2</v>
      </c>
      <c r="F40" s="504">
        <f t="shared" si="2"/>
        <v>158530.1</v>
      </c>
      <c r="G40" s="504">
        <f>Ecrêtage!M34</f>
        <v>0</v>
      </c>
      <c r="H40" s="505">
        <f t="shared" si="3"/>
        <v>172055.36887477478</v>
      </c>
      <c r="I40" s="324">
        <f t="shared" si="4"/>
        <v>330585.46887477476</v>
      </c>
    </row>
    <row r="41" spans="1:9" s="35" customFormat="1" x14ac:dyDescent="0.25">
      <c r="A41" s="38">
        <f>Données!A35</f>
        <v>5451</v>
      </c>
      <c r="B41" s="555" t="str">
        <f>Données!B35</f>
        <v>Avenches</v>
      </c>
      <c r="C41" s="31">
        <f>VPI!R35</f>
        <v>137788.88576441104</v>
      </c>
      <c r="D41" s="8">
        <f>Données!N35</f>
        <v>562337.4</v>
      </c>
      <c r="E41" s="238">
        <f>Données!O35+Données!P35+Données!R35</f>
        <v>794256.05</v>
      </c>
      <c r="F41" s="504">
        <f t="shared" si="2"/>
        <v>565829.245</v>
      </c>
      <c r="G41" s="504">
        <f>Ecrêtage!M35</f>
        <v>0</v>
      </c>
      <c r="H41" s="505">
        <f t="shared" si="3"/>
        <v>1749472.4910243794</v>
      </c>
      <c r="I41" s="324">
        <f t="shared" si="4"/>
        <v>2315301.7360243793</v>
      </c>
    </row>
    <row r="42" spans="1:9" s="35" customFormat="1" x14ac:dyDescent="0.25">
      <c r="A42" s="38">
        <f>Données!A36</f>
        <v>5456</v>
      </c>
      <c r="B42" s="555" t="str">
        <f>Données!B36</f>
        <v>Cudrefin</v>
      </c>
      <c r="C42" s="31">
        <f>VPI!R36</f>
        <v>64142.52694915254</v>
      </c>
      <c r="D42" s="8">
        <f>Données!N36</f>
        <v>5267</v>
      </c>
      <c r="E42" s="238">
        <f>Données!O36+Données!P36+Données!R36</f>
        <v>395782.25</v>
      </c>
      <c r="F42" s="504">
        <f t="shared" si="2"/>
        <v>199471.22500000001</v>
      </c>
      <c r="G42" s="504">
        <f>Ecrêtage!M36</f>
        <v>0</v>
      </c>
      <c r="H42" s="505">
        <f t="shared" si="3"/>
        <v>814402.30668674153</v>
      </c>
      <c r="I42" s="324">
        <f t="shared" si="4"/>
        <v>1013873.5316867415</v>
      </c>
    </row>
    <row r="43" spans="1:9" s="35" customFormat="1" x14ac:dyDescent="0.25">
      <c r="A43" s="38">
        <f>Données!A37</f>
        <v>5458</v>
      </c>
      <c r="B43" s="555" t="str">
        <f>Données!B37</f>
        <v>Faoug</v>
      </c>
      <c r="C43" s="31">
        <f>VPI!R37</f>
        <v>34719.981076923075</v>
      </c>
      <c r="D43" s="8">
        <f>Données!N37</f>
        <v>1661.35</v>
      </c>
      <c r="E43" s="238">
        <f>Données!O37+Données!P37+Données!R37</f>
        <v>247284.65</v>
      </c>
      <c r="F43" s="504">
        <f t="shared" si="2"/>
        <v>124140.73</v>
      </c>
      <c r="G43" s="504">
        <f>Ecrêtage!M37</f>
        <v>0</v>
      </c>
      <c r="H43" s="505">
        <f t="shared" si="3"/>
        <v>440831.28654381394</v>
      </c>
      <c r="I43" s="324">
        <f t="shared" si="4"/>
        <v>564972.01654381398</v>
      </c>
    </row>
    <row r="44" spans="1:9" s="35" customFormat="1" x14ac:dyDescent="0.25">
      <c r="A44" s="38">
        <f>Données!A38</f>
        <v>5464</v>
      </c>
      <c r="B44" s="555" t="str">
        <f>Données!B38</f>
        <v>Vully-les-Lacs</v>
      </c>
      <c r="C44" s="31">
        <f>VPI!R38</f>
        <v>119166.87835820897</v>
      </c>
      <c r="D44" s="8">
        <f>Données!N38</f>
        <v>340.45</v>
      </c>
      <c r="E44" s="238">
        <f>Données!O38+Données!P38+Données!R38</f>
        <v>1480598.5</v>
      </c>
      <c r="F44" s="504">
        <f t="shared" si="2"/>
        <v>740401.38500000001</v>
      </c>
      <c r="G44" s="504">
        <f>Ecrêtage!M38</f>
        <v>0</v>
      </c>
      <c r="H44" s="505">
        <f t="shared" si="3"/>
        <v>1513033.3217541871</v>
      </c>
      <c r="I44" s="324">
        <f t="shared" si="4"/>
        <v>2253434.7067541871</v>
      </c>
    </row>
    <row r="45" spans="1:9" s="35" customFormat="1" x14ac:dyDescent="0.25">
      <c r="A45" s="38">
        <f>Données!A39</f>
        <v>5471</v>
      </c>
      <c r="B45" s="555" t="str">
        <f>Données!B39</f>
        <v>Bettens</v>
      </c>
      <c r="C45" s="31">
        <f>VPI!R39</f>
        <v>22887.22226984127</v>
      </c>
      <c r="D45" s="8">
        <f>Données!N39</f>
        <v>9506.5499999999993</v>
      </c>
      <c r="E45" s="238">
        <f>Données!O39+Données!P39+Données!R39</f>
        <v>75195.900000000009</v>
      </c>
      <c r="F45" s="504">
        <f t="shared" si="2"/>
        <v>40449.915000000001</v>
      </c>
      <c r="G45" s="504">
        <f>Ecrêtage!M39</f>
        <v>0</v>
      </c>
      <c r="H45" s="505">
        <f t="shared" si="3"/>
        <v>290593.58115072135</v>
      </c>
      <c r="I45" s="324">
        <f t="shared" si="4"/>
        <v>331043.49615072133</v>
      </c>
    </row>
    <row r="46" spans="1:9" s="35" customFormat="1" x14ac:dyDescent="0.25">
      <c r="A46" s="38">
        <f>Données!A40</f>
        <v>5472</v>
      </c>
      <c r="B46" s="555" t="str">
        <f>Données!B40</f>
        <v>Bournens</v>
      </c>
      <c r="C46" s="31">
        <f>VPI!R40</f>
        <v>22175.50986111111</v>
      </c>
      <c r="D46" s="8">
        <f>Données!N40</f>
        <v>0</v>
      </c>
      <c r="E46" s="238">
        <f>Données!O40+Données!P40+Données!R40</f>
        <v>196752.3</v>
      </c>
      <c r="F46" s="504">
        <f t="shared" si="2"/>
        <v>98376.15</v>
      </c>
      <c r="G46" s="504">
        <f>Ecrêtage!M40</f>
        <v>0</v>
      </c>
      <c r="H46" s="505">
        <f t="shared" si="3"/>
        <v>281557.13910616492</v>
      </c>
      <c r="I46" s="324">
        <f t="shared" si="4"/>
        <v>379933.28910616494</v>
      </c>
    </row>
    <row r="47" spans="1:9" s="35" customFormat="1" x14ac:dyDescent="0.25">
      <c r="A47" s="38">
        <f>Données!A41</f>
        <v>5473</v>
      </c>
      <c r="B47" s="555" t="str">
        <f>Données!B41</f>
        <v>Boussens</v>
      </c>
      <c r="C47" s="31">
        <f>VPI!R41</f>
        <v>37058.091851851859</v>
      </c>
      <c r="D47" s="8">
        <f>Données!N41</f>
        <v>4238.3</v>
      </c>
      <c r="E47" s="238">
        <f>Données!O41+Données!P41+Données!R41</f>
        <v>253887.85</v>
      </c>
      <c r="F47" s="504">
        <f t="shared" si="2"/>
        <v>128215.41500000001</v>
      </c>
      <c r="G47" s="504">
        <f>Ecrêtage!M41</f>
        <v>0</v>
      </c>
      <c r="H47" s="505">
        <f t="shared" si="3"/>
        <v>470517.71922677645</v>
      </c>
      <c r="I47" s="324">
        <f t="shared" si="4"/>
        <v>598733.13422677643</v>
      </c>
    </row>
    <row r="48" spans="1:9" s="35" customFormat="1" x14ac:dyDescent="0.25">
      <c r="A48" s="38">
        <f>Données!A42</f>
        <v>5474</v>
      </c>
      <c r="B48" s="555" t="str">
        <f>Données!B42</f>
        <v>La Chaux (Cossonay)</v>
      </c>
      <c r="C48" s="31">
        <f>VPI!R42</f>
        <v>12904.367324561405</v>
      </c>
      <c r="D48" s="8">
        <f>Données!N42</f>
        <v>2826.15</v>
      </c>
      <c r="E48" s="238">
        <f>Données!O42+Données!P42+Données!R42</f>
        <v>92933.15</v>
      </c>
      <c r="F48" s="504">
        <f t="shared" si="2"/>
        <v>47314.42</v>
      </c>
      <c r="G48" s="504">
        <f>Ecrêtage!M42</f>
        <v>0</v>
      </c>
      <c r="H48" s="505">
        <f t="shared" si="3"/>
        <v>163843.66215859968</v>
      </c>
      <c r="I48" s="324">
        <f t="shared" si="4"/>
        <v>211158.08215859969</v>
      </c>
    </row>
    <row r="49" spans="1:9" s="35" customFormat="1" x14ac:dyDescent="0.25">
      <c r="A49" s="38">
        <f>Données!A43</f>
        <v>5475</v>
      </c>
      <c r="B49" s="555" t="str">
        <f>Données!B43</f>
        <v>Chavannes-le-Veyron</v>
      </c>
      <c r="C49" s="31">
        <f>VPI!R43</f>
        <v>4277.2565333333332</v>
      </c>
      <c r="D49" s="8">
        <f>Données!N43</f>
        <v>0</v>
      </c>
      <c r="E49" s="238">
        <f>Données!O43+Données!P43+Données!R43</f>
        <v>9400.5500000000011</v>
      </c>
      <c r="F49" s="504">
        <f t="shared" si="2"/>
        <v>4700.2750000000005</v>
      </c>
      <c r="G49" s="504">
        <f>Ecrêtage!M43</f>
        <v>0</v>
      </c>
      <c r="H49" s="505">
        <f t="shared" si="3"/>
        <v>54307.302077434382</v>
      </c>
      <c r="I49" s="324">
        <f t="shared" si="4"/>
        <v>59007.577077434384</v>
      </c>
    </row>
    <row r="50" spans="1:9" s="35" customFormat="1" x14ac:dyDescent="0.25">
      <c r="A50" s="38">
        <f>Données!A44</f>
        <v>5476</v>
      </c>
      <c r="B50" s="555" t="str">
        <f>Données!B44</f>
        <v>Chevilly</v>
      </c>
      <c r="C50" s="31">
        <f>VPI!R44</f>
        <v>12081.593793103451</v>
      </c>
      <c r="D50" s="8">
        <f>Données!N44</f>
        <v>0</v>
      </c>
      <c r="E50" s="238">
        <f>Données!O44+Données!P44+Données!R44</f>
        <v>89222.05</v>
      </c>
      <c r="F50" s="504">
        <f t="shared" si="2"/>
        <v>44611.025000000001</v>
      </c>
      <c r="G50" s="504">
        <f>Ecrêtage!M44</f>
        <v>0</v>
      </c>
      <c r="H50" s="505">
        <f t="shared" si="3"/>
        <v>153397.10363072419</v>
      </c>
      <c r="I50" s="324">
        <f t="shared" si="4"/>
        <v>198008.12863072418</v>
      </c>
    </row>
    <row r="51" spans="1:9" s="35" customFormat="1" x14ac:dyDescent="0.25">
      <c r="A51" s="38">
        <f>Données!A45</f>
        <v>5477</v>
      </c>
      <c r="B51" s="555" t="str">
        <f>Données!B45</f>
        <v>Cossonay</v>
      </c>
      <c r="C51" s="31">
        <f>VPI!R45</f>
        <v>142576.66388489207</v>
      </c>
      <c r="D51" s="8">
        <f>Données!N45</f>
        <v>116740.25</v>
      </c>
      <c r="E51" s="238">
        <f>Données!O45+Données!P45+Données!R45</f>
        <v>1066614.4500000002</v>
      </c>
      <c r="F51" s="504">
        <f t="shared" si="2"/>
        <v>568329.30000000005</v>
      </c>
      <c r="G51" s="504">
        <f>Ecrêtage!M45</f>
        <v>0</v>
      </c>
      <c r="H51" s="505">
        <f t="shared" si="3"/>
        <v>1810261.7634569271</v>
      </c>
      <c r="I51" s="324">
        <f t="shared" si="4"/>
        <v>2378591.0634569274</v>
      </c>
    </row>
    <row r="52" spans="1:9" s="35" customFormat="1" x14ac:dyDescent="0.25">
      <c r="A52" s="38">
        <f>Données!A46</f>
        <v>5479</v>
      </c>
      <c r="B52" s="555" t="str">
        <f>Données!B46</f>
        <v>Cuarnens</v>
      </c>
      <c r="C52" s="31">
        <f>VPI!R46</f>
        <v>17984.468961038958</v>
      </c>
      <c r="D52" s="8">
        <f>Données!N46</f>
        <v>7894.9</v>
      </c>
      <c r="E52" s="238">
        <f>Données!O46+Données!P46+Données!R46</f>
        <v>115420</v>
      </c>
      <c r="F52" s="504">
        <f t="shared" si="2"/>
        <v>60078.47</v>
      </c>
      <c r="G52" s="504">
        <f>Ecrêtage!M46</f>
        <v>0</v>
      </c>
      <c r="H52" s="505">
        <f t="shared" si="3"/>
        <v>228344.49628117974</v>
      </c>
      <c r="I52" s="324">
        <f t="shared" si="4"/>
        <v>288422.96628117975</v>
      </c>
    </row>
    <row r="53" spans="1:9" s="35" customFormat="1" x14ac:dyDescent="0.25">
      <c r="A53" s="38">
        <f>Données!A47</f>
        <v>5480</v>
      </c>
      <c r="B53" s="555" t="str">
        <f>Données!B47</f>
        <v>Daillens</v>
      </c>
      <c r="C53" s="31">
        <f>VPI!R47</f>
        <v>41328.998989898995</v>
      </c>
      <c r="D53" s="8">
        <f>Données!N47</f>
        <v>229974.39999999999</v>
      </c>
      <c r="E53" s="238">
        <f>Données!O47+Données!P47+Données!R47</f>
        <v>298685.7</v>
      </c>
      <c r="F53" s="504">
        <f t="shared" si="2"/>
        <v>218335.16999999998</v>
      </c>
      <c r="G53" s="504">
        <f>Ecrêtage!M47</f>
        <v>0</v>
      </c>
      <c r="H53" s="505">
        <f t="shared" si="3"/>
        <v>524744.40455253155</v>
      </c>
      <c r="I53" s="324">
        <f t="shared" si="4"/>
        <v>743079.57455253159</v>
      </c>
    </row>
    <row r="54" spans="1:9" s="35" customFormat="1" x14ac:dyDescent="0.25">
      <c r="A54" s="38">
        <f>Données!A48</f>
        <v>5481</v>
      </c>
      <c r="B54" s="555" t="str">
        <f>Données!B48</f>
        <v>Dizy</v>
      </c>
      <c r="C54" s="31">
        <f>VPI!R48</f>
        <v>8120.2678666666679</v>
      </c>
      <c r="D54" s="8">
        <f>Données!N48</f>
        <v>0</v>
      </c>
      <c r="E54" s="238">
        <f>Données!O48+Données!P48+Données!R48</f>
        <v>17939.150000000001</v>
      </c>
      <c r="F54" s="504">
        <f t="shared" si="2"/>
        <v>8969.5750000000007</v>
      </c>
      <c r="G54" s="504">
        <f>Ecrêtage!M48</f>
        <v>0</v>
      </c>
      <c r="H54" s="505">
        <f t="shared" si="3"/>
        <v>103101.09682410843</v>
      </c>
      <c r="I54" s="324">
        <f t="shared" si="4"/>
        <v>112070.67182410843</v>
      </c>
    </row>
    <row r="55" spans="1:9" s="35" customFormat="1" x14ac:dyDescent="0.25">
      <c r="A55" s="38">
        <f>Données!A49</f>
        <v>5482</v>
      </c>
      <c r="B55" s="555" t="str">
        <f>Données!B49</f>
        <v>Eclépens</v>
      </c>
      <c r="C55" s="31">
        <f>VPI!R49</f>
        <v>54169.31369565217</v>
      </c>
      <c r="D55" s="8">
        <f>Données!N49</f>
        <v>311950.55</v>
      </c>
      <c r="E55" s="238">
        <f>Données!O49+Données!P49+Données!R49</f>
        <v>205473.30000000002</v>
      </c>
      <c r="F55" s="504">
        <f t="shared" si="2"/>
        <v>196321.815</v>
      </c>
      <c r="G55" s="504">
        <f>Ecrêtage!M49</f>
        <v>0</v>
      </c>
      <c r="H55" s="505">
        <f t="shared" si="3"/>
        <v>687774.80594658258</v>
      </c>
      <c r="I55" s="324">
        <f t="shared" si="4"/>
        <v>884096.62094658264</v>
      </c>
    </row>
    <row r="56" spans="1:9" s="35" customFormat="1" x14ac:dyDescent="0.25">
      <c r="A56" s="38">
        <f>Données!A50</f>
        <v>5483</v>
      </c>
      <c r="B56" s="555" t="str">
        <f>Données!B50</f>
        <v>Ferreyres</v>
      </c>
      <c r="C56" s="31">
        <f>VPI!R50</f>
        <v>10537.013684210528</v>
      </c>
      <c r="D56" s="8">
        <f>Données!N50</f>
        <v>0</v>
      </c>
      <c r="E56" s="238">
        <f>Données!O50+Données!P50+Données!R50</f>
        <v>13096.650000000001</v>
      </c>
      <c r="F56" s="504">
        <f t="shared" si="2"/>
        <v>6548.3250000000007</v>
      </c>
      <c r="G56" s="504">
        <f>Ecrêtage!M50</f>
        <v>0</v>
      </c>
      <c r="H56" s="505">
        <f t="shared" si="3"/>
        <v>133785.93981514775</v>
      </c>
      <c r="I56" s="324">
        <f t="shared" si="4"/>
        <v>140334.26481514776</v>
      </c>
    </row>
    <row r="57" spans="1:9" s="35" customFormat="1" x14ac:dyDescent="0.25">
      <c r="A57" s="38">
        <f>Données!A51</f>
        <v>5484</v>
      </c>
      <c r="B57" s="555" t="str">
        <f>Données!B51</f>
        <v>Gollion</v>
      </c>
      <c r="C57" s="31">
        <f>VPI!R51</f>
        <v>35949.064324324332</v>
      </c>
      <c r="D57" s="8">
        <f>Données!N51</f>
        <v>32793.65</v>
      </c>
      <c r="E57" s="238">
        <f>Données!O51+Données!P51+Données!R51</f>
        <v>238538.85</v>
      </c>
      <c r="F57" s="504">
        <f t="shared" si="2"/>
        <v>129107.52</v>
      </c>
      <c r="G57" s="504">
        <f>Ecrêtage!M51</f>
        <v>0</v>
      </c>
      <c r="H57" s="505">
        <f t="shared" si="3"/>
        <v>456436.66225012357</v>
      </c>
      <c r="I57" s="324">
        <f t="shared" si="4"/>
        <v>585544.18225012359</v>
      </c>
    </row>
    <row r="58" spans="1:9" s="35" customFormat="1" x14ac:dyDescent="0.25">
      <c r="A58" s="38">
        <f>Données!A52</f>
        <v>5485</v>
      </c>
      <c r="B58" s="555" t="str">
        <f>Données!B52</f>
        <v>Grancy</v>
      </c>
      <c r="C58" s="31">
        <f>VPI!R52</f>
        <v>24486.752</v>
      </c>
      <c r="D58" s="8">
        <f>Données!N52</f>
        <v>12308.85</v>
      </c>
      <c r="E58" s="238">
        <f>Données!O52+Données!P52+Données!R52</f>
        <v>142864.35</v>
      </c>
      <c r="F58" s="504">
        <f t="shared" si="2"/>
        <v>75124.83</v>
      </c>
      <c r="G58" s="504">
        <f>Ecrêtage!M52</f>
        <v>44192.982557995187</v>
      </c>
      <c r="H58" s="505">
        <f t="shared" si="3"/>
        <v>310902.42715062946</v>
      </c>
      <c r="I58" s="324">
        <f t="shared" si="4"/>
        <v>430220.23970862466</v>
      </c>
    </row>
    <row r="59" spans="1:9" s="35" customFormat="1" x14ac:dyDescent="0.25">
      <c r="A59" s="38">
        <f>Données!A53</f>
        <v>5486</v>
      </c>
      <c r="B59" s="555" t="str">
        <f>Données!B53</f>
        <v>L'Isle</v>
      </c>
      <c r="C59" s="31">
        <f>VPI!R53</f>
        <v>29228.321066666667</v>
      </c>
      <c r="D59" s="8">
        <f>Données!N53</f>
        <v>49479.55</v>
      </c>
      <c r="E59" s="238">
        <f>Données!O53+Données!P53+Données!R53</f>
        <v>324669.2</v>
      </c>
      <c r="F59" s="504">
        <f t="shared" si="2"/>
        <v>177178.465</v>
      </c>
      <c r="G59" s="504">
        <f>Ecrêtage!M53</f>
        <v>0</v>
      </c>
      <c r="H59" s="505">
        <f t="shared" si="3"/>
        <v>371104.99429097585</v>
      </c>
      <c r="I59" s="324">
        <f t="shared" si="4"/>
        <v>548283.45929097582</v>
      </c>
    </row>
    <row r="60" spans="1:9" s="35" customFormat="1" x14ac:dyDescent="0.25">
      <c r="A60" s="38">
        <f>Données!A54</f>
        <v>5487</v>
      </c>
      <c r="B60" s="555" t="str">
        <f>Données!B54</f>
        <v>Lussery-Villars</v>
      </c>
      <c r="C60" s="31">
        <f>VPI!R54</f>
        <v>16622.186533333337</v>
      </c>
      <c r="D60" s="8">
        <f>Données!N54</f>
        <v>0</v>
      </c>
      <c r="E60" s="238">
        <f>Données!O54+Données!P54+Données!R54</f>
        <v>35088.5</v>
      </c>
      <c r="F60" s="504">
        <f t="shared" si="2"/>
        <v>17544.25</v>
      </c>
      <c r="G60" s="504">
        <f>Ecrêtage!M54</f>
        <v>0</v>
      </c>
      <c r="H60" s="505">
        <f t="shared" si="3"/>
        <v>211047.92247513437</v>
      </c>
      <c r="I60" s="324">
        <f t="shared" si="4"/>
        <v>228592.17247513437</v>
      </c>
    </row>
    <row r="61" spans="1:9" s="35" customFormat="1" x14ac:dyDescent="0.25">
      <c r="A61" s="38">
        <f>Données!A55</f>
        <v>5488</v>
      </c>
      <c r="B61" s="555" t="str">
        <f>Données!B55</f>
        <v>Mauraz</v>
      </c>
      <c r="C61" s="31">
        <f>VPI!R55</f>
        <v>1729.1580519480517</v>
      </c>
      <c r="D61" s="8">
        <f>Données!N55</f>
        <v>0</v>
      </c>
      <c r="E61" s="238">
        <f>Données!O55+Données!P55+Données!R55</f>
        <v>0</v>
      </c>
      <c r="F61" s="504">
        <f t="shared" si="2"/>
        <v>0</v>
      </c>
      <c r="G61" s="504">
        <f>Ecrêtage!M55</f>
        <v>0</v>
      </c>
      <c r="H61" s="505">
        <f t="shared" si="3"/>
        <v>21954.705764067992</v>
      </c>
      <c r="I61" s="324">
        <f t="shared" si="4"/>
        <v>21954.705764067992</v>
      </c>
    </row>
    <row r="62" spans="1:9" s="35" customFormat="1" x14ac:dyDescent="0.25">
      <c r="A62" s="38">
        <f>Données!A56</f>
        <v>5489</v>
      </c>
      <c r="B62" s="555" t="str">
        <f>Données!B56</f>
        <v>Mex</v>
      </c>
      <c r="C62" s="31">
        <f>VPI!R56</f>
        <v>50433.121512605037</v>
      </c>
      <c r="D62" s="8">
        <f>Données!N56</f>
        <v>165302.79999999999</v>
      </c>
      <c r="E62" s="238">
        <f>Données!O56+Données!P56+Données!R56</f>
        <v>284150.84999999998</v>
      </c>
      <c r="F62" s="504">
        <f t="shared" si="2"/>
        <v>191666.26499999998</v>
      </c>
      <c r="G62" s="504">
        <f>Ecrêtage!M56</f>
        <v>174681.52252382995</v>
      </c>
      <c r="H62" s="505">
        <f t="shared" si="3"/>
        <v>640337.26837481465</v>
      </c>
      <c r="I62" s="324">
        <f t="shared" si="4"/>
        <v>1006685.0558986446</v>
      </c>
    </row>
    <row r="63" spans="1:9" s="35" customFormat="1" x14ac:dyDescent="0.25">
      <c r="A63" s="38">
        <f>Données!A57</f>
        <v>5490</v>
      </c>
      <c r="B63" s="555" t="str">
        <f>Données!B57</f>
        <v>Moiry</v>
      </c>
      <c r="C63" s="31">
        <f>VPI!R57</f>
        <v>9056.7353548387091</v>
      </c>
      <c r="D63" s="8">
        <f>Données!N57</f>
        <v>0</v>
      </c>
      <c r="E63" s="238">
        <f>Données!O57+Données!P57+Données!R57</f>
        <v>38734.300000000003</v>
      </c>
      <c r="F63" s="504">
        <f t="shared" si="2"/>
        <v>19367.150000000001</v>
      </c>
      <c r="G63" s="504">
        <f>Ecrêtage!M57</f>
        <v>0</v>
      </c>
      <c r="H63" s="505">
        <f t="shared" si="3"/>
        <v>114991.20029803348</v>
      </c>
      <c r="I63" s="324">
        <f t="shared" si="4"/>
        <v>134358.35029803347</v>
      </c>
    </row>
    <row r="64" spans="1:9" s="35" customFormat="1" x14ac:dyDescent="0.25">
      <c r="A64" s="38">
        <f>Données!A58</f>
        <v>5491</v>
      </c>
      <c r="B64" s="555" t="str">
        <f>Données!B58</f>
        <v>Mont-la-Ville</v>
      </c>
      <c r="C64" s="31">
        <f>VPI!R58</f>
        <v>13648.672236842105</v>
      </c>
      <c r="D64" s="8">
        <f>Données!N58</f>
        <v>3858.55</v>
      </c>
      <c r="E64" s="238">
        <f>Données!O58+Données!P58+Données!R58</f>
        <v>45296.800000000003</v>
      </c>
      <c r="F64" s="504">
        <f t="shared" si="2"/>
        <v>23805.965</v>
      </c>
      <c r="G64" s="504">
        <f>Ecrêtage!M58</f>
        <v>0</v>
      </c>
      <c r="H64" s="505">
        <f t="shared" si="3"/>
        <v>173293.92341694076</v>
      </c>
      <c r="I64" s="324">
        <f t="shared" si="4"/>
        <v>197099.88841694075</v>
      </c>
    </row>
    <row r="65" spans="1:9" s="35" customFormat="1" x14ac:dyDescent="0.25">
      <c r="A65" s="38">
        <f>Données!A59</f>
        <v>5492</v>
      </c>
      <c r="B65" s="555" t="str">
        <f>Données!B59</f>
        <v>Montricher</v>
      </c>
      <c r="C65" s="31">
        <f>VPI!R59</f>
        <v>175265.155</v>
      </c>
      <c r="D65" s="8">
        <f>Données!N59</f>
        <v>5465.05</v>
      </c>
      <c r="E65" s="238">
        <f>Données!O59+Données!P59+Données!R59</f>
        <v>420316.25</v>
      </c>
      <c r="F65" s="504">
        <f t="shared" si="2"/>
        <v>211797.64</v>
      </c>
      <c r="G65" s="504">
        <f>Ecrêtage!M59</f>
        <v>3811049.4550882974</v>
      </c>
      <c r="H65" s="505">
        <f t="shared" si="3"/>
        <v>2225299.708366029</v>
      </c>
      <c r="I65" s="324">
        <f t="shared" si="4"/>
        <v>6248146.8034543265</v>
      </c>
    </row>
    <row r="66" spans="1:9" s="35" customFormat="1" x14ac:dyDescent="0.25">
      <c r="A66" s="38">
        <f>Données!A60</f>
        <v>5493</v>
      </c>
      <c r="B66" s="555" t="str">
        <f>Données!B60</f>
        <v>Orny</v>
      </c>
      <c r="C66" s="31">
        <f>VPI!R60</f>
        <v>13489.645489989463</v>
      </c>
      <c r="D66" s="8">
        <f>Données!N60</f>
        <v>62150.05</v>
      </c>
      <c r="E66" s="238">
        <f>Données!O60+Données!P60+Données!R60</f>
        <v>154339.45000000001</v>
      </c>
      <c r="F66" s="504">
        <f t="shared" si="2"/>
        <v>95814.74</v>
      </c>
      <c r="G66" s="504">
        <f>Ecrêtage!M60</f>
        <v>0</v>
      </c>
      <c r="H66" s="505">
        <f t="shared" si="3"/>
        <v>171274.79888877325</v>
      </c>
      <c r="I66" s="324">
        <f t="shared" si="4"/>
        <v>267089.53888877324</v>
      </c>
    </row>
    <row r="67" spans="1:9" s="35" customFormat="1" x14ac:dyDescent="0.25">
      <c r="A67" s="38">
        <f>Données!A61</f>
        <v>5495</v>
      </c>
      <c r="B67" s="555" t="str">
        <f>Données!B61</f>
        <v>Penthalaz</v>
      </c>
      <c r="C67" s="31">
        <f>VPI!R61</f>
        <v>95307.914324324302</v>
      </c>
      <c r="D67" s="8">
        <f>Données!N61</f>
        <v>268180.65000000002</v>
      </c>
      <c r="E67" s="238">
        <f>Données!O61+Données!P61+Données!R61</f>
        <v>503803.15</v>
      </c>
      <c r="F67" s="504">
        <f t="shared" si="2"/>
        <v>332355.77</v>
      </c>
      <c r="G67" s="504">
        <f>Ecrêtage!M61</f>
        <v>0</v>
      </c>
      <c r="H67" s="505">
        <f t="shared" si="3"/>
        <v>1210101.7680947096</v>
      </c>
      <c r="I67" s="324">
        <f t="shared" si="4"/>
        <v>1542457.5380947096</v>
      </c>
    </row>
    <row r="68" spans="1:9" s="35" customFormat="1" x14ac:dyDescent="0.25">
      <c r="A68" s="38">
        <f>Données!A62</f>
        <v>5496</v>
      </c>
      <c r="B68" s="555" t="str">
        <f>Données!B62</f>
        <v>Penthaz</v>
      </c>
      <c r="C68" s="31">
        <f>VPI!R62</f>
        <v>56262.398705035986</v>
      </c>
      <c r="D68" s="8">
        <f>Données!N62</f>
        <v>104386.05</v>
      </c>
      <c r="E68" s="238">
        <f>Données!O62+Données!P62+Données!R62</f>
        <v>427268.05</v>
      </c>
      <c r="F68" s="504">
        <f t="shared" si="2"/>
        <v>244949.84</v>
      </c>
      <c r="G68" s="504">
        <f>Ecrêtage!M62</f>
        <v>0</v>
      </c>
      <c r="H68" s="505">
        <f t="shared" si="3"/>
        <v>714350.20515224396</v>
      </c>
      <c r="I68" s="324">
        <f t="shared" si="4"/>
        <v>959300.04515224393</v>
      </c>
    </row>
    <row r="69" spans="1:9" s="35" customFormat="1" x14ac:dyDescent="0.25">
      <c r="A69" s="38">
        <f>Données!A63</f>
        <v>5497</v>
      </c>
      <c r="B69" s="555" t="str">
        <f>Données!B63</f>
        <v>Pompaples</v>
      </c>
      <c r="C69" s="31">
        <f>VPI!R63</f>
        <v>22253.218787878792</v>
      </c>
      <c r="D69" s="8">
        <f>Données!N63</f>
        <v>218566.05</v>
      </c>
      <c r="E69" s="238">
        <f>Données!O63+Données!P63+Données!R63</f>
        <v>46736.6</v>
      </c>
      <c r="F69" s="504">
        <f t="shared" si="2"/>
        <v>88938.114999999991</v>
      </c>
      <c r="G69" s="504">
        <f>Ecrêtage!M63</f>
        <v>0</v>
      </c>
      <c r="H69" s="505">
        <f t="shared" si="3"/>
        <v>282543.79074307217</v>
      </c>
      <c r="I69" s="324">
        <f t="shared" si="4"/>
        <v>371481.90574307216</v>
      </c>
    </row>
    <row r="70" spans="1:9" s="35" customFormat="1" x14ac:dyDescent="0.25">
      <c r="A70" s="38">
        <f>Données!A64</f>
        <v>5498</v>
      </c>
      <c r="B70" s="555" t="str">
        <f>Données!B64</f>
        <v>La Sarraz</v>
      </c>
      <c r="C70" s="31">
        <f>VPI!R64</f>
        <v>74676.731060606064</v>
      </c>
      <c r="D70" s="8">
        <f>Données!N64</f>
        <v>71417.3</v>
      </c>
      <c r="E70" s="238">
        <f>Données!O64+Données!P64+Données!R64</f>
        <v>250927.2</v>
      </c>
      <c r="F70" s="504">
        <f t="shared" si="2"/>
        <v>146888.79</v>
      </c>
      <c r="G70" s="504">
        <f>Ecrêtage!M64</f>
        <v>0</v>
      </c>
      <c r="H70" s="505">
        <f t="shared" si="3"/>
        <v>948152.57402930467</v>
      </c>
      <c r="I70" s="324">
        <f t="shared" si="4"/>
        <v>1095041.3640293046</v>
      </c>
    </row>
    <row r="71" spans="1:9" s="35" customFormat="1" x14ac:dyDescent="0.25">
      <c r="A71" s="38">
        <f>Données!A65</f>
        <v>5499</v>
      </c>
      <c r="B71" s="555" t="str">
        <f>Données!B65</f>
        <v>Senarclens</v>
      </c>
      <c r="C71" s="31">
        <f>VPI!R65</f>
        <v>18237.495182481751</v>
      </c>
      <c r="D71" s="8">
        <f>Données!N65</f>
        <v>17980.25</v>
      </c>
      <c r="E71" s="238">
        <f>Données!O65+Données!P65+Données!R65</f>
        <v>438563.05000000005</v>
      </c>
      <c r="F71" s="504">
        <f t="shared" si="2"/>
        <v>224675.60000000003</v>
      </c>
      <c r="G71" s="504">
        <f>Ecrêtage!M65</f>
        <v>0</v>
      </c>
      <c r="H71" s="505">
        <f t="shared" si="3"/>
        <v>231557.10963142387</v>
      </c>
      <c r="I71" s="324">
        <f t="shared" si="4"/>
        <v>456232.70963142393</v>
      </c>
    </row>
    <row r="72" spans="1:9" s="35" customFormat="1" x14ac:dyDescent="0.25">
      <c r="A72" s="38">
        <f>Données!A66</f>
        <v>5501</v>
      </c>
      <c r="B72" s="555" t="str">
        <f>Données!B66</f>
        <v>Sullens</v>
      </c>
      <c r="C72" s="31">
        <f>VPI!R66</f>
        <v>43189.9197080292</v>
      </c>
      <c r="D72" s="8">
        <f>Données!N66</f>
        <v>11593.6</v>
      </c>
      <c r="E72" s="238">
        <f>Données!O66+Données!P66+Données!R66</f>
        <v>610545.19999999995</v>
      </c>
      <c r="F72" s="504">
        <f t="shared" si="2"/>
        <v>308750.68</v>
      </c>
      <c r="G72" s="504">
        <f>Ecrêtage!M66</f>
        <v>0</v>
      </c>
      <c r="H72" s="505">
        <f t="shared" si="3"/>
        <v>548372.06934047781</v>
      </c>
      <c r="I72" s="324">
        <f t="shared" si="4"/>
        <v>857122.74934047787</v>
      </c>
    </row>
    <row r="73" spans="1:9" s="35" customFormat="1" x14ac:dyDescent="0.25">
      <c r="A73" s="38">
        <f>Données!A67</f>
        <v>5503</v>
      </c>
      <c r="B73" s="555" t="str">
        <f>Données!B67</f>
        <v>Vufflens-la-Ville</v>
      </c>
      <c r="C73" s="31">
        <f>VPI!R67</f>
        <v>79644.71771144279</v>
      </c>
      <c r="D73" s="8">
        <f>Données!N67</f>
        <v>157043</v>
      </c>
      <c r="E73" s="238">
        <f>Données!O67+Données!P67+Données!R67</f>
        <v>323549.3</v>
      </c>
      <c r="F73" s="504">
        <f t="shared" si="2"/>
        <v>208887.55</v>
      </c>
      <c r="G73" s="504">
        <f>Ecrêtage!M67</f>
        <v>217601.64662017967</v>
      </c>
      <c r="H73" s="505">
        <f t="shared" si="3"/>
        <v>1011229.9110234909</v>
      </c>
      <c r="I73" s="324">
        <f t="shared" si="4"/>
        <v>1437719.1076436706</v>
      </c>
    </row>
    <row r="74" spans="1:9" s="35" customFormat="1" x14ac:dyDescent="0.25">
      <c r="A74" s="38">
        <f>Données!A68</f>
        <v>5511</v>
      </c>
      <c r="B74" s="555" t="str">
        <f>Données!B68</f>
        <v>Assens</v>
      </c>
      <c r="C74" s="31">
        <f>VPI!R68</f>
        <v>70063.08636788046</v>
      </c>
      <c r="D74" s="8">
        <f>Données!N68</f>
        <v>337167.69999999995</v>
      </c>
      <c r="E74" s="238">
        <f>Données!O68+Données!P68+Données!R68</f>
        <v>980635.45</v>
      </c>
      <c r="F74" s="504">
        <f t="shared" si="2"/>
        <v>591468.03499999992</v>
      </c>
      <c r="G74" s="504">
        <f>Ecrêtage!M68</f>
        <v>0</v>
      </c>
      <c r="H74" s="505">
        <f t="shared" si="3"/>
        <v>889574.23203527415</v>
      </c>
      <c r="I74" s="324">
        <f t="shared" si="4"/>
        <v>1481042.2670352741</v>
      </c>
    </row>
    <row r="75" spans="1:9" s="35" customFormat="1" x14ac:dyDescent="0.25">
      <c r="A75" s="38">
        <f>Données!A69</f>
        <v>5512</v>
      </c>
      <c r="B75" s="555" t="str">
        <f>Données!B69</f>
        <v>Bercher</v>
      </c>
      <c r="C75" s="31">
        <f>VPI!R69</f>
        <v>40760.724050632911</v>
      </c>
      <c r="D75" s="8">
        <f>Données!N69</f>
        <v>87440.85</v>
      </c>
      <c r="E75" s="238">
        <f>Données!O69+Données!P69+Données!R69</f>
        <v>401406.35</v>
      </c>
      <c r="F75" s="504">
        <f t="shared" si="2"/>
        <v>226935.43</v>
      </c>
      <c r="G75" s="504">
        <f>Ecrêtage!M69</f>
        <v>0</v>
      </c>
      <c r="H75" s="505">
        <f t="shared" si="3"/>
        <v>517529.15371376358</v>
      </c>
      <c r="I75" s="324">
        <f t="shared" si="4"/>
        <v>744464.58371376363</v>
      </c>
    </row>
    <row r="76" spans="1:9" s="35" customFormat="1" x14ac:dyDescent="0.25">
      <c r="A76" s="38">
        <f>Données!A70</f>
        <v>5514</v>
      </c>
      <c r="B76" s="555" t="str">
        <f>Données!B70</f>
        <v>Bottens</v>
      </c>
      <c r="C76" s="31">
        <f>VPI!R70</f>
        <v>44222.939448275865</v>
      </c>
      <c r="D76" s="8">
        <f>Données!N70</f>
        <v>499.65</v>
      </c>
      <c r="E76" s="238">
        <f>Données!O70+Données!P70+Données!R70</f>
        <v>159886.1</v>
      </c>
      <c r="F76" s="504">
        <f t="shared" si="2"/>
        <v>80092.945000000007</v>
      </c>
      <c r="G76" s="504">
        <f>Ecrêtage!M70</f>
        <v>0</v>
      </c>
      <c r="H76" s="505">
        <f t="shared" si="3"/>
        <v>561488.0736409747</v>
      </c>
      <c r="I76" s="324">
        <f t="shared" si="4"/>
        <v>641581.01864097477</v>
      </c>
    </row>
    <row r="77" spans="1:9" s="35" customFormat="1" x14ac:dyDescent="0.25">
      <c r="A77" s="38">
        <f>Données!A71</f>
        <v>5515</v>
      </c>
      <c r="B77" s="555" t="str">
        <f>Données!B71</f>
        <v>Bretigny-sur-Morrens</v>
      </c>
      <c r="C77" s="31">
        <f>VPI!R71</f>
        <v>32347.747307692302</v>
      </c>
      <c r="D77" s="8">
        <f>Données!N71</f>
        <v>9701.7999999999993</v>
      </c>
      <c r="E77" s="238">
        <f>Données!O71+Données!P71+Données!R71</f>
        <v>199228.15</v>
      </c>
      <c r="F77" s="504">
        <f t="shared" ref="F77:F140" si="5">D77*$D$11+E77*$E$11</f>
        <v>102524.61499999999</v>
      </c>
      <c r="G77" s="504">
        <f>Ecrêtage!M71</f>
        <v>0</v>
      </c>
      <c r="H77" s="505">
        <f t="shared" ref="H77:H140" si="6">$H$11*C77</f>
        <v>410711.60237244918</v>
      </c>
      <c r="I77" s="324">
        <f t="shared" ref="I77:I140" si="7">F77+H77+G77</f>
        <v>513236.21737244917</v>
      </c>
    </row>
    <row r="78" spans="1:9" s="35" customFormat="1" x14ac:dyDescent="0.25">
      <c r="A78" s="38">
        <f>Données!A72</f>
        <v>5516</v>
      </c>
      <c r="B78" s="555" t="str">
        <f>Données!B72</f>
        <v>Cugy</v>
      </c>
      <c r="C78" s="31">
        <f>VPI!R72</f>
        <v>111596.10185897433</v>
      </c>
      <c r="D78" s="8">
        <f>Données!N72</f>
        <v>98315.199999999997</v>
      </c>
      <c r="E78" s="238">
        <f>Données!O72+Données!P72+Données!R72</f>
        <v>576117.55000000005</v>
      </c>
      <c r="F78" s="504">
        <f t="shared" si="5"/>
        <v>317553.33500000002</v>
      </c>
      <c r="G78" s="504">
        <f>Ecrêtage!M72</f>
        <v>0</v>
      </c>
      <c r="H78" s="505">
        <f t="shared" si="6"/>
        <v>1416908.9852547201</v>
      </c>
      <c r="I78" s="324">
        <f t="shared" si="7"/>
        <v>1734462.32025472</v>
      </c>
    </row>
    <row r="79" spans="1:9" s="35" customFormat="1" x14ac:dyDescent="0.25">
      <c r="A79" s="38">
        <f>Données!A73</f>
        <v>5518</v>
      </c>
      <c r="B79" s="555" t="str">
        <f>Données!B73</f>
        <v>Echallens</v>
      </c>
      <c r="C79" s="31">
        <f>VPI!R73</f>
        <v>183008.89172413788</v>
      </c>
      <c r="D79" s="8">
        <f>Données!N73</f>
        <v>227029.45</v>
      </c>
      <c r="E79" s="238">
        <f>Données!O73+Données!P73+Données!R73</f>
        <v>950584.15</v>
      </c>
      <c r="F79" s="504">
        <f t="shared" si="5"/>
        <v>543400.91</v>
      </c>
      <c r="G79" s="504">
        <f>Ecrêtage!M73</f>
        <v>0</v>
      </c>
      <c r="H79" s="505">
        <f t="shared" si="6"/>
        <v>2323620.0794283049</v>
      </c>
      <c r="I79" s="324">
        <f t="shared" si="7"/>
        <v>2867020.9894283051</v>
      </c>
    </row>
    <row r="80" spans="1:9" s="35" customFormat="1" x14ac:dyDescent="0.25">
      <c r="A80" s="38">
        <f>Données!A74</f>
        <v>5520</v>
      </c>
      <c r="B80" s="555" t="str">
        <f>Données!B74</f>
        <v>Essertines-sur-Yverdon</v>
      </c>
      <c r="C80" s="31">
        <f>VPI!R74</f>
        <v>31695.423698630133</v>
      </c>
      <c r="D80" s="8">
        <f>Données!N74</f>
        <v>11223.55</v>
      </c>
      <c r="E80" s="238">
        <f>Données!O74+Données!P74+Données!R74</f>
        <v>109405.95</v>
      </c>
      <c r="F80" s="504">
        <f t="shared" si="5"/>
        <v>58070.04</v>
      </c>
      <c r="G80" s="504">
        <f>Ecrêtage!M74</f>
        <v>0</v>
      </c>
      <c r="H80" s="505">
        <f t="shared" si="6"/>
        <v>402429.20569750079</v>
      </c>
      <c r="I80" s="324">
        <f t="shared" si="7"/>
        <v>460499.24569750077</v>
      </c>
    </row>
    <row r="81" spans="1:9" s="35" customFormat="1" x14ac:dyDescent="0.25">
      <c r="A81" s="38">
        <f>Données!A75</f>
        <v>5521</v>
      </c>
      <c r="B81" s="555" t="str">
        <f>Données!B75</f>
        <v>Etagnières</v>
      </c>
      <c r="C81" s="31">
        <f>VPI!R75</f>
        <v>42637.34945205479</v>
      </c>
      <c r="D81" s="8">
        <f>Données!N75</f>
        <v>29998</v>
      </c>
      <c r="E81" s="238">
        <f>Données!O75+Données!P75+Données!R75</f>
        <v>232676.25</v>
      </c>
      <c r="F81" s="504">
        <f t="shared" si="5"/>
        <v>125337.52499999999</v>
      </c>
      <c r="G81" s="504">
        <f>Ecrêtage!M75</f>
        <v>0</v>
      </c>
      <c r="H81" s="505">
        <f t="shared" si="6"/>
        <v>541356.21710520831</v>
      </c>
      <c r="I81" s="324">
        <f t="shared" si="7"/>
        <v>666693.74210520834</v>
      </c>
    </row>
    <row r="82" spans="1:9" s="35" customFormat="1" x14ac:dyDescent="0.25">
      <c r="A82" s="38">
        <f>Données!A76</f>
        <v>5522</v>
      </c>
      <c r="B82" s="555" t="str">
        <f>Données!B76</f>
        <v>Fey</v>
      </c>
      <c r="C82" s="31">
        <f>VPI!R76</f>
        <v>23923.447333333334</v>
      </c>
      <c r="D82" s="8">
        <f>Données!N76</f>
        <v>26174.95</v>
      </c>
      <c r="E82" s="238">
        <f>Données!O76+Données!P76+Données!R76</f>
        <v>68953</v>
      </c>
      <c r="F82" s="504">
        <f t="shared" si="5"/>
        <v>42328.985000000001</v>
      </c>
      <c r="G82" s="504">
        <f>Ecrêtage!M76</f>
        <v>0</v>
      </c>
      <c r="H82" s="505">
        <f t="shared" si="6"/>
        <v>303750.28267299751</v>
      </c>
      <c r="I82" s="324">
        <f t="shared" si="7"/>
        <v>346079.26767299749</v>
      </c>
    </row>
    <row r="83" spans="1:9" s="35" customFormat="1" x14ac:dyDescent="0.25">
      <c r="A83" s="38">
        <f>Données!A77</f>
        <v>5523</v>
      </c>
      <c r="B83" s="555" t="str">
        <f>Données!B77</f>
        <v>Froideville</v>
      </c>
      <c r="C83" s="31">
        <f>VPI!R77</f>
        <v>93735.809027777781</v>
      </c>
      <c r="D83" s="8">
        <f>Données!N77</f>
        <v>6648.85</v>
      </c>
      <c r="E83" s="238">
        <f>Données!O77+Données!P77+Données!R77</f>
        <v>1006685.4</v>
      </c>
      <c r="F83" s="504">
        <f t="shared" si="5"/>
        <v>505337.35500000004</v>
      </c>
      <c r="G83" s="504">
        <f>Ecrêtage!M77</f>
        <v>0</v>
      </c>
      <c r="H83" s="505">
        <f t="shared" si="6"/>
        <v>1190141.1235619977</v>
      </c>
      <c r="I83" s="324">
        <f t="shared" si="7"/>
        <v>1695478.4785619976</v>
      </c>
    </row>
    <row r="84" spans="1:9" s="35" customFormat="1" x14ac:dyDescent="0.25">
      <c r="A84" s="38">
        <f>Données!A78</f>
        <v>5527</v>
      </c>
      <c r="B84" s="555" t="str">
        <f>Données!B78</f>
        <v>Morrens</v>
      </c>
      <c r="C84" s="31">
        <f>VPI!R78</f>
        <v>39310.034189189188</v>
      </c>
      <c r="D84" s="8">
        <f>Données!N78</f>
        <v>10850.5</v>
      </c>
      <c r="E84" s="238">
        <f>Données!O78+Données!P78+Données!R78</f>
        <v>259172.05000000002</v>
      </c>
      <c r="F84" s="504">
        <f t="shared" si="5"/>
        <v>132841.17500000002</v>
      </c>
      <c r="G84" s="504">
        <f>Ecrêtage!M78</f>
        <v>0</v>
      </c>
      <c r="H84" s="505">
        <f t="shared" si="6"/>
        <v>499110.09188940795</v>
      </c>
      <c r="I84" s="324">
        <f t="shared" si="7"/>
        <v>631951.266889408</v>
      </c>
    </row>
    <row r="85" spans="1:9" s="35" customFormat="1" x14ac:dyDescent="0.25">
      <c r="A85" s="38">
        <f>Données!A79</f>
        <v>5529</v>
      </c>
      <c r="B85" s="555" t="str">
        <f>Données!B79</f>
        <v>Oulens-sous-Echallens</v>
      </c>
      <c r="C85" s="31">
        <f>VPI!R79</f>
        <v>21162.073571428573</v>
      </c>
      <c r="D85" s="8">
        <f>Données!N79</f>
        <v>0</v>
      </c>
      <c r="E85" s="238">
        <f>Données!O79+Données!P79+Données!R79</f>
        <v>285837.75</v>
      </c>
      <c r="F85" s="504">
        <f t="shared" si="5"/>
        <v>142918.875</v>
      </c>
      <c r="G85" s="504">
        <f>Ecrêtage!M79</f>
        <v>0</v>
      </c>
      <c r="H85" s="505">
        <f t="shared" si="6"/>
        <v>268689.78118851094</v>
      </c>
      <c r="I85" s="324">
        <f t="shared" si="7"/>
        <v>411608.65618851094</v>
      </c>
    </row>
    <row r="86" spans="1:9" s="35" customFormat="1" x14ac:dyDescent="0.25">
      <c r="A86" s="38">
        <f>Données!A80</f>
        <v>5530</v>
      </c>
      <c r="B86" s="555" t="str">
        <f>Données!B80</f>
        <v>Pailly</v>
      </c>
      <c r="C86" s="31">
        <f>VPI!R80</f>
        <v>19308.365285087715</v>
      </c>
      <c r="D86" s="8">
        <f>Données!N80</f>
        <v>19384.099999999999</v>
      </c>
      <c r="E86" s="238">
        <f>Données!O80+Données!P80+Données!R80</f>
        <v>112616.95000000001</v>
      </c>
      <c r="F86" s="504">
        <f t="shared" si="5"/>
        <v>62123.705000000002</v>
      </c>
      <c r="G86" s="504">
        <f>Ecrêtage!M80</f>
        <v>0</v>
      </c>
      <c r="H86" s="505">
        <f t="shared" si="6"/>
        <v>245153.69092008306</v>
      </c>
      <c r="I86" s="324">
        <f t="shared" si="7"/>
        <v>307277.39592008304</v>
      </c>
    </row>
    <row r="87" spans="1:9" s="35" customFormat="1" x14ac:dyDescent="0.25">
      <c r="A87" s="38">
        <f>Données!A81</f>
        <v>5531</v>
      </c>
      <c r="B87" s="555" t="str">
        <f>Données!B81</f>
        <v>Penthéréaz</v>
      </c>
      <c r="C87" s="31">
        <f>VPI!R81</f>
        <v>14300.520945945947</v>
      </c>
      <c r="D87" s="8">
        <f>Données!N81</f>
        <v>23410.5</v>
      </c>
      <c r="E87" s="238">
        <f>Données!O81+Données!P81+Données!R81</f>
        <v>109881.4</v>
      </c>
      <c r="F87" s="504">
        <f t="shared" si="5"/>
        <v>61963.85</v>
      </c>
      <c r="G87" s="504">
        <f>Ecrêtage!M81</f>
        <v>0</v>
      </c>
      <c r="H87" s="505">
        <f t="shared" si="6"/>
        <v>181570.29040082614</v>
      </c>
      <c r="I87" s="324">
        <f t="shared" si="7"/>
        <v>243534.14040082615</v>
      </c>
    </row>
    <row r="88" spans="1:9" s="35" customFormat="1" x14ac:dyDescent="0.25">
      <c r="A88" s="38">
        <f>Données!A82</f>
        <v>5533</v>
      </c>
      <c r="B88" s="555" t="str">
        <f>Données!B82</f>
        <v>Poliez-Pittet</v>
      </c>
      <c r="C88" s="31">
        <f>VPI!R82</f>
        <v>27495.737397260269</v>
      </c>
      <c r="D88" s="8">
        <f>Données!N82</f>
        <v>4072.25</v>
      </c>
      <c r="E88" s="238">
        <f>Données!O82+Données!P82+Données!R82</f>
        <v>30268.5</v>
      </c>
      <c r="F88" s="504">
        <f t="shared" si="5"/>
        <v>16355.924999999999</v>
      </c>
      <c r="G88" s="504">
        <f>Ecrêtage!M82</f>
        <v>0</v>
      </c>
      <c r="H88" s="505">
        <f t="shared" si="6"/>
        <v>349106.79428225302</v>
      </c>
      <c r="I88" s="324">
        <f t="shared" si="7"/>
        <v>365462.71928225301</v>
      </c>
    </row>
    <row r="89" spans="1:9" s="35" customFormat="1" x14ac:dyDescent="0.25">
      <c r="A89" s="38">
        <f>Données!A83</f>
        <v>5534</v>
      </c>
      <c r="B89" s="555" t="str">
        <f>Données!B83</f>
        <v>Rueyres</v>
      </c>
      <c r="C89" s="31">
        <f>VPI!R83</f>
        <v>13098.988310502282</v>
      </c>
      <c r="D89" s="8">
        <f>Données!N83</f>
        <v>30156.05</v>
      </c>
      <c r="E89" s="238">
        <f>Données!O83+Données!P83+Données!R83</f>
        <v>104253.65</v>
      </c>
      <c r="F89" s="504">
        <f t="shared" si="5"/>
        <v>61173.64</v>
      </c>
      <c r="G89" s="504">
        <f>Ecrêtage!M83</f>
        <v>0</v>
      </c>
      <c r="H89" s="505">
        <f t="shared" si="6"/>
        <v>166314.71821795238</v>
      </c>
      <c r="I89" s="324">
        <f t="shared" si="7"/>
        <v>227488.35821795237</v>
      </c>
    </row>
    <row r="90" spans="1:9" s="35" customFormat="1" x14ac:dyDescent="0.25">
      <c r="A90" s="38">
        <f>Données!A84</f>
        <v>5535</v>
      </c>
      <c r="B90" s="555" t="str">
        <f>Données!B84</f>
        <v>Saint-Barthélemy</v>
      </c>
      <c r="C90" s="31">
        <f>VPI!R84</f>
        <v>25080.037866666662</v>
      </c>
      <c r="D90" s="8">
        <f>Données!N84</f>
        <v>43807.25</v>
      </c>
      <c r="E90" s="238">
        <f>Données!O84+Données!P84+Données!R84</f>
        <v>96275.15</v>
      </c>
      <c r="F90" s="504">
        <f t="shared" si="5"/>
        <v>61279.75</v>
      </c>
      <c r="G90" s="504">
        <f>Ecrêtage!M84</f>
        <v>0</v>
      </c>
      <c r="H90" s="505">
        <f t="shared" si="6"/>
        <v>318435.23574610299</v>
      </c>
      <c r="I90" s="324">
        <f t="shared" si="7"/>
        <v>379714.98574610299</v>
      </c>
    </row>
    <row r="91" spans="1:9" s="35" customFormat="1" x14ac:dyDescent="0.25">
      <c r="A91" s="38">
        <f>Données!A85</f>
        <v>5537</v>
      </c>
      <c r="B91" s="555" t="str">
        <f>Données!B85</f>
        <v>Villars-le-Terroir</v>
      </c>
      <c r="C91" s="31">
        <f>VPI!R85</f>
        <v>42917.111184210531</v>
      </c>
      <c r="D91" s="8">
        <f>Données!N85</f>
        <v>2823.5</v>
      </c>
      <c r="E91" s="238">
        <f>Données!O85+Données!P85+Données!R85</f>
        <v>113247.2</v>
      </c>
      <c r="F91" s="504">
        <f t="shared" si="5"/>
        <v>57470.65</v>
      </c>
      <c r="G91" s="504">
        <f>Ecrêtage!M85</f>
        <v>0</v>
      </c>
      <c r="H91" s="505">
        <f t="shared" si="6"/>
        <v>544908.28483354906</v>
      </c>
      <c r="I91" s="324">
        <f t="shared" si="7"/>
        <v>602378.93483354908</v>
      </c>
    </row>
    <row r="92" spans="1:9" s="35" customFormat="1" x14ac:dyDescent="0.25">
      <c r="A92" s="38">
        <f>Données!A86</f>
        <v>5539</v>
      </c>
      <c r="B92" s="555" t="str">
        <f>Données!B86</f>
        <v>Vuarrens</v>
      </c>
      <c r="C92" s="31">
        <f>VPI!R86</f>
        <v>34556.836734693868</v>
      </c>
      <c r="D92" s="8">
        <f>Données!N86</f>
        <v>17971.5</v>
      </c>
      <c r="E92" s="238">
        <f>Données!O86+Données!P86+Données!R86</f>
        <v>239895.95</v>
      </c>
      <c r="F92" s="504">
        <f t="shared" si="5"/>
        <v>125339.425</v>
      </c>
      <c r="G92" s="504">
        <f>Ecrêtage!M86</f>
        <v>0</v>
      </c>
      <c r="H92" s="505">
        <f t="shared" si="6"/>
        <v>438759.88189304795</v>
      </c>
      <c r="I92" s="324">
        <f t="shared" si="7"/>
        <v>564099.30689304799</v>
      </c>
    </row>
    <row r="93" spans="1:9" s="35" customFormat="1" x14ac:dyDescent="0.25">
      <c r="A93" s="38">
        <f>Données!A87</f>
        <v>5540</v>
      </c>
      <c r="B93" s="555" t="str">
        <f>Données!B87</f>
        <v>Montilliez</v>
      </c>
      <c r="C93" s="31">
        <f>VPI!R87</f>
        <v>63309.453137931036</v>
      </c>
      <c r="D93" s="8">
        <f>Données!N87</f>
        <v>1152.4000000000001</v>
      </c>
      <c r="E93" s="238">
        <f>Données!O87+Données!P87+Données!R87</f>
        <v>296815.90000000002</v>
      </c>
      <c r="F93" s="504">
        <f t="shared" si="5"/>
        <v>148753.67000000001</v>
      </c>
      <c r="G93" s="504">
        <f>Ecrêtage!M87</f>
        <v>0</v>
      </c>
      <c r="H93" s="505">
        <f t="shared" si="6"/>
        <v>803824.96797295904</v>
      </c>
      <c r="I93" s="324">
        <f t="shared" si="7"/>
        <v>952578.63797295908</v>
      </c>
    </row>
    <row r="94" spans="1:9" s="35" customFormat="1" x14ac:dyDescent="0.25">
      <c r="A94" s="38">
        <f>Données!A88</f>
        <v>5541</v>
      </c>
      <c r="B94" s="555" t="str">
        <f>Données!B88</f>
        <v>Goumoëns</v>
      </c>
      <c r="C94" s="31">
        <f>VPI!R88</f>
        <v>41276.409536423838</v>
      </c>
      <c r="D94" s="8">
        <f>Données!N88</f>
        <v>5116.2</v>
      </c>
      <c r="E94" s="238">
        <f>Données!O88+Données!P88+Données!R88</f>
        <v>155126.29999999999</v>
      </c>
      <c r="F94" s="504">
        <f t="shared" si="5"/>
        <v>79098.009999999995</v>
      </c>
      <c r="G94" s="504">
        <f>Ecrêtage!M88</f>
        <v>0</v>
      </c>
      <c r="H94" s="505">
        <f t="shared" si="6"/>
        <v>524076.68885353021</v>
      </c>
      <c r="I94" s="324">
        <f t="shared" si="7"/>
        <v>603174.69885353022</v>
      </c>
    </row>
    <row r="95" spans="1:9" s="35" customFormat="1" x14ac:dyDescent="0.25">
      <c r="A95" s="38">
        <f>Données!A89</f>
        <v>5551</v>
      </c>
      <c r="B95" s="555" t="str">
        <f>Données!B89</f>
        <v>Bonvillars</v>
      </c>
      <c r="C95" s="31">
        <f>VPI!R89</f>
        <v>18704.487454545451</v>
      </c>
      <c r="D95" s="8">
        <f>Données!N89</f>
        <v>6473</v>
      </c>
      <c r="E95" s="238">
        <f>Données!O89+Données!P89+Données!R89</f>
        <v>105329.05</v>
      </c>
      <c r="F95" s="504">
        <f t="shared" si="5"/>
        <v>54606.425000000003</v>
      </c>
      <c r="G95" s="504">
        <f>Ecrêtage!M89</f>
        <v>0</v>
      </c>
      <c r="H95" s="505">
        <f t="shared" si="6"/>
        <v>237486.39869537126</v>
      </c>
      <c r="I95" s="324">
        <f t="shared" si="7"/>
        <v>292092.82369537128</v>
      </c>
    </row>
    <row r="96" spans="1:9" s="35" customFormat="1" x14ac:dyDescent="0.25">
      <c r="A96" s="38">
        <f>Données!A90</f>
        <v>5552</v>
      </c>
      <c r="B96" s="555" t="str">
        <f>Données!B90</f>
        <v>Bullet</v>
      </c>
      <c r="C96" s="31">
        <f>VPI!R90</f>
        <v>19598.576923076926</v>
      </c>
      <c r="D96" s="8">
        <f>Données!N90</f>
        <v>78794.899999999994</v>
      </c>
      <c r="E96" s="238">
        <f>Données!O90+Données!P90+Données!R90</f>
        <v>354637.05</v>
      </c>
      <c r="F96" s="504">
        <f t="shared" si="5"/>
        <v>200956.995</v>
      </c>
      <c r="G96" s="504">
        <f>Ecrêtage!M90</f>
        <v>0</v>
      </c>
      <c r="H96" s="505">
        <f t="shared" si="6"/>
        <v>248838.43860071484</v>
      </c>
      <c r="I96" s="324">
        <f t="shared" si="7"/>
        <v>449795.43360071484</v>
      </c>
    </row>
    <row r="97" spans="1:9" s="35" customFormat="1" x14ac:dyDescent="0.25">
      <c r="A97" s="38">
        <f>Données!A91</f>
        <v>5553</v>
      </c>
      <c r="B97" s="555" t="str">
        <f>Données!B91</f>
        <v>Champagne</v>
      </c>
      <c r="C97" s="31">
        <f>VPI!R91</f>
        <v>40077.283076923086</v>
      </c>
      <c r="D97" s="8">
        <f>Données!N91</f>
        <v>162665.4</v>
      </c>
      <c r="E97" s="238">
        <f>Données!O91+Données!P91+Données!R91</f>
        <v>149602.79999999999</v>
      </c>
      <c r="F97" s="504">
        <f t="shared" si="5"/>
        <v>123601.01999999999</v>
      </c>
      <c r="G97" s="504">
        <f>Ecrêtage!M91</f>
        <v>0</v>
      </c>
      <c r="H97" s="505">
        <f t="shared" si="6"/>
        <v>508851.66731048014</v>
      </c>
      <c r="I97" s="324">
        <f t="shared" si="7"/>
        <v>632452.68731048016</v>
      </c>
    </row>
    <row r="98" spans="1:9" s="35" customFormat="1" x14ac:dyDescent="0.25">
      <c r="A98" s="38">
        <f>Données!A92</f>
        <v>5554</v>
      </c>
      <c r="B98" s="555" t="str">
        <f>Données!B92</f>
        <v>Concise</v>
      </c>
      <c r="C98" s="31">
        <f>VPI!R92</f>
        <v>31499.25106666666</v>
      </c>
      <c r="D98" s="8">
        <f>Données!N92</f>
        <v>21995.5</v>
      </c>
      <c r="E98" s="238">
        <f>Données!O92+Données!P92+Données!R92</f>
        <v>1337539.7</v>
      </c>
      <c r="F98" s="504">
        <f t="shared" si="5"/>
        <v>675368.5</v>
      </c>
      <c r="G98" s="504">
        <f>Ecrêtage!M92</f>
        <v>0</v>
      </c>
      <c r="H98" s="505">
        <f t="shared" si="6"/>
        <v>399938.44876011804</v>
      </c>
      <c r="I98" s="324">
        <f t="shared" si="7"/>
        <v>1075306.9487601181</v>
      </c>
    </row>
    <row r="99" spans="1:9" s="35" customFormat="1" x14ac:dyDescent="0.25">
      <c r="A99" s="38">
        <f>Données!A93</f>
        <v>5555</v>
      </c>
      <c r="B99" s="555" t="str">
        <f>Données!B93</f>
        <v>Corcelles-près-Concise</v>
      </c>
      <c r="C99" s="31">
        <f>VPI!R93</f>
        <v>13877.681159420288</v>
      </c>
      <c r="D99" s="8">
        <f>Données!N93</f>
        <v>10061.950000000001</v>
      </c>
      <c r="E99" s="238">
        <f>Données!O93+Données!P93+Données!R93</f>
        <v>99558.299999999988</v>
      </c>
      <c r="F99" s="504">
        <f t="shared" si="5"/>
        <v>52797.734999999993</v>
      </c>
      <c r="G99" s="504">
        <f>Ecrêtage!M93</f>
        <v>0</v>
      </c>
      <c r="H99" s="505">
        <f t="shared" si="6"/>
        <v>176201.59487409063</v>
      </c>
      <c r="I99" s="324">
        <f t="shared" si="7"/>
        <v>228999.32987409062</v>
      </c>
    </row>
    <row r="100" spans="1:9" s="35" customFormat="1" x14ac:dyDescent="0.25">
      <c r="A100" s="38">
        <f>Données!A94</f>
        <v>5556</v>
      </c>
      <c r="B100" s="555" t="str">
        <f>Données!B94</f>
        <v>Fiez</v>
      </c>
      <c r="C100" s="31">
        <f>VPI!R94</f>
        <v>14574.59084541063</v>
      </c>
      <c r="D100" s="8">
        <f>Données!N94</f>
        <v>0</v>
      </c>
      <c r="E100" s="238">
        <f>Données!O94+Données!P94+Données!R94</f>
        <v>57836.75</v>
      </c>
      <c r="F100" s="504">
        <f t="shared" si="5"/>
        <v>28918.375</v>
      </c>
      <c r="G100" s="504">
        <f>Ecrêtage!M94</f>
        <v>0</v>
      </c>
      <c r="H100" s="505">
        <f t="shared" si="6"/>
        <v>185050.09029231436</v>
      </c>
      <c r="I100" s="324">
        <f t="shared" si="7"/>
        <v>213968.46529231436</v>
      </c>
    </row>
    <row r="101" spans="1:9" s="35" customFormat="1" x14ac:dyDescent="0.25">
      <c r="A101" s="38">
        <f>Données!A95</f>
        <v>5557</v>
      </c>
      <c r="B101" s="555" t="str">
        <f>Données!B95</f>
        <v>Fontaines-sur-Grandson</v>
      </c>
      <c r="C101" s="31">
        <f>VPI!R95</f>
        <v>4232.7078260869557</v>
      </c>
      <c r="D101" s="8">
        <f>Données!N95</f>
        <v>0</v>
      </c>
      <c r="E101" s="238">
        <f>Données!O95+Données!P95+Données!R95</f>
        <v>13262.8</v>
      </c>
      <c r="F101" s="504">
        <f t="shared" si="5"/>
        <v>6631.4</v>
      </c>
      <c r="G101" s="504">
        <f>Ecrêtage!M95</f>
        <v>0</v>
      </c>
      <c r="H101" s="505">
        <f t="shared" si="6"/>
        <v>53741.677808061228</v>
      </c>
      <c r="I101" s="324">
        <f t="shared" si="7"/>
        <v>60373.077808061229</v>
      </c>
    </row>
    <row r="102" spans="1:9" s="35" customFormat="1" x14ac:dyDescent="0.25">
      <c r="A102" s="38">
        <f>Données!A96</f>
        <v>5559</v>
      </c>
      <c r="B102" s="555" t="str">
        <f>Données!B96</f>
        <v>Giez</v>
      </c>
      <c r="C102" s="31">
        <f>VPI!R96</f>
        <v>23427.520303030306</v>
      </c>
      <c r="D102" s="8">
        <f>Données!N96</f>
        <v>10451.549999999999</v>
      </c>
      <c r="E102" s="238">
        <f>Données!O96+Données!P96+Données!R96</f>
        <v>182541.95</v>
      </c>
      <c r="F102" s="504">
        <f t="shared" si="5"/>
        <v>94406.44</v>
      </c>
      <c r="G102" s="504">
        <f>Ecrêtage!M96</f>
        <v>28951.237642589549</v>
      </c>
      <c r="H102" s="505">
        <f t="shared" si="6"/>
        <v>297453.61591168854</v>
      </c>
      <c r="I102" s="324">
        <f t="shared" si="7"/>
        <v>420811.29355427809</v>
      </c>
    </row>
    <row r="103" spans="1:9" s="35" customFormat="1" x14ac:dyDescent="0.25">
      <c r="A103" s="38">
        <f>Données!A97</f>
        <v>5560</v>
      </c>
      <c r="B103" s="555" t="str">
        <f>Données!B97</f>
        <v>Grandevent</v>
      </c>
      <c r="C103" s="31">
        <f>VPI!R97</f>
        <v>7003.3020588235295</v>
      </c>
      <c r="D103" s="8">
        <f>Données!N97</f>
        <v>0</v>
      </c>
      <c r="E103" s="238">
        <f>Données!O97+Données!P97+Données!R97</f>
        <v>87712.200000000012</v>
      </c>
      <c r="F103" s="504">
        <f t="shared" si="5"/>
        <v>43856.100000000006</v>
      </c>
      <c r="G103" s="504">
        <f>Ecrêtage!M97</f>
        <v>0</v>
      </c>
      <c r="H103" s="505">
        <f t="shared" si="6"/>
        <v>88919.249402992908</v>
      </c>
      <c r="I103" s="324">
        <f t="shared" si="7"/>
        <v>132775.34940299293</v>
      </c>
    </row>
    <row r="104" spans="1:9" s="35" customFormat="1" x14ac:dyDescent="0.25">
      <c r="A104" s="38">
        <f>Données!A98</f>
        <v>5561</v>
      </c>
      <c r="B104" s="555" t="str">
        <f>Données!B98</f>
        <v>Grandson</v>
      </c>
      <c r="C104" s="31">
        <f>VPI!R98</f>
        <v>114496.59724637681</v>
      </c>
      <c r="D104" s="8">
        <f>Données!N98</f>
        <v>378118.75</v>
      </c>
      <c r="E104" s="238">
        <f>Données!O98+Données!P98+Données!R98</f>
        <v>1049030.75</v>
      </c>
      <c r="F104" s="504">
        <f t="shared" si="5"/>
        <v>637951</v>
      </c>
      <c r="G104" s="504">
        <f>Ecrêtage!M98</f>
        <v>0</v>
      </c>
      <c r="H104" s="505">
        <f t="shared" si="6"/>
        <v>1453735.8807075201</v>
      </c>
      <c r="I104" s="324">
        <f t="shared" si="7"/>
        <v>2091686.8807075201</v>
      </c>
    </row>
    <row r="105" spans="1:9" s="35" customFormat="1" x14ac:dyDescent="0.25">
      <c r="A105" s="38">
        <f>Données!A99</f>
        <v>5562</v>
      </c>
      <c r="B105" s="555" t="str">
        <f>Données!B99</f>
        <v>Mauborget</v>
      </c>
      <c r="C105" s="31">
        <f>VPI!R99</f>
        <v>6099.4266904761898</v>
      </c>
      <c r="D105" s="8">
        <f>Données!N99</f>
        <v>278.8</v>
      </c>
      <c r="E105" s="238">
        <f>Données!O99+Données!P99+Données!R99</f>
        <v>43860.15</v>
      </c>
      <c r="F105" s="504">
        <f t="shared" si="5"/>
        <v>22013.715</v>
      </c>
      <c r="G105" s="504">
        <f>Ecrêtage!M99</f>
        <v>0</v>
      </c>
      <c r="H105" s="505">
        <f t="shared" si="6"/>
        <v>77442.960270777374</v>
      </c>
      <c r="I105" s="324">
        <f t="shared" si="7"/>
        <v>99456.67527077737</v>
      </c>
    </row>
    <row r="106" spans="1:9" s="35" customFormat="1" x14ac:dyDescent="0.25">
      <c r="A106" s="38">
        <f>Données!A100</f>
        <v>5563</v>
      </c>
      <c r="B106" s="555" t="str">
        <f>Données!B100</f>
        <v>Mutrux</v>
      </c>
      <c r="C106" s="31">
        <f>VPI!R100</f>
        <v>4282.2106250000006</v>
      </c>
      <c r="D106" s="8">
        <f>Données!N100</f>
        <v>0</v>
      </c>
      <c r="E106" s="238">
        <f>Données!O100+Données!P100+Données!R100</f>
        <v>78919.850000000006</v>
      </c>
      <c r="F106" s="504">
        <f t="shared" si="5"/>
        <v>39459.925000000003</v>
      </c>
      <c r="G106" s="504">
        <f>Ecrêtage!M100</f>
        <v>0</v>
      </c>
      <c r="H106" s="505">
        <f t="shared" si="6"/>
        <v>54370.202993141516</v>
      </c>
      <c r="I106" s="324">
        <f t="shared" si="7"/>
        <v>93830.127993141519</v>
      </c>
    </row>
    <row r="107" spans="1:9" s="35" customFormat="1" x14ac:dyDescent="0.25">
      <c r="A107" s="38">
        <f>Données!A101</f>
        <v>5564</v>
      </c>
      <c r="B107" s="555" t="str">
        <f>Données!B101</f>
        <v>Novalles</v>
      </c>
      <c r="C107" s="31">
        <f>VPI!R101</f>
        <v>2099.5443749999999</v>
      </c>
      <c r="D107" s="8">
        <f>Données!N101</f>
        <v>0</v>
      </c>
      <c r="E107" s="238">
        <f>Données!O101+Données!P101+Données!R101</f>
        <v>3651.55</v>
      </c>
      <c r="F107" s="504">
        <f t="shared" si="5"/>
        <v>1825.7750000000001</v>
      </c>
      <c r="G107" s="504">
        <f>Ecrêtage!M101</f>
        <v>0</v>
      </c>
      <c r="H107" s="505">
        <f t="shared" si="6"/>
        <v>26657.412224289743</v>
      </c>
      <c r="I107" s="324">
        <f t="shared" si="7"/>
        <v>28483.187224289744</v>
      </c>
    </row>
    <row r="108" spans="1:9" s="35" customFormat="1" x14ac:dyDescent="0.25">
      <c r="A108" s="38">
        <f>Données!A102</f>
        <v>5565</v>
      </c>
      <c r="B108" s="555" t="str">
        <f>Données!B102</f>
        <v>Onnens</v>
      </c>
      <c r="C108" s="31">
        <f>VPI!R102</f>
        <v>22684.162047244088</v>
      </c>
      <c r="D108" s="8">
        <f>Données!N102</f>
        <v>63286.3</v>
      </c>
      <c r="E108" s="238">
        <f>Données!O102+Données!P102+Données!R102</f>
        <v>75124.649999999994</v>
      </c>
      <c r="F108" s="504">
        <f t="shared" si="5"/>
        <v>56548.214999999997</v>
      </c>
      <c r="G108" s="504">
        <f>Ecrêtage!M102</f>
        <v>0</v>
      </c>
      <c r="H108" s="505">
        <f t="shared" si="6"/>
        <v>288015.3741241949</v>
      </c>
      <c r="I108" s="324">
        <f t="shared" si="7"/>
        <v>344563.58912419493</v>
      </c>
    </row>
    <row r="109" spans="1:9" s="35" customFormat="1" x14ac:dyDescent="0.25">
      <c r="A109" s="38">
        <f>Données!A103</f>
        <v>5566</v>
      </c>
      <c r="B109" s="555" t="str">
        <f>Données!B103</f>
        <v>Provence</v>
      </c>
      <c r="C109" s="31">
        <f>VPI!R103</f>
        <v>9377.2088888888902</v>
      </c>
      <c r="D109" s="8">
        <f>Données!N103</f>
        <v>7185.35</v>
      </c>
      <c r="E109" s="238">
        <f>Données!O103+Données!P103+Données!R103</f>
        <v>50750.7</v>
      </c>
      <c r="F109" s="504">
        <f t="shared" si="5"/>
        <v>27530.954999999998</v>
      </c>
      <c r="G109" s="504">
        <f>Ecrêtage!M103</f>
        <v>0</v>
      </c>
      <c r="H109" s="505">
        <f t="shared" si="6"/>
        <v>119060.17602718454</v>
      </c>
      <c r="I109" s="324">
        <f t="shared" si="7"/>
        <v>146591.13102718454</v>
      </c>
    </row>
    <row r="110" spans="1:9" s="35" customFormat="1" x14ac:dyDescent="0.25">
      <c r="A110" s="38">
        <f>Données!A104</f>
        <v>5568</v>
      </c>
      <c r="B110" s="555" t="str">
        <f>Données!B104</f>
        <v>Sainte-Croix</v>
      </c>
      <c r="C110" s="31">
        <f>VPI!R104</f>
        <v>109152.09599999999</v>
      </c>
      <c r="D110" s="8">
        <f>Données!N104</f>
        <v>2053229.95</v>
      </c>
      <c r="E110" s="238">
        <f>Données!O104+Données!P104+Données!R104</f>
        <v>1270379.7999999998</v>
      </c>
      <c r="F110" s="504">
        <f t="shared" si="5"/>
        <v>1251158.8849999998</v>
      </c>
      <c r="G110" s="504">
        <f>Ecrêtage!M104</f>
        <v>0</v>
      </c>
      <c r="H110" s="505">
        <f t="shared" si="6"/>
        <v>1385878.0280446548</v>
      </c>
      <c r="I110" s="324">
        <f t="shared" si="7"/>
        <v>2637036.9130446548</v>
      </c>
    </row>
    <row r="111" spans="1:9" s="35" customFormat="1" x14ac:dyDescent="0.25">
      <c r="A111" s="38">
        <f>Données!A105</f>
        <v>5571</v>
      </c>
      <c r="B111" s="555" t="str">
        <f>Données!B105</f>
        <v>Tévenon</v>
      </c>
      <c r="C111" s="31">
        <f>VPI!R105</f>
        <v>25324.815594405594</v>
      </c>
      <c r="D111" s="8">
        <f>Données!N105</f>
        <v>51246.7</v>
      </c>
      <c r="E111" s="238">
        <f>Données!O105+Données!P105+Données!R105</f>
        <v>211663.5</v>
      </c>
      <c r="F111" s="504">
        <f t="shared" si="5"/>
        <v>121205.75999999999</v>
      </c>
      <c r="G111" s="504">
        <f>Ecrêtage!M105</f>
        <v>0</v>
      </c>
      <c r="H111" s="505">
        <f t="shared" si="6"/>
        <v>321543.11994676996</v>
      </c>
      <c r="I111" s="324">
        <f t="shared" si="7"/>
        <v>442748.87994676997</v>
      </c>
    </row>
    <row r="112" spans="1:9" s="35" customFormat="1" x14ac:dyDescent="0.25">
      <c r="A112" s="38">
        <f>Données!A106</f>
        <v>5581</v>
      </c>
      <c r="B112" s="555" t="str">
        <f>Données!B106</f>
        <v>Belmont-sur-Lausanne</v>
      </c>
      <c r="C112" s="31">
        <f>VPI!R106</f>
        <v>215428.66976851854</v>
      </c>
      <c r="D112" s="8">
        <f>Données!N106</f>
        <v>9474.2999999999993</v>
      </c>
      <c r="E112" s="238">
        <f>Données!O106+Données!P106+Données!R106</f>
        <v>1607027.65</v>
      </c>
      <c r="F112" s="504">
        <f t="shared" si="5"/>
        <v>806356.11499999999</v>
      </c>
      <c r="G112" s="504">
        <f>Ecrêtage!M106</f>
        <v>430281.73156130436</v>
      </c>
      <c r="H112" s="505">
        <f t="shared" si="6"/>
        <v>2735246.2388177835</v>
      </c>
      <c r="I112" s="324">
        <f t="shared" si="7"/>
        <v>3971884.0853790878</v>
      </c>
    </row>
    <row r="113" spans="1:9" s="35" customFormat="1" x14ac:dyDescent="0.25">
      <c r="A113" s="38">
        <f>Données!A107</f>
        <v>5582</v>
      </c>
      <c r="B113" s="555" t="str">
        <f>Données!B107</f>
        <v>Cheseaux-sur-Lausanne</v>
      </c>
      <c r="C113" s="31">
        <f>VPI!R107</f>
        <v>167486.36602739722</v>
      </c>
      <c r="D113" s="8">
        <f>Données!N107</f>
        <v>449844.65</v>
      </c>
      <c r="E113" s="238">
        <f>Données!O107+Données!P107+Données!R107</f>
        <v>1782041.35</v>
      </c>
      <c r="F113" s="504">
        <f t="shared" si="5"/>
        <v>1025974.0700000001</v>
      </c>
      <c r="G113" s="504">
        <f>Ecrêtage!M107</f>
        <v>0</v>
      </c>
      <c r="H113" s="505">
        <f t="shared" si="6"/>
        <v>2126534.2872977406</v>
      </c>
      <c r="I113" s="324">
        <f t="shared" si="7"/>
        <v>3152508.3572977409</v>
      </c>
    </row>
    <row r="114" spans="1:9" s="35" customFormat="1" x14ac:dyDescent="0.25">
      <c r="A114" s="38">
        <f>Données!A108</f>
        <v>5583</v>
      </c>
      <c r="B114" s="555" t="str">
        <f>Données!B108</f>
        <v>Crissier</v>
      </c>
      <c r="C114" s="31">
        <f>VPI!R108</f>
        <v>337339.7176377952</v>
      </c>
      <c r="D114" s="8">
        <f>Données!N108</f>
        <v>2173154.15</v>
      </c>
      <c r="E114" s="238">
        <f>Données!O108+Données!P108+Données!R108</f>
        <v>2911979.9000000004</v>
      </c>
      <c r="F114" s="504">
        <f t="shared" si="5"/>
        <v>2107936.1950000003</v>
      </c>
      <c r="G114" s="504">
        <f>Ecrêtage!M108</f>
        <v>0</v>
      </c>
      <c r="H114" s="505">
        <f t="shared" si="6"/>
        <v>4283121.6238028845</v>
      </c>
      <c r="I114" s="324">
        <f t="shared" si="7"/>
        <v>6391057.8188028848</v>
      </c>
    </row>
    <row r="115" spans="1:9" s="35" customFormat="1" x14ac:dyDescent="0.25">
      <c r="A115" s="38">
        <f>Données!A109</f>
        <v>5584</v>
      </c>
      <c r="B115" s="555" t="str">
        <f>Données!B109</f>
        <v>Epalinges</v>
      </c>
      <c r="C115" s="31">
        <f>VPI!R109</f>
        <v>516682.33689922479</v>
      </c>
      <c r="D115" s="8">
        <f>Données!N109</f>
        <v>293562.8</v>
      </c>
      <c r="E115" s="238">
        <f>Données!O109+Données!P109+Données!R109</f>
        <v>3582581.05</v>
      </c>
      <c r="F115" s="504">
        <f t="shared" si="5"/>
        <v>1879359.365</v>
      </c>
      <c r="G115" s="504">
        <f>Ecrêtage!M109</f>
        <v>597495.14632923296</v>
      </c>
      <c r="H115" s="505">
        <f t="shared" si="6"/>
        <v>6560191.9196073133</v>
      </c>
      <c r="I115" s="324">
        <f t="shared" si="7"/>
        <v>9037046.430936547</v>
      </c>
    </row>
    <row r="116" spans="1:9" s="35" customFormat="1" x14ac:dyDescent="0.25">
      <c r="A116" s="38">
        <f>Données!A110</f>
        <v>5585</v>
      </c>
      <c r="B116" s="555" t="str">
        <f>Données!B110</f>
        <v>Jouxtens-Mézery</v>
      </c>
      <c r="C116" s="31">
        <f>VPI!R110</f>
        <v>191742.38983050847</v>
      </c>
      <c r="D116" s="8">
        <f>Données!N110</f>
        <v>1366.85</v>
      </c>
      <c r="E116" s="238">
        <f>Données!O110+Données!P110+Données!R110</f>
        <v>884837.95</v>
      </c>
      <c r="F116" s="504">
        <f t="shared" si="5"/>
        <v>442829.02999999997</v>
      </c>
      <c r="G116" s="504">
        <f>Ecrêtage!M110</f>
        <v>2890014.6012310148</v>
      </c>
      <c r="H116" s="505">
        <f t="shared" si="6"/>
        <v>2434507.213776954</v>
      </c>
      <c r="I116" s="324">
        <f t="shared" si="7"/>
        <v>5767350.8450079691</v>
      </c>
    </row>
    <row r="117" spans="1:9" s="35" customFormat="1" x14ac:dyDescent="0.25">
      <c r="A117" s="38">
        <f>Données!A111</f>
        <v>5586</v>
      </c>
      <c r="B117" s="555" t="str">
        <f>Données!B111</f>
        <v>Lausanne</v>
      </c>
      <c r="C117" s="31">
        <f>VPI!R111</f>
        <v>6457900.2123142257</v>
      </c>
      <c r="D117" s="8">
        <f>Données!N111</f>
        <v>13203708.65</v>
      </c>
      <c r="E117" s="238">
        <f>Données!O111+Données!P111+Données!R111</f>
        <v>41303665.300000004</v>
      </c>
      <c r="F117" s="504">
        <f t="shared" si="5"/>
        <v>24612945.245000001</v>
      </c>
      <c r="G117" s="504">
        <f>Ecrêtage!M111</f>
        <v>0</v>
      </c>
      <c r="H117" s="505">
        <f t="shared" si="6"/>
        <v>81994412.746331483</v>
      </c>
      <c r="I117" s="324">
        <f t="shared" si="7"/>
        <v>106607357.99133149</v>
      </c>
    </row>
    <row r="118" spans="1:9" s="35" customFormat="1" x14ac:dyDescent="0.25">
      <c r="A118" s="38">
        <f>Données!A112</f>
        <v>5587</v>
      </c>
      <c r="B118" s="555" t="str">
        <f>Données!B112</f>
        <v>Le Mont-sur-Lausanne</v>
      </c>
      <c r="C118" s="31">
        <f>VPI!R112</f>
        <v>494912.33501133788</v>
      </c>
      <c r="D118" s="8">
        <f>Données!N112</f>
        <v>766350.2</v>
      </c>
      <c r="E118" s="238">
        <f>Données!O112+Données!P112+Données!R112</f>
        <v>4931898.25</v>
      </c>
      <c r="F118" s="504">
        <f t="shared" si="5"/>
        <v>2695854.1850000001</v>
      </c>
      <c r="G118" s="504">
        <f>Ecrêtage!M112</f>
        <v>780796.66499047319</v>
      </c>
      <c r="H118" s="505">
        <f t="shared" si="6"/>
        <v>6283783.4181442428</v>
      </c>
      <c r="I118" s="324">
        <f t="shared" si="7"/>
        <v>9760434.2681347169</v>
      </c>
    </row>
    <row r="119" spans="1:9" s="35" customFormat="1" x14ac:dyDescent="0.25">
      <c r="A119" s="38">
        <f>Données!A113</f>
        <v>5588</v>
      </c>
      <c r="B119" s="555" t="str">
        <f>Données!B113</f>
        <v>Paudex</v>
      </c>
      <c r="C119" s="31">
        <f>VPI!R113</f>
        <v>140525.78356605806</v>
      </c>
      <c r="D119" s="8">
        <f>Données!N113</f>
        <v>24260.799999999999</v>
      </c>
      <c r="E119" s="238">
        <f>Données!O113+Données!P113+Données!R113</f>
        <v>374922.19999999995</v>
      </c>
      <c r="F119" s="504">
        <f t="shared" si="5"/>
        <v>194739.33999999997</v>
      </c>
      <c r="G119" s="504">
        <f>Ecrêtage!M113</f>
        <v>1423358.5005922432</v>
      </c>
      <c r="H119" s="505">
        <f t="shared" si="6"/>
        <v>1784222.2271018829</v>
      </c>
      <c r="I119" s="324">
        <f t="shared" si="7"/>
        <v>3402320.0676941257</v>
      </c>
    </row>
    <row r="120" spans="1:9" s="35" customFormat="1" x14ac:dyDescent="0.25">
      <c r="A120" s="38">
        <f>Données!A114</f>
        <v>5589</v>
      </c>
      <c r="B120" s="555" t="str">
        <f>Données!B114</f>
        <v>Prilly</v>
      </c>
      <c r="C120" s="31">
        <f>VPI!R114</f>
        <v>419337.60911405843</v>
      </c>
      <c r="D120" s="8">
        <f>Données!N114</f>
        <v>1267619.8999999999</v>
      </c>
      <c r="E120" s="238">
        <f>Données!O114+Données!P114+Données!R114</f>
        <v>2539424.9000000004</v>
      </c>
      <c r="F120" s="504">
        <f t="shared" si="5"/>
        <v>1649998.4200000002</v>
      </c>
      <c r="G120" s="504">
        <f>Ecrêtage!M114</f>
        <v>0</v>
      </c>
      <c r="H120" s="505">
        <f t="shared" si="6"/>
        <v>5324229.2186853802</v>
      </c>
      <c r="I120" s="324">
        <f t="shared" si="7"/>
        <v>6974227.6386853801</v>
      </c>
    </row>
    <row r="121" spans="1:9" s="35" customFormat="1" x14ac:dyDescent="0.25">
      <c r="A121" s="38">
        <f>Données!A115</f>
        <v>5590</v>
      </c>
      <c r="B121" s="555" t="str">
        <f>Données!B115</f>
        <v>Pully</v>
      </c>
      <c r="C121" s="31">
        <f>VPI!R115</f>
        <v>1602221.7514051518</v>
      </c>
      <c r="D121" s="8">
        <f>Données!N115</f>
        <v>176020.55</v>
      </c>
      <c r="E121" s="238">
        <f>Données!O115+Données!P115+Données!R115</f>
        <v>9519537.1500000004</v>
      </c>
      <c r="F121" s="504">
        <f t="shared" si="5"/>
        <v>4812574.74</v>
      </c>
      <c r="G121" s="504">
        <f>Ecrêtage!M115</f>
        <v>13057967.629245434</v>
      </c>
      <c r="H121" s="505">
        <f t="shared" si="6"/>
        <v>20343025.949108895</v>
      </c>
      <c r="I121" s="324">
        <f t="shared" si="7"/>
        <v>38213568.318354324</v>
      </c>
    </row>
    <row r="122" spans="1:9" s="35" customFormat="1" x14ac:dyDescent="0.25">
      <c r="A122" s="38">
        <f>Données!A116</f>
        <v>5591</v>
      </c>
      <c r="B122" s="555" t="str">
        <f>Données!B116</f>
        <v>Renens</v>
      </c>
      <c r="C122" s="31">
        <f>VPI!R116</f>
        <v>569549.93361781072</v>
      </c>
      <c r="D122" s="8">
        <f>Données!N116</f>
        <v>2185480.2999999998</v>
      </c>
      <c r="E122" s="238">
        <f>Données!O116+Données!P116+Données!R116</f>
        <v>4932802.0999999996</v>
      </c>
      <c r="F122" s="504">
        <f t="shared" si="5"/>
        <v>3122045.1399999997</v>
      </c>
      <c r="G122" s="504">
        <f>Ecrêtage!M116</f>
        <v>0</v>
      </c>
      <c r="H122" s="505">
        <f t="shared" si="6"/>
        <v>7231439.1367731104</v>
      </c>
      <c r="I122" s="324">
        <f t="shared" si="7"/>
        <v>10353484.27677311</v>
      </c>
    </row>
    <row r="123" spans="1:9" s="35" customFormat="1" x14ac:dyDescent="0.25">
      <c r="A123" s="38">
        <f>Données!A117</f>
        <v>5592</v>
      </c>
      <c r="B123" s="555" t="str">
        <f>Données!B117</f>
        <v>Romanel-sur-Lausanne</v>
      </c>
      <c r="C123" s="31">
        <f>VPI!R117</f>
        <v>121058.65858156027</v>
      </c>
      <c r="D123" s="8">
        <f>Données!N117</f>
        <v>243903.85</v>
      </c>
      <c r="E123" s="238">
        <f>Données!O117+Données!P117+Données!R117</f>
        <v>1588316.4</v>
      </c>
      <c r="F123" s="504">
        <f t="shared" si="5"/>
        <v>867329.35499999998</v>
      </c>
      <c r="G123" s="504">
        <f>Ecrêtage!M117</f>
        <v>0</v>
      </c>
      <c r="H123" s="505">
        <f t="shared" si="6"/>
        <v>1537052.8022910701</v>
      </c>
      <c r="I123" s="324">
        <f t="shared" si="7"/>
        <v>2404382.1572910701</v>
      </c>
    </row>
    <row r="124" spans="1:9" s="35" customFormat="1" x14ac:dyDescent="0.25">
      <c r="A124" s="38">
        <f>Données!A118</f>
        <v>5601</v>
      </c>
      <c r="B124" s="555" t="str">
        <f>Données!B118</f>
        <v>Chexbres</v>
      </c>
      <c r="C124" s="31">
        <f>VPI!R118</f>
        <v>105964.39288888889</v>
      </c>
      <c r="D124" s="8">
        <f>Données!N118</f>
        <v>52235.25</v>
      </c>
      <c r="E124" s="238">
        <f>Données!O118+Données!P118+Données!R118</f>
        <v>534061.6</v>
      </c>
      <c r="F124" s="504">
        <f t="shared" si="5"/>
        <v>282701.375</v>
      </c>
      <c r="G124" s="504">
        <f>Ecrêtage!M118</f>
        <v>0</v>
      </c>
      <c r="H124" s="505">
        <f t="shared" si="6"/>
        <v>1345404.5248916007</v>
      </c>
      <c r="I124" s="324">
        <f t="shared" si="7"/>
        <v>1628105.8998916007</v>
      </c>
    </row>
    <row r="125" spans="1:9" s="35" customFormat="1" x14ac:dyDescent="0.25">
      <c r="A125" s="38">
        <f>Données!A119</f>
        <v>5604</v>
      </c>
      <c r="B125" s="555" t="str">
        <f>Données!B119</f>
        <v>Forel (Lavaux)</v>
      </c>
      <c r="C125" s="31">
        <f>VPI!R119</f>
        <v>75806.642898550723</v>
      </c>
      <c r="D125" s="8">
        <f>Données!N119</f>
        <v>112458.65</v>
      </c>
      <c r="E125" s="238">
        <f>Données!O119+Données!P119+Données!R119</f>
        <v>382904</v>
      </c>
      <c r="F125" s="504">
        <f t="shared" si="5"/>
        <v>225189.595</v>
      </c>
      <c r="G125" s="504">
        <f>Ecrêtage!M119</f>
        <v>0</v>
      </c>
      <c r="H125" s="505">
        <f t="shared" si="6"/>
        <v>962498.79409488221</v>
      </c>
      <c r="I125" s="324">
        <f t="shared" si="7"/>
        <v>1187688.3890948822</v>
      </c>
    </row>
    <row r="126" spans="1:9" s="35" customFormat="1" x14ac:dyDescent="0.25">
      <c r="A126" s="38">
        <f>Données!A120</f>
        <v>5606</v>
      </c>
      <c r="B126" s="555" t="str">
        <f>Données!B120</f>
        <v>Lutry</v>
      </c>
      <c r="C126" s="31">
        <f>VPI!R120</f>
        <v>959386.53714285709</v>
      </c>
      <c r="D126" s="8">
        <f>Données!N120</f>
        <v>86204.6</v>
      </c>
      <c r="E126" s="238">
        <f>Données!O120+Données!P120+Données!R120</f>
        <v>7477064.8499999996</v>
      </c>
      <c r="F126" s="504">
        <f t="shared" si="5"/>
        <v>3764393.8049999997</v>
      </c>
      <c r="G126" s="504">
        <f>Ecrêtage!M120</f>
        <v>7700955.5154804569</v>
      </c>
      <c r="H126" s="505">
        <f t="shared" si="6"/>
        <v>12181101.151077602</v>
      </c>
      <c r="I126" s="324">
        <f t="shared" si="7"/>
        <v>23646450.471558057</v>
      </c>
    </row>
    <row r="127" spans="1:9" s="35" customFormat="1" x14ac:dyDescent="0.25">
      <c r="A127" s="38">
        <f>Données!A121</f>
        <v>5607</v>
      </c>
      <c r="B127" s="555" t="str">
        <f>Données!B121</f>
        <v>Puidoux</v>
      </c>
      <c r="C127" s="31">
        <f>VPI!R121</f>
        <v>111538.40092668995</v>
      </c>
      <c r="D127" s="8">
        <f>Données!N121</f>
        <v>335399.25</v>
      </c>
      <c r="E127" s="238">
        <f>Données!O121+Données!P121+Données!R121</f>
        <v>915371.9</v>
      </c>
      <c r="F127" s="504">
        <f t="shared" si="5"/>
        <v>558305.72499999998</v>
      </c>
      <c r="G127" s="504">
        <f>Ecrêtage!M121</f>
        <v>0</v>
      </c>
      <c r="H127" s="505">
        <f t="shared" si="6"/>
        <v>1416176.3703331468</v>
      </c>
      <c r="I127" s="324">
        <f t="shared" si="7"/>
        <v>1974482.0953331469</v>
      </c>
    </row>
    <row r="128" spans="1:9" s="35" customFormat="1" x14ac:dyDescent="0.25">
      <c r="A128" s="38">
        <f>Données!A122</f>
        <v>5609</v>
      </c>
      <c r="B128" s="555" t="str">
        <f>Données!B122</f>
        <v>Rivaz</v>
      </c>
      <c r="C128" s="31">
        <f>VPI!R122</f>
        <v>14895.889354838711</v>
      </c>
      <c r="D128" s="8">
        <f>Données!N122</f>
        <v>0</v>
      </c>
      <c r="E128" s="238">
        <f>Données!O122+Données!P122+Données!R122</f>
        <v>38049.9</v>
      </c>
      <c r="F128" s="504">
        <f t="shared" si="5"/>
        <v>19024.95</v>
      </c>
      <c r="G128" s="504">
        <f>Ecrêtage!M122</f>
        <v>0</v>
      </c>
      <c r="H128" s="505">
        <f t="shared" si="6"/>
        <v>189129.54053631038</v>
      </c>
      <c r="I128" s="324">
        <f t="shared" si="7"/>
        <v>208154.49053631039</v>
      </c>
    </row>
    <row r="129" spans="1:9" s="35" customFormat="1" x14ac:dyDescent="0.25">
      <c r="A129" s="38">
        <f>Données!A123</f>
        <v>5610</v>
      </c>
      <c r="B129" s="555" t="str">
        <f>Données!B123</f>
        <v>St-Saphorin (Lavaux)</v>
      </c>
      <c r="C129" s="31">
        <f>VPI!R123</f>
        <v>23447.805208333331</v>
      </c>
      <c r="D129" s="8">
        <f>Données!N123</f>
        <v>0</v>
      </c>
      <c r="E129" s="238">
        <f>Données!O123+Données!P123+Données!R123</f>
        <v>128644.8</v>
      </c>
      <c r="F129" s="504">
        <f t="shared" si="5"/>
        <v>64322.400000000001</v>
      </c>
      <c r="G129" s="504">
        <f>Ecrêtage!M123</f>
        <v>69141.0995360222</v>
      </c>
      <c r="H129" s="505">
        <f t="shared" si="6"/>
        <v>297711.1684973982</v>
      </c>
      <c r="I129" s="324">
        <f t="shared" si="7"/>
        <v>431174.66803342046</v>
      </c>
    </row>
    <row r="130" spans="1:9" s="35" customFormat="1" x14ac:dyDescent="0.25">
      <c r="A130" s="38">
        <f>Données!A124</f>
        <v>5611</v>
      </c>
      <c r="B130" s="555" t="str">
        <f>Données!B124</f>
        <v>Savigny</v>
      </c>
      <c r="C130" s="31">
        <f>VPI!R124</f>
        <v>140961.75301932363</v>
      </c>
      <c r="D130" s="8">
        <f>Données!N124</f>
        <v>118228.5</v>
      </c>
      <c r="E130" s="238">
        <f>Données!O124+Données!P124+Données!R124</f>
        <v>818568.2</v>
      </c>
      <c r="F130" s="504">
        <f t="shared" si="5"/>
        <v>444752.64999999997</v>
      </c>
      <c r="G130" s="504">
        <f>Ecrêtage!M124</f>
        <v>0</v>
      </c>
      <c r="H130" s="505">
        <f t="shared" si="6"/>
        <v>1789757.626863509</v>
      </c>
      <c r="I130" s="324">
        <f t="shared" si="7"/>
        <v>2234510.2768635089</v>
      </c>
    </row>
    <row r="131" spans="1:9" s="35" customFormat="1" x14ac:dyDescent="0.25">
      <c r="A131" s="38">
        <f>Données!A125</f>
        <v>5613</v>
      </c>
      <c r="B131" s="555" t="str">
        <f>Données!B125</f>
        <v>Bourg-en-Lavaux</v>
      </c>
      <c r="C131" s="31">
        <f>VPI!R125</f>
        <v>357200.5696533334</v>
      </c>
      <c r="D131" s="8">
        <f>Données!N125</f>
        <v>21021.599999999999</v>
      </c>
      <c r="E131" s="238">
        <f>Données!O125+Données!P125+Données!R125</f>
        <v>2028798.1</v>
      </c>
      <c r="F131" s="504">
        <f t="shared" si="5"/>
        <v>1020705.53</v>
      </c>
      <c r="G131" s="504">
        <f>Ecrêtage!M125</f>
        <v>1552400.4582480274</v>
      </c>
      <c r="H131" s="505">
        <f t="shared" si="6"/>
        <v>4535290.1064546583</v>
      </c>
      <c r="I131" s="324">
        <f t="shared" si="7"/>
        <v>7108396.0947026862</v>
      </c>
    </row>
    <row r="132" spans="1:9" s="35" customFormat="1" x14ac:dyDescent="0.25">
      <c r="A132" s="38">
        <f>Données!A126</f>
        <v>5621</v>
      </c>
      <c r="B132" s="555" t="str">
        <f>Données!B126</f>
        <v>Aclens</v>
      </c>
      <c r="C132" s="31">
        <f>VPI!R126</f>
        <v>32245.149105571847</v>
      </c>
      <c r="D132" s="8">
        <f>Données!N126</f>
        <v>227041.5</v>
      </c>
      <c r="E132" s="238">
        <f>Données!O126+Données!P126+Données!R126</f>
        <v>294239.45</v>
      </c>
      <c r="F132" s="504">
        <f t="shared" si="5"/>
        <v>215232.17499999999</v>
      </c>
      <c r="G132" s="504">
        <f>Ecrêtage!M126</f>
        <v>108099.29091879413</v>
      </c>
      <c r="H132" s="505">
        <f t="shared" si="6"/>
        <v>409408.93756575946</v>
      </c>
      <c r="I132" s="324">
        <f t="shared" si="7"/>
        <v>732740.40348455356</v>
      </c>
    </row>
    <row r="133" spans="1:9" s="35" customFormat="1" x14ac:dyDescent="0.25">
      <c r="A133" s="38">
        <f>Données!A127</f>
        <v>5622</v>
      </c>
      <c r="B133" s="555" t="str">
        <f>Données!B127</f>
        <v>Bremblens</v>
      </c>
      <c r="C133" s="31">
        <f>VPI!R127</f>
        <v>28642.58897058824</v>
      </c>
      <c r="D133" s="8">
        <f>Données!N127</f>
        <v>30722.9</v>
      </c>
      <c r="E133" s="238">
        <f>Données!O127+Données!P127+Données!R127</f>
        <v>209227.95</v>
      </c>
      <c r="F133" s="504">
        <f t="shared" si="5"/>
        <v>113830.845</v>
      </c>
      <c r="G133" s="504">
        <f>Ecrêtage!M127</f>
        <v>0</v>
      </c>
      <c r="H133" s="505">
        <f t="shared" si="6"/>
        <v>363668.09411202156</v>
      </c>
      <c r="I133" s="324">
        <f t="shared" si="7"/>
        <v>477498.93911202159</v>
      </c>
    </row>
    <row r="134" spans="1:9" s="35" customFormat="1" x14ac:dyDescent="0.25">
      <c r="A134" s="38">
        <f>Données!A128</f>
        <v>5623</v>
      </c>
      <c r="B134" s="555" t="str">
        <f>Données!B128</f>
        <v>Buchillon</v>
      </c>
      <c r="C134" s="31">
        <f>VPI!R128</f>
        <v>89223.972115384619</v>
      </c>
      <c r="D134" s="8">
        <f>Données!N128</f>
        <v>1734.05</v>
      </c>
      <c r="E134" s="238">
        <f>Données!O128+Données!P128+Données!R128</f>
        <v>224463.6</v>
      </c>
      <c r="F134" s="504">
        <f t="shared" si="5"/>
        <v>112752.015</v>
      </c>
      <c r="G134" s="504">
        <f>Ecrêtage!M128</f>
        <v>1202606.7362679888</v>
      </c>
      <c r="H134" s="505">
        <f t="shared" si="6"/>
        <v>1132855.4105784695</v>
      </c>
      <c r="I134" s="324">
        <f t="shared" si="7"/>
        <v>2448214.161846458</v>
      </c>
    </row>
    <row r="135" spans="1:9" s="35" customFormat="1" x14ac:dyDescent="0.25">
      <c r="A135" s="38">
        <f>Données!A129</f>
        <v>5624</v>
      </c>
      <c r="B135" s="555" t="str">
        <f>Données!B129</f>
        <v>Bussigny</v>
      </c>
      <c r="C135" s="31">
        <f>VPI!R129</f>
        <v>441652.56160000002</v>
      </c>
      <c r="D135" s="8">
        <f>Données!N129</f>
        <v>1445680.75</v>
      </c>
      <c r="E135" s="238">
        <f>Données!O129+Données!P129+Données!R129</f>
        <v>3759834.5</v>
      </c>
      <c r="F135" s="504">
        <f t="shared" si="5"/>
        <v>2313621.4750000001</v>
      </c>
      <c r="G135" s="504">
        <f>Ecrêtage!M129</f>
        <v>0</v>
      </c>
      <c r="H135" s="505">
        <f t="shared" si="6"/>
        <v>5607556.8274115277</v>
      </c>
      <c r="I135" s="324">
        <f t="shared" si="7"/>
        <v>7921178.3024115283</v>
      </c>
    </row>
    <row r="136" spans="1:9" s="35" customFormat="1" x14ac:dyDescent="0.25">
      <c r="A136" s="38">
        <f>Données!A130</f>
        <v>5627</v>
      </c>
      <c r="B136" s="555" t="str">
        <f>Données!B130</f>
        <v>Chavannes-près-Renens</v>
      </c>
      <c r="C136" s="31">
        <f>VPI!R130</f>
        <v>194013.68774193546</v>
      </c>
      <c r="D136" s="8">
        <f>Données!N130</f>
        <v>446341</v>
      </c>
      <c r="E136" s="238">
        <f>Données!O130+Données!P130+Données!R130</f>
        <v>1861825.15</v>
      </c>
      <c r="F136" s="504">
        <f t="shared" si="5"/>
        <v>1064814.875</v>
      </c>
      <c r="G136" s="504">
        <f>Ecrêtage!M130</f>
        <v>0</v>
      </c>
      <c r="H136" s="505">
        <f t="shared" si="6"/>
        <v>2463345.3395293937</v>
      </c>
      <c r="I136" s="324">
        <f t="shared" si="7"/>
        <v>3528160.2145293937</v>
      </c>
    </row>
    <row r="137" spans="1:9" s="35" customFormat="1" x14ac:dyDescent="0.25">
      <c r="A137" s="38">
        <f>Données!A131</f>
        <v>5628</v>
      </c>
      <c r="B137" s="555" t="str">
        <f>Données!B131</f>
        <v>Chigny</v>
      </c>
      <c r="C137" s="31">
        <f>VPI!R131</f>
        <v>25790.655967741935</v>
      </c>
      <c r="D137" s="8">
        <f>Données!N131</f>
        <v>2656.6</v>
      </c>
      <c r="E137" s="238">
        <f>Données!O131+Données!P131+Données!R131</f>
        <v>52789.95</v>
      </c>
      <c r="F137" s="504">
        <f t="shared" si="5"/>
        <v>27191.954999999998</v>
      </c>
      <c r="G137" s="504">
        <f>Ecrêtage!M131</f>
        <v>94556.306628315069</v>
      </c>
      <c r="H137" s="505">
        <f t="shared" si="6"/>
        <v>327457.78362838132</v>
      </c>
      <c r="I137" s="324">
        <f t="shared" si="7"/>
        <v>449206.04525669641</v>
      </c>
    </row>
    <row r="138" spans="1:9" s="35" customFormat="1" x14ac:dyDescent="0.25">
      <c r="A138" s="38">
        <f>Données!A132</f>
        <v>5629</v>
      </c>
      <c r="B138" s="555" t="str">
        <f>Données!B132</f>
        <v>Clarmont</v>
      </c>
      <c r="C138" s="31">
        <f>VPI!R132</f>
        <v>9947.9383673469401</v>
      </c>
      <c r="D138" s="8">
        <f>Données!N132</f>
        <v>0</v>
      </c>
      <c r="E138" s="238">
        <f>Données!O132+Données!P132+Données!R132</f>
        <v>27072.050000000003</v>
      </c>
      <c r="F138" s="504">
        <f t="shared" si="5"/>
        <v>13536.025000000001</v>
      </c>
      <c r="G138" s="504">
        <f>Ecrêtage!M132</f>
        <v>0</v>
      </c>
      <c r="H138" s="505">
        <f t="shared" si="6"/>
        <v>126306.59156236946</v>
      </c>
      <c r="I138" s="324">
        <f t="shared" si="7"/>
        <v>139842.61656236945</v>
      </c>
    </row>
    <row r="139" spans="1:9" s="35" customFormat="1" x14ac:dyDescent="0.25">
      <c r="A139" s="38">
        <f>Données!A133</f>
        <v>5631</v>
      </c>
      <c r="B139" s="555" t="str">
        <f>Données!B133</f>
        <v>Denens</v>
      </c>
      <c r="C139" s="31">
        <f>VPI!R133</f>
        <v>43289.846911764696</v>
      </c>
      <c r="D139" s="8">
        <f>Données!N133</f>
        <v>1887.85</v>
      </c>
      <c r="E139" s="238">
        <f>Données!O133+Données!P133+Données!R133</f>
        <v>539717.15</v>
      </c>
      <c r="F139" s="504">
        <f t="shared" si="5"/>
        <v>270424.93</v>
      </c>
      <c r="G139" s="504">
        <f>Ecrêtage!M133</f>
        <v>118580.36664307975</v>
      </c>
      <c r="H139" s="505">
        <f t="shared" si="6"/>
        <v>549640.8211202051</v>
      </c>
      <c r="I139" s="324">
        <f t="shared" si="7"/>
        <v>938646.11776328483</v>
      </c>
    </row>
    <row r="140" spans="1:9" s="35" customFormat="1" x14ac:dyDescent="0.25">
      <c r="A140" s="38">
        <f>Données!A134</f>
        <v>5632</v>
      </c>
      <c r="B140" s="555" t="str">
        <f>Données!B134</f>
        <v>Denges</v>
      </c>
      <c r="C140" s="31">
        <f>VPI!R134</f>
        <v>80504.673548387087</v>
      </c>
      <c r="D140" s="8">
        <f>Données!N134</f>
        <v>105185.35</v>
      </c>
      <c r="E140" s="238">
        <f>Données!O134+Données!P134+Données!R134</f>
        <v>413391.75</v>
      </c>
      <c r="F140" s="504">
        <f t="shared" si="5"/>
        <v>238251.48</v>
      </c>
      <c r="G140" s="504">
        <f>Ecrêtage!M134</f>
        <v>0</v>
      </c>
      <c r="H140" s="505">
        <f t="shared" si="6"/>
        <v>1022148.5643813692</v>
      </c>
      <c r="I140" s="324">
        <f t="shared" si="7"/>
        <v>1260400.0443813691</v>
      </c>
    </row>
    <row r="141" spans="1:9" s="35" customFormat="1" x14ac:dyDescent="0.25">
      <c r="A141" s="38">
        <f>Données!A135</f>
        <v>5633</v>
      </c>
      <c r="B141" s="555" t="str">
        <f>Données!B135</f>
        <v>Echandens</v>
      </c>
      <c r="C141" s="31">
        <f>VPI!R135</f>
        <v>168819.8966942149</v>
      </c>
      <c r="D141" s="8">
        <f>Données!N135</f>
        <v>127028.65</v>
      </c>
      <c r="E141" s="238">
        <f>Données!O135+Données!P135+Données!R135</f>
        <v>573542.94999999995</v>
      </c>
      <c r="F141" s="504">
        <f t="shared" ref="F141:F204" si="8">D141*$D$11+E141*$E$11</f>
        <v>324880.06999999995</v>
      </c>
      <c r="G141" s="504">
        <f>Ecrêtage!M135</f>
        <v>488937.64067796717</v>
      </c>
      <c r="H141" s="505">
        <f t="shared" ref="H141:H204" si="9">$H$11*C141</f>
        <v>2143465.8068799786</v>
      </c>
      <c r="I141" s="324">
        <f t="shared" ref="I141:I204" si="10">F141+H141+G141</f>
        <v>2957283.5175579456</v>
      </c>
    </row>
    <row r="142" spans="1:9" s="35" customFormat="1" x14ac:dyDescent="0.25">
      <c r="A142" s="38">
        <f>Données!A136</f>
        <v>5634</v>
      </c>
      <c r="B142" s="555" t="str">
        <f>Données!B136</f>
        <v>Echichens</v>
      </c>
      <c r="C142" s="31">
        <f>VPI!R136</f>
        <v>152560.86727272728</v>
      </c>
      <c r="D142" s="8">
        <f>Données!N136</f>
        <v>49103.199999999997</v>
      </c>
      <c r="E142" s="238">
        <f>Données!O136+Données!P136+Données!R136</f>
        <v>1053468.75</v>
      </c>
      <c r="F142" s="504">
        <f t="shared" si="8"/>
        <v>541465.33499999996</v>
      </c>
      <c r="G142" s="504">
        <f>Ecrêtage!M136</f>
        <v>25817.986638862989</v>
      </c>
      <c r="H142" s="505">
        <f t="shared" si="9"/>
        <v>1937028.8033013092</v>
      </c>
      <c r="I142" s="324">
        <f t="shared" si="10"/>
        <v>2504312.1249401723</v>
      </c>
    </row>
    <row r="143" spans="1:9" s="35" customFormat="1" x14ac:dyDescent="0.25">
      <c r="A143" s="38">
        <f>Données!A137</f>
        <v>5635</v>
      </c>
      <c r="B143" s="555" t="str">
        <f>Données!B137</f>
        <v>Ecublens</v>
      </c>
      <c r="C143" s="31">
        <f>VPI!R137</f>
        <v>655936.21421333333</v>
      </c>
      <c r="D143" s="8">
        <f>Données!N137</f>
        <v>1875328.15</v>
      </c>
      <c r="E143" s="238">
        <f>Données!O137+Données!P137+Données!R137</f>
        <v>3104417.9</v>
      </c>
      <c r="F143" s="504">
        <f t="shared" si="8"/>
        <v>2114807.395</v>
      </c>
      <c r="G143" s="504">
        <f>Ecrêtage!M137</f>
        <v>281897.09686680319</v>
      </c>
      <c r="H143" s="505">
        <f t="shared" si="9"/>
        <v>8328265.0575674772</v>
      </c>
      <c r="I143" s="324">
        <f t="shared" si="10"/>
        <v>10724969.54943428</v>
      </c>
    </row>
    <row r="144" spans="1:9" s="35" customFormat="1" x14ac:dyDescent="0.25">
      <c r="A144" s="38">
        <f>Données!A138</f>
        <v>5636</v>
      </c>
      <c r="B144" s="555" t="str">
        <f>Données!B138</f>
        <v>Etoy</v>
      </c>
      <c r="C144" s="31">
        <f>VPI!R138</f>
        <v>186941.23816666668</v>
      </c>
      <c r="D144" s="8">
        <f>Données!N138</f>
        <v>570633.05000000005</v>
      </c>
      <c r="E144" s="238">
        <f>Données!O138+Données!P138+Données!R138</f>
        <v>1877253.6</v>
      </c>
      <c r="F144" s="504">
        <f t="shared" si="8"/>
        <v>1109816.7150000001</v>
      </c>
      <c r="G144" s="504">
        <f>Ecrêtage!M138</f>
        <v>679476.59577759472</v>
      </c>
      <c r="H144" s="505">
        <f t="shared" si="9"/>
        <v>2373548.1406664532</v>
      </c>
      <c r="I144" s="324">
        <f t="shared" si="10"/>
        <v>4162841.4514440475</v>
      </c>
    </row>
    <row r="145" spans="1:9" s="35" customFormat="1" x14ac:dyDescent="0.25">
      <c r="A145" s="38">
        <f>Données!A139</f>
        <v>5637</v>
      </c>
      <c r="B145" s="555" t="str">
        <f>Données!B139</f>
        <v>Lavigny</v>
      </c>
      <c r="C145" s="31">
        <f>VPI!R139</f>
        <v>37899.400821917814</v>
      </c>
      <c r="D145" s="8">
        <f>Données!N139</f>
        <v>231727.1</v>
      </c>
      <c r="E145" s="238">
        <f>Données!O139+Données!P139+Données!R139</f>
        <v>348432.3</v>
      </c>
      <c r="F145" s="504">
        <f t="shared" si="8"/>
        <v>243734.28</v>
      </c>
      <c r="G145" s="504">
        <f>Ecrêtage!M139</f>
        <v>0</v>
      </c>
      <c r="H145" s="505">
        <f t="shared" si="9"/>
        <v>481199.61778061901</v>
      </c>
      <c r="I145" s="324">
        <f t="shared" si="10"/>
        <v>724933.89778061898</v>
      </c>
    </row>
    <row r="146" spans="1:9" s="35" customFormat="1" x14ac:dyDescent="0.25">
      <c r="A146" s="38">
        <f>Données!A140</f>
        <v>5638</v>
      </c>
      <c r="B146" s="555" t="str">
        <f>Données!B140</f>
        <v>Lonay</v>
      </c>
      <c r="C146" s="31">
        <f>VPI!R140</f>
        <v>174116.12454545454</v>
      </c>
      <c r="D146" s="8">
        <f>Données!N140</f>
        <v>319329.59999999998</v>
      </c>
      <c r="E146" s="238">
        <f>Données!O140+Données!P140+Données!R140</f>
        <v>4258129.45</v>
      </c>
      <c r="F146" s="504">
        <f t="shared" si="8"/>
        <v>2224863.605</v>
      </c>
      <c r="G146" s="504">
        <f>Ecrêtage!M140</f>
        <v>552123.35217611352</v>
      </c>
      <c r="H146" s="505">
        <f t="shared" si="9"/>
        <v>2210710.743803143</v>
      </c>
      <c r="I146" s="324">
        <f t="shared" si="10"/>
        <v>4987697.700979257</v>
      </c>
    </row>
    <row r="147" spans="1:9" s="35" customFormat="1" x14ac:dyDescent="0.25">
      <c r="A147" s="38">
        <f>Données!A141</f>
        <v>5639</v>
      </c>
      <c r="B147" s="555" t="str">
        <f>Données!B141</f>
        <v>Lully</v>
      </c>
      <c r="C147" s="31">
        <f>VPI!R141</f>
        <v>53706.334426229514</v>
      </c>
      <c r="D147" s="8">
        <f>Données!N141</f>
        <v>20293.95</v>
      </c>
      <c r="E147" s="238">
        <f>Données!O141+Données!P141+Données!R141</f>
        <v>181064.1</v>
      </c>
      <c r="F147" s="504">
        <f t="shared" si="8"/>
        <v>96620.235000000001</v>
      </c>
      <c r="G147" s="504">
        <f>Ecrêtage!M141</f>
        <v>208108.6414287113</v>
      </c>
      <c r="H147" s="505">
        <f t="shared" si="9"/>
        <v>681896.4690163139</v>
      </c>
      <c r="I147" s="324">
        <f t="shared" si="10"/>
        <v>986625.34544502525</v>
      </c>
    </row>
    <row r="148" spans="1:9" s="35" customFormat="1" x14ac:dyDescent="0.25">
      <c r="A148" s="38">
        <f>Données!A142</f>
        <v>5640</v>
      </c>
      <c r="B148" s="555" t="str">
        <f>Données!B142</f>
        <v>Lussy-sur-Morges</v>
      </c>
      <c r="C148" s="31">
        <f>VPI!R142</f>
        <v>70525.081395348854</v>
      </c>
      <c r="D148" s="8">
        <f>Données!N142</f>
        <v>20984.3</v>
      </c>
      <c r="E148" s="238">
        <f>Données!O142+Données!P142+Données!R142</f>
        <v>737190.39999999991</v>
      </c>
      <c r="F148" s="504">
        <f t="shared" si="8"/>
        <v>374890.48999999993</v>
      </c>
      <c r="G148" s="504">
        <f>Ecrêtage!M142</f>
        <v>744265.07896387868</v>
      </c>
      <c r="H148" s="505">
        <f t="shared" si="9"/>
        <v>895440.07228111173</v>
      </c>
      <c r="I148" s="324">
        <f t="shared" si="10"/>
        <v>2014595.6412449903</v>
      </c>
    </row>
    <row r="149" spans="1:9" s="35" customFormat="1" x14ac:dyDescent="0.25">
      <c r="A149" s="38">
        <f>Données!A143</f>
        <v>5642</v>
      </c>
      <c r="B149" s="555" t="str">
        <f>Données!B143</f>
        <v>Morges</v>
      </c>
      <c r="C149" s="31">
        <f>VPI!R143</f>
        <v>838094.10597014928</v>
      </c>
      <c r="D149" s="8">
        <f>Données!N143</f>
        <v>1327116.8999999999</v>
      </c>
      <c r="E149" s="238">
        <f>Données!O143+Données!P143+Données!R143</f>
        <v>5459169.9000000004</v>
      </c>
      <c r="F149" s="504">
        <f t="shared" si="8"/>
        <v>3127720.02</v>
      </c>
      <c r="G149" s="504">
        <f>Ecrêtage!M143</f>
        <v>385226.30889846501</v>
      </c>
      <c r="H149" s="505">
        <f t="shared" si="9"/>
        <v>10641080.194170147</v>
      </c>
      <c r="I149" s="324">
        <f t="shared" si="10"/>
        <v>14154026.523068612</v>
      </c>
    </row>
    <row r="150" spans="1:9" s="35" customFormat="1" x14ac:dyDescent="0.25">
      <c r="A150" s="38">
        <f>Données!A144</f>
        <v>5643</v>
      </c>
      <c r="B150" s="555" t="str">
        <f>Données!B144</f>
        <v>Préverenges</v>
      </c>
      <c r="C150" s="31">
        <f>VPI!R144</f>
        <v>257720.44144</v>
      </c>
      <c r="D150" s="8">
        <f>Données!N144</f>
        <v>200612.9</v>
      </c>
      <c r="E150" s="238">
        <f>Données!O144+Données!P144+Données!R144</f>
        <v>881840.55</v>
      </c>
      <c r="F150" s="504">
        <f t="shared" si="8"/>
        <v>501104.14500000002</v>
      </c>
      <c r="G150" s="504">
        <f>Ecrêtage!M144</f>
        <v>101078.13304421939</v>
      </c>
      <c r="H150" s="505">
        <f t="shared" si="9"/>
        <v>3272214.7375865798</v>
      </c>
      <c r="I150" s="324">
        <f t="shared" si="10"/>
        <v>3874397.0156307993</v>
      </c>
    </row>
    <row r="151" spans="1:9" s="35" customFormat="1" x14ac:dyDescent="0.25">
      <c r="A151" s="38">
        <f>Données!A145</f>
        <v>5645</v>
      </c>
      <c r="B151" s="555" t="str">
        <f>Données!B145</f>
        <v>Romanel-sur-Morges</v>
      </c>
      <c r="C151" s="31">
        <f>VPI!R145</f>
        <v>26576.594107142857</v>
      </c>
      <c r="D151" s="8">
        <f>Données!N145</f>
        <v>66780.649999999994</v>
      </c>
      <c r="E151" s="238">
        <f>Données!O145+Données!P145+Données!R145</f>
        <v>186692.1</v>
      </c>
      <c r="F151" s="504">
        <f t="shared" si="8"/>
        <v>113380.245</v>
      </c>
      <c r="G151" s="504">
        <f>Ecrêtage!M145</f>
        <v>47486.815481394624</v>
      </c>
      <c r="H151" s="505">
        <f t="shared" si="9"/>
        <v>337436.65200300264</v>
      </c>
      <c r="I151" s="324">
        <f t="shared" si="10"/>
        <v>498303.71248439729</v>
      </c>
    </row>
    <row r="152" spans="1:9" s="35" customFormat="1" x14ac:dyDescent="0.25">
      <c r="A152" s="38">
        <f>Données!A146</f>
        <v>5646</v>
      </c>
      <c r="B152" s="555" t="str">
        <f>Données!B146</f>
        <v>Saint-Prex</v>
      </c>
      <c r="C152" s="31">
        <f>VPI!R146</f>
        <v>527362.62542372884</v>
      </c>
      <c r="D152" s="8">
        <f>Données!N146</f>
        <v>663063.1</v>
      </c>
      <c r="E152" s="238">
        <f>Données!O146+Données!P146+Données!R146</f>
        <v>3440245.45</v>
      </c>
      <c r="F152" s="504">
        <f t="shared" si="8"/>
        <v>1919041.655</v>
      </c>
      <c r="G152" s="504">
        <f>Ecrêtage!M146</f>
        <v>4648803.0932814702</v>
      </c>
      <c r="H152" s="505">
        <f t="shared" si="9"/>
        <v>6695796.9857646096</v>
      </c>
      <c r="I152" s="324">
        <f t="shared" si="10"/>
        <v>13263641.734046079</v>
      </c>
    </row>
    <row r="153" spans="1:9" s="35" customFormat="1" x14ac:dyDescent="0.25">
      <c r="A153" s="38">
        <f>Données!A147</f>
        <v>5648</v>
      </c>
      <c r="B153" s="555" t="str">
        <f>Données!B147</f>
        <v>Saint-Sulpice</v>
      </c>
      <c r="C153" s="31">
        <f>VPI!R147</f>
        <v>394357.66704545449</v>
      </c>
      <c r="D153" s="8">
        <f>Données!N147</f>
        <v>75692.7</v>
      </c>
      <c r="E153" s="238">
        <f>Données!O147+Données!P147+Données!R147</f>
        <v>2960808.3</v>
      </c>
      <c r="F153" s="504">
        <f t="shared" si="8"/>
        <v>1503111.96</v>
      </c>
      <c r="G153" s="504">
        <f>Ecrêtage!M147</f>
        <v>2564806.4284829572</v>
      </c>
      <c r="H153" s="505">
        <f t="shared" si="9"/>
        <v>5007064.8753208099</v>
      </c>
      <c r="I153" s="324">
        <f t="shared" si="10"/>
        <v>9074983.263803767</v>
      </c>
    </row>
    <row r="154" spans="1:9" s="35" customFormat="1" x14ac:dyDescent="0.25">
      <c r="A154" s="38">
        <f>Données!A148</f>
        <v>5649</v>
      </c>
      <c r="B154" s="555" t="str">
        <f>Données!B148</f>
        <v>Tolochenaz</v>
      </c>
      <c r="C154" s="31">
        <f>VPI!R148</f>
        <v>155562.29718749996</v>
      </c>
      <c r="D154" s="8">
        <f>Données!N148</f>
        <v>287080.5</v>
      </c>
      <c r="E154" s="238">
        <f>Données!O148+Données!P148+Données!R148</f>
        <v>518083.35</v>
      </c>
      <c r="F154" s="504">
        <f t="shared" si="8"/>
        <v>345165.82499999995</v>
      </c>
      <c r="G154" s="504">
        <f>Ecrêtage!M148</f>
        <v>1263123.0487889359</v>
      </c>
      <c r="H154" s="505">
        <f t="shared" si="9"/>
        <v>1975137.2402808373</v>
      </c>
      <c r="I154" s="324">
        <f t="shared" si="10"/>
        <v>3583426.1140697729</v>
      </c>
    </row>
    <row r="155" spans="1:9" s="35" customFormat="1" x14ac:dyDescent="0.25">
      <c r="A155" s="38">
        <f>Données!A149</f>
        <v>5650</v>
      </c>
      <c r="B155" s="555" t="str">
        <f>Données!B149</f>
        <v>Vaux-sur-Morges</v>
      </c>
      <c r="C155" s="31">
        <f>VPI!R149</f>
        <v>83125.210178571419</v>
      </c>
      <c r="D155" s="8">
        <f>Données!N149</f>
        <v>137.19999999999999</v>
      </c>
      <c r="E155" s="238">
        <f>Données!O149+Données!P149+Données!R149</f>
        <v>1263782.3999999999</v>
      </c>
      <c r="F155" s="504">
        <f t="shared" si="8"/>
        <v>631932.36</v>
      </c>
      <c r="G155" s="504">
        <f>Ecrêtage!M149</f>
        <v>2282679.6173309307</v>
      </c>
      <c r="H155" s="505">
        <f t="shared" si="9"/>
        <v>1055420.8905257855</v>
      </c>
      <c r="I155" s="324">
        <f t="shared" si="10"/>
        <v>3970032.8678567163</v>
      </c>
    </row>
    <row r="156" spans="1:9" s="35" customFormat="1" x14ac:dyDescent="0.25">
      <c r="A156" s="38">
        <f>Données!A150</f>
        <v>5651</v>
      </c>
      <c r="B156" s="555" t="str">
        <f>Données!B150</f>
        <v>Villars-Sainte-Croix</v>
      </c>
      <c r="C156" s="31">
        <f>VPI!R150</f>
        <v>57448.170743801653</v>
      </c>
      <c r="D156" s="8">
        <f>Données!N150</f>
        <v>178489.65</v>
      </c>
      <c r="E156" s="238">
        <f>Données!O150+Données!P150+Données!R150</f>
        <v>184377.35</v>
      </c>
      <c r="F156" s="504">
        <f t="shared" si="8"/>
        <v>145735.57</v>
      </c>
      <c r="G156" s="504">
        <f>Ecrêtage!M150</f>
        <v>153679.80963765478</v>
      </c>
      <c r="H156" s="505">
        <f t="shared" si="9"/>
        <v>729405.66881274059</v>
      </c>
      <c r="I156" s="324">
        <f t="shared" si="10"/>
        <v>1028821.0484503955</v>
      </c>
    </row>
    <row r="157" spans="1:9" s="35" customFormat="1" x14ac:dyDescent="0.25">
      <c r="A157" s="38">
        <f>Données!A151</f>
        <v>5652</v>
      </c>
      <c r="B157" s="555" t="str">
        <f>Données!B151</f>
        <v>Villars-sous-Yens</v>
      </c>
      <c r="C157" s="31">
        <f>VPI!R151</f>
        <v>25907.601491228066</v>
      </c>
      <c r="D157" s="8">
        <f>Données!N151</f>
        <v>0</v>
      </c>
      <c r="E157" s="238">
        <f>Données!O151+Données!P151+Données!R151</f>
        <v>60968.65</v>
      </c>
      <c r="F157" s="504">
        <f t="shared" si="8"/>
        <v>30484.325000000001</v>
      </c>
      <c r="G157" s="504">
        <f>Ecrêtage!M151</f>
        <v>0</v>
      </c>
      <c r="H157" s="505">
        <f t="shared" si="9"/>
        <v>328942.61293919553</v>
      </c>
      <c r="I157" s="324">
        <f t="shared" si="10"/>
        <v>359426.93793919554</v>
      </c>
    </row>
    <row r="158" spans="1:9" s="35" customFormat="1" x14ac:dyDescent="0.25">
      <c r="A158" s="38">
        <f>Données!A152</f>
        <v>5653</v>
      </c>
      <c r="B158" s="555" t="str">
        <f>Données!B152</f>
        <v>Vufflens-le-Château</v>
      </c>
      <c r="C158" s="31">
        <f>VPI!R152</f>
        <v>67686.262735042736</v>
      </c>
      <c r="D158" s="8">
        <f>Données!N152</f>
        <v>4440.8999999999996</v>
      </c>
      <c r="E158" s="238">
        <f>Données!O152+Données!P152+Données!R152</f>
        <v>330592.84999999998</v>
      </c>
      <c r="F158" s="504">
        <f t="shared" si="8"/>
        <v>166628.69499999998</v>
      </c>
      <c r="G158" s="504">
        <f>Ecrêtage!M152</f>
        <v>405644.12482446828</v>
      </c>
      <c r="H158" s="505">
        <f t="shared" si="9"/>
        <v>859396.2714646674</v>
      </c>
      <c r="I158" s="324">
        <f t="shared" si="10"/>
        <v>1431669.0912891356</v>
      </c>
    </row>
    <row r="159" spans="1:9" s="35" customFormat="1" x14ac:dyDescent="0.25">
      <c r="A159" s="38">
        <f>Données!A153</f>
        <v>5654</v>
      </c>
      <c r="B159" s="555" t="str">
        <f>Données!B153</f>
        <v>Vullierens</v>
      </c>
      <c r="C159" s="31">
        <f>VPI!R153</f>
        <v>20663.918947368424</v>
      </c>
      <c r="D159" s="8">
        <f>Données!N153</f>
        <v>6542.3</v>
      </c>
      <c r="E159" s="238">
        <f>Données!O153+Données!P153+Données!R153</f>
        <v>169046.35</v>
      </c>
      <c r="F159" s="504">
        <f t="shared" si="8"/>
        <v>86485.865000000005</v>
      </c>
      <c r="G159" s="504">
        <f>Ecrêtage!M153</f>
        <v>0</v>
      </c>
      <c r="H159" s="505">
        <f t="shared" si="9"/>
        <v>262364.83120263246</v>
      </c>
      <c r="I159" s="324">
        <f t="shared" si="10"/>
        <v>348850.69620263245</v>
      </c>
    </row>
    <row r="160" spans="1:9" s="35" customFormat="1" x14ac:dyDescent="0.25">
      <c r="A160" s="38">
        <f>Données!A154</f>
        <v>5655</v>
      </c>
      <c r="B160" s="555" t="str">
        <f>Données!B154</f>
        <v>Yens</v>
      </c>
      <c r="C160" s="31">
        <f>VPI!R154</f>
        <v>73733.325734265731</v>
      </c>
      <c r="D160" s="8">
        <f>Données!N154</f>
        <v>80041.2</v>
      </c>
      <c r="E160" s="238">
        <f>Données!O154+Données!P154+Données!R154</f>
        <v>109253.79999999999</v>
      </c>
      <c r="F160" s="504">
        <f t="shared" si="8"/>
        <v>78639.259999999995</v>
      </c>
      <c r="G160" s="504">
        <f>Ecrêtage!M154</f>
        <v>26912.743933999438</v>
      </c>
      <c r="H160" s="505">
        <f t="shared" si="9"/>
        <v>936174.38248532033</v>
      </c>
      <c r="I160" s="324">
        <f t="shared" si="10"/>
        <v>1041726.3864193198</v>
      </c>
    </row>
    <row r="161" spans="1:9" s="35" customFormat="1" x14ac:dyDescent="0.25">
      <c r="A161" s="38">
        <f>Données!A155</f>
        <v>5656</v>
      </c>
      <c r="B161" s="555" t="str">
        <f>Données!B155</f>
        <v>Hautemorges</v>
      </c>
      <c r="C161" s="31">
        <f>VPI!R155</f>
        <v>172159.8076957982</v>
      </c>
      <c r="D161" s="8">
        <f>Données!N155</f>
        <v>61784.95</v>
      </c>
      <c r="E161" s="238">
        <f>Données!O155+Données!P155+Données!R155</f>
        <v>1547717.1</v>
      </c>
      <c r="F161" s="504">
        <f t="shared" si="8"/>
        <v>792394.03500000003</v>
      </c>
      <c r="G161" s="504">
        <f>Ecrêtage!M155</f>
        <v>0</v>
      </c>
      <c r="H161" s="505">
        <f t="shared" si="9"/>
        <v>2185871.8571744128</v>
      </c>
      <c r="I161" s="324">
        <f t="shared" si="10"/>
        <v>2978265.892174413</v>
      </c>
    </row>
    <row r="162" spans="1:9" s="35" customFormat="1" x14ac:dyDescent="0.25">
      <c r="A162" s="38">
        <f>Données!A156</f>
        <v>5661</v>
      </c>
      <c r="B162" s="555" t="str">
        <f>Données!B156</f>
        <v>Boulens</v>
      </c>
      <c r="C162" s="31">
        <f>VPI!R156</f>
        <v>11226.317902097902</v>
      </c>
      <c r="D162" s="8">
        <f>Données!N156</f>
        <v>18731.2</v>
      </c>
      <c r="E162" s="238">
        <f>Données!O156+Données!P156+Données!R156</f>
        <v>48158</v>
      </c>
      <c r="F162" s="504">
        <f t="shared" si="8"/>
        <v>29698.36</v>
      </c>
      <c r="G162" s="504">
        <f>Ecrêtage!M156</f>
        <v>0</v>
      </c>
      <c r="H162" s="505">
        <f t="shared" si="9"/>
        <v>142537.87042588581</v>
      </c>
      <c r="I162" s="324">
        <f t="shared" si="10"/>
        <v>172236.23042588582</v>
      </c>
    </row>
    <row r="163" spans="1:9" s="35" customFormat="1" x14ac:dyDescent="0.25">
      <c r="A163" s="38">
        <f>Données!A157</f>
        <v>5663</v>
      </c>
      <c r="B163" s="555" t="str">
        <f>Données!B157</f>
        <v>Bussy-sur-Moudon</v>
      </c>
      <c r="C163" s="31">
        <f>VPI!R157</f>
        <v>5263.613630573248</v>
      </c>
      <c r="D163" s="8">
        <f>Données!N157</f>
        <v>0</v>
      </c>
      <c r="E163" s="238">
        <f>Données!O157+Données!P157+Données!R157</f>
        <v>25224.350000000002</v>
      </c>
      <c r="F163" s="504">
        <f t="shared" si="8"/>
        <v>12612.175000000001</v>
      </c>
      <c r="G163" s="504">
        <f>Ecrêtage!M157</f>
        <v>0</v>
      </c>
      <c r="H163" s="505">
        <f t="shared" si="9"/>
        <v>66830.841972359558</v>
      </c>
      <c r="I163" s="324">
        <f t="shared" si="10"/>
        <v>79443.016972359561</v>
      </c>
    </row>
    <row r="164" spans="1:9" s="35" customFormat="1" x14ac:dyDescent="0.25">
      <c r="A164" s="38">
        <f>Données!A158</f>
        <v>5665</v>
      </c>
      <c r="B164" s="555" t="str">
        <f>Données!B158</f>
        <v>Chavannes-sur-Moudon</v>
      </c>
      <c r="C164" s="31">
        <f>VPI!R158</f>
        <v>4920.7560000000012</v>
      </c>
      <c r="D164" s="8">
        <f>Données!N158</f>
        <v>0</v>
      </c>
      <c r="E164" s="238">
        <f>Données!O158+Données!P158+Données!R158</f>
        <v>10677.4</v>
      </c>
      <c r="F164" s="504">
        <f t="shared" si="8"/>
        <v>5338.7</v>
      </c>
      <c r="G164" s="504">
        <f>Ecrêtage!M158</f>
        <v>0</v>
      </c>
      <c r="H164" s="505">
        <f t="shared" si="9"/>
        <v>62477.660729198513</v>
      </c>
      <c r="I164" s="324">
        <f t="shared" si="10"/>
        <v>67816.36072919851</v>
      </c>
    </row>
    <row r="165" spans="1:9" s="35" customFormat="1" x14ac:dyDescent="0.25">
      <c r="A165" s="38">
        <f>Données!A159</f>
        <v>5669</v>
      </c>
      <c r="B165" s="555" t="str">
        <f>Données!B159</f>
        <v>Curtilles</v>
      </c>
      <c r="C165" s="31">
        <f>VPI!R159</f>
        <v>9337.6116438356166</v>
      </c>
      <c r="D165" s="8">
        <f>Données!N159</f>
        <v>0</v>
      </c>
      <c r="E165" s="238">
        <f>Données!O159+Données!P159+Données!R159</f>
        <v>89639.15</v>
      </c>
      <c r="F165" s="504">
        <f t="shared" si="8"/>
        <v>44819.574999999997</v>
      </c>
      <c r="G165" s="504">
        <f>Ecrêtage!M159</f>
        <v>0</v>
      </c>
      <c r="H165" s="505">
        <f t="shared" si="9"/>
        <v>118557.41928772227</v>
      </c>
      <c r="I165" s="324">
        <f t="shared" si="10"/>
        <v>163376.99428772228</v>
      </c>
    </row>
    <row r="166" spans="1:9" s="35" customFormat="1" x14ac:dyDescent="0.25">
      <c r="A166" s="38">
        <f>Données!A160</f>
        <v>5671</v>
      </c>
      <c r="B166" s="555" t="str">
        <f>Données!B160</f>
        <v>Dompierre</v>
      </c>
      <c r="C166" s="31">
        <f>VPI!R160</f>
        <v>6463.499743589743</v>
      </c>
      <c r="D166" s="8">
        <f>Données!N160</f>
        <v>5497.4</v>
      </c>
      <c r="E166" s="238">
        <f>Données!O160+Données!P160+Données!R160</f>
        <v>103488.15</v>
      </c>
      <c r="F166" s="504">
        <f t="shared" si="8"/>
        <v>53393.294999999998</v>
      </c>
      <c r="G166" s="504">
        <f>Ecrêtage!M160</f>
        <v>0</v>
      </c>
      <c r="H166" s="505">
        <f t="shared" si="9"/>
        <v>82065.508654211153</v>
      </c>
      <c r="I166" s="324">
        <f t="shared" si="10"/>
        <v>135458.80365421117</v>
      </c>
    </row>
    <row r="167" spans="1:9" s="35" customFormat="1" x14ac:dyDescent="0.25">
      <c r="A167" s="38">
        <f>Données!A161</f>
        <v>5673</v>
      </c>
      <c r="B167" s="555" t="str">
        <f>Données!B161</f>
        <v>Hermenches</v>
      </c>
      <c r="C167" s="31">
        <f>VPI!R161</f>
        <v>10227.21768707483</v>
      </c>
      <c r="D167" s="8">
        <f>Données!N161</f>
        <v>11063.95</v>
      </c>
      <c r="E167" s="238">
        <f>Données!O161+Données!P161+Données!R161</f>
        <v>3890.2</v>
      </c>
      <c r="F167" s="504">
        <f t="shared" si="8"/>
        <v>5264.2849999999999</v>
      </c>
      <c r="G167" s="504">
        <f>Ecrêtage!M161</f>
        <v>0</v>
      </c>
      <c r="H167" s="505">
        <f t="shared" si="9"/>
        <v>129852.5342156204</v>
      </c>
      <c r="I167" s="324">
        <f t="shared" si="10"/>
        <v>135116.8192156204</v>
      </c>
    </row>
    <row r="168" spans="1:9" s="35" customFormat="1" x14ac:dyDescent="0.25">
      <c r="A168" s="38">
        <f>Données!A162</f>
        <v>5674</v>
      </c>
      <c r="B168" s="555" t="str">
        <f>Données!B162</f>
        <v>Lovatens</v>
      </c>
      <c r="C168" s="31">
        <f>VPI!R162</f>
        <v>4222.7066666666669</v>
      </c>
      <c r="D168" s="8">
        <f>Données!N162</f>
        <v>0</v>
      </c>
      <c r="E168" s="238">
        <f>Données!O162+Données!P162+Données!R162</f>
        <v>38003.9</v>
      </c>
      <c r="F168" s="504">
        <f t="shared" si="8"/>
        <v>19001.95</v>
      </c>
      <c r="G168" s="504">
        <f>Ecrêtage!M162</f>
        <v>0</v>
      </c>
      <c r="H168" s="505">
        <f t="shared" si="9"/>
        <v>53614.695481532654</v>
      </c>
      <c r="I168" s="324">
        <f t="shared" si="10"/>
        <v>72616.645481532658</v>
      </c>
    </row>
    <row r="169" spans="1:9" s="35" customFormat="1" x14ac:dyDescent="0.25">
      <c r="A169" s="38">
        <f>Données!A163</f>
        <v>5675</v>
      </c>
      <c r="B169" s="555" t="str">
        <f>Données!B163</f>
        <v>Lucens</v>
      </c>
      <c r="C169" s="31">
        <f>VPI!R163</f>
        <v>105149.82705723906</v>
      </c>
      <c r="D169" s="8">
        <f>Données!N163</f>
        <v>41543.800000000003</v>
      </c>
      <c r="E169" s="238">
        <f>Données!O163+Données!P163+Données!R163</f>
        <v>1029555.1</v>
      </c>
      <c r="F169" s="504">
        <f t="shared" si="8"/>
        <v>527240.68999999994</v>
      </c>
      <c r="G169" s="504">
        <f>Ecrêtage!M163</f>
        <v>0</v>
      </c>
      <c r="H169" s="505">
        <f t="shared" si="9"/>
        <v>1335062.1775629758</v>
      </c>
      <c r="I169" s="324">
        <f t="shared" si="10"/>
        <v>1862302.8675629757</v>
      </c>
    </row>
    <row r="170" spans="1:9" s="35" customFormat="1" x14ac:dyDescent="0.25">
      <c r="A170" s="38">
        <f>Données!A164</f>
        <v>5678</v>
      </c>
      <c r="B170" s="555" t="str">
        <f>Données!B164</f>
        <v>Moudon</v>
      </c>
      <c r="C170" s="31">
        <f>VPI!R164</f>
        <v>124814.5703448276</v>
      </c>
      <c r="D170" s="8">
        <f>Données!N164</f>
        <v>212026.15</v>
      </c>
      <c r="E170" s="238">
        <f>Données!O164+Données!P164+Données!R164</f>
        <v>1743552.3</v>
      </c>
      <c r="F170" s="504">
        <f t="shared" si="8"/>
        <v>935383.995</v>
      </c>
      <c r="G170" s="504">
        <f>Ecrêtage!M164</f>
        <v>0</v>
      </c>
      <c r="H170" s="505">
        <f t="shared" si="9"/>
        <v>1584740.7146513297</v>
      </c>
      <c r="I170" s="324">
        <f t="shared" si="10"/>
        <v>2520124.7096513296</v>
      </c>
    </row>
    <row r="171" spans="1:9" s="35" customFormat="1" x14ac:dyDescent="0.25">
      <c r="A171" s="38">
        <f>Données!A165</f>
        <v>5680</v>
      </c>
      <c r="B171" s="555" t="str">
        <f>Données!B165</f>
        <v>Ogens</v>
      </c>
      <c r="C171" s="31">
        <f>VPI!R165</f>
        <v>8501.7127777777787</v>
      </c>
      <c r="D171" s="8">
        <f>Données!N165</f>
        <v>0</v>
      </c>
      <c r="E171" s="238">
        <f>Données!O165+Données!P165+Données!R165</f>
        <v>50187.149999999994</v>
      </c>
      <c r="F171" s="504">
        <f t="shared" si="8"/>
        <v>25093.574999999997</v>
      </c>
      <c r="G171" s="504">
        <f>Ecrêtage!M165</f>
        <v>0</v>
      </c>
      <c r="H171" s="505">
        <f t="shared" si="9"/>
        <v>107944.21152910076</v>
      </c>
      <c r="I171" s="324">
        <f t="shared" si="10"/>
        <v>133037.78652910076</v>
      </c>
    </row>
    <row r="172" spans="1:9" s="35" customFormat="1" x14ac:dyDescent="0.25">
      <c r="A172" s="38">
        <f>Données!A166</f>
        <v>5683</v>
      </c>
      <c r="B172" s="555" t="str">
        <f>Données!B166</f>
        <v>Prévonloup</v>
      </c>
      <c r="C172" s="31">
        <f>VPI!R166</f>
        <v>5386.3598620689654</v>
      </c>
      <c r="D172" s="8">
        <f>Données!N166</f>
        <v>0</v>
      </c>
      <c r="E172" s="238">
        <f>Données!O166+Données!P166+Données!R166</f>
        <v>42888.1</v>
      </c>
      <c r="F172" s="504">
        <f t="shared" si="8"/>
        <v>21444.05</v>
      </c>
      <c r="G172" s="504">
        <f>Ecrêtage!M166</f>
        <v>0</v>
      </c>
      <c r="H172" s="505">
        <f t="shared" si="9"/>
        <v>68389.321483877109</v>
      </c>
      <c r="I172" s="324">
        <f t="shared" si="10"/>
        <v>89833.371483877112</v>
      </c>
    </row>
    <row r="173" spans="1:9" s="35" customFormat="1" x14ac:dyDescent="0.25">
      <c r="A173" s="38">
        <f>Données!A167</f>
        <v>5684</v>
      </c>
      <c r="B173" s="555" t="str">
        <f>Données!B167</f>
        <v>Rossenges</v>
      </c>
      <c r="C173" s="31">
        <f>VPI!R167</f>
        <v>3253.4312666666665</v>
      </c>
      <c r="D173" s="8">
        <f>Données!N167</f>
        <v>0</v>
      </c>
      <c r="E173" s="238">
        <f>Données!O167+Données!P167+Données!R167</f>
        <v>0</v>
      </c>
      <c r="F173" s="504">
        <f t="shared" si="8"/>
        <v>0</v>
      </c>
      <c r="G173" s="504">
        <f>Ecrêtage!M167</f>
        <v>0</v>
      </c>
      <c r="H173" s="505">
        <f t="shared" si="9"/>
        <v>41308.037806500972</v>
      </c>
      <c r="I173" s="324">
        <f t="shared" si="10"/>
        <v>41308.037806500972</v>
      </c>
    </row>
    <row r="174" spans="1:9" s="35" customFormat="1" x14ac:dyDescent="0.25">
      <c r="A174" s="38">
        <f>Données!A168</f>
        <v>5688</v>
      </c>
      <c r="B174" s="555" t="str">
        <f>Données!B168</f>
        <v>Syens</v>
      </c>
      <c r="C174" s="31">
        <f>VPI!R168</f>
        <v>6192.4015384615377</v>
      </c>
      <c r="D174" s="8">
        <f>Données!N168</f>
        <v>0</v>
      </c>
      <c r="E174" s="238">
        <f>Données!O168+Données!P168+Données!R168</f>
        <v>25980.199999999997</v>
      </c>
      <c r="F174" s="504">
        <f t="shared" si="8"/>
        <v>12990.099999999999</v>
      </c>
      <c r="G174" s="504">
        <f>Ecrêtage!M168</f>
        <v>0</v>
      </c>
      <c r="H174" s="505">
        <f t="shared" si="9"/>
        <v>78623.439654184593</v>
      </c>
      <c r="I174" s="324">
        <f t="shared" si="10"/>
        <v>91613.539654184598</v>
      </c>
    </row>
    <row r="175" spans="1:9" s="35" customFormat="1" x14ac:dyDescent="0.25">
      <c r="A175" s="38">
        <f>Données!A169</f>
        <v>5690</v>
      </c>
      <c r="B175" s="555" t="str">
        <f>Données!B169</f>
        <v>Villars-le-Comte</v>
      </c>
      <c r="C175" s="31">
        <f>VPI!R169</f>
        <v>3509.9673809523806</v>
      </c>
      <c r="D175" s="8">
        <f>Données!N169</f>
        <v>0</v>
      </c>
      <c r="E175" s="238">
        <f>Données!O169+Données!P169+Données!R169</f>
        <v>19414.5</v>
      </c>
      <c r="F175" s="504">
        <f t="shared" si="8"/>
        <v>9707.25</v>
      </c>
      <c r="G175" s="504">
        <f>Ecrêtage!M169</f>
        <v>0</v>
      </c>
      <c r="H175" s="505">
        <f t="shared" si="9"/>
        <v>44565.215425779337</v>
      </c>
      <c r="I175" s="324">
        <f t="shared" si="10"/>
        <v>54272.465425779337</v>
      </c>
    </row>
    <row r="176" spans="1:9" s="35" customFormat="1" x14ac:dyDescent="0.25">
      <c r="A176" s="38">
        <f>Données!A170</f>
        <v>5692</v>
      </c>
      <c r="B176" s="555" t="str">
        <f>Données!B170</f>
        <v>Vucherens</v>
      </c>
      <c r="C176" s="31">
        <f>VPI!R170</f>
        <v>18792.58012987013</v>
      </c>
      <c r="D176" s="8">
        <f>Données!N170</f>
        <v>10724.2</v>
      </c>
      <c r="E176" s="238">
        <f>Données!O170+Données!P170+Données!R170</f>
        <v>194160.7</v>
      </c>
      <c r="F176" s="504">
        <f t="shared" si="8"/>
        <v>100297.61</v>
      </c>
      <c r="G176" s="504">
        <f>Ecrêtage!M170</f>
        <v>0</v>
      </c>
      <c r="H176" s="505">
        <f t="shared" si="9"/>
        <v>238604.89030147053</v>
      </c>
      <c r="I176" s="324">
        <f t="shared" si="10"/>
        <v>338902.50030147051</v>
      </c>
    </row>
    <row r="177" spans="1:9" s="35" customFormat="1" x14ac:dyDescent="0.25">
      <c r="A177" s="38">
        <f>Données!A171</f>
        <v>5693</v>
      </c>
      <c r="B177" s="555" t="str">
        <f>Données!B171</f>
        <v>Montanaire</v>
      </c>
      <c r="C177" s="31">
        <f>VPI!R171</f>
        <v>75687.075428571436</v>
      </c>
      <c r="D177" s="8">
        <f>Données!N171</f>
        <v>63509.05</v>
      </c>
      <c r="E177" s="238">
        <f>Données!O171+Données!P171+Données!R171</f>
        <v>485355.5</v>
      </c>
      <c r="F177" s="504">
        <f t="shared" si="8"/>
        <v>261730.465</v>
      </c>
      <c r="G177" s="504">
        <f>Ecrêtage!M171</f>
        <v>0</v>
      </c>
      <c r="H177" s="505">
        <f t="shared" si="9"/>
        <v>960980.67455723102</v>
      </c>
      <c r="I177" s="324">
        <f t="shared" si="10"/>
        <v>1222711.139557231</v>
      </c>
    </row>
    <row r="178" spans="1:9" s="35" customFormat="1" x14ac:dyDescent="0.25">
      <c r="A178" s="38">
        <f>Données!A172</f>
        <v>5701</v>
      </c>
      <c r="B178" s="555" t="str">
        <f>Données!B172</f>
        <v>Arnex-sur-Nyon</v>
      </c>
      <c r="C178" s="31">
        <f>VPI!R172</f>
        <v>14488.632285714286</v>
      </c>
      <c r="D178" s="8">
        <f>Données!N172</f>
        <v>1264.6500000000001</v>
      </c>
      <c r="E178" s="238">
        <f>Données!O172+Données!P172+Données!R172</f>
        <v>162632</v>
      </c>
      <c r="F178" s="504">
        <f t="shared" si="8"/>
        <v>81695.395000000004</v>
      </c>
      <c r="G178" s="504">
        <f>Ecrêtage!M172</f>
        <v>61606.107591395637</v>
      </c>
      <c r="H178" s="505">
        <f t="shared" si="9"/>
        <v>183958.69504136537</v>
      </c>
      <c r="I178" s="324">
        <f t="shared" si="10"/>
        <v>327260.19763276097</v>
      </c>
    </row>
    <row r="179" spans="1:9" s="35" customFormat="1" x14ac:dyDescent="0.25">
      <c r="A179" s="38">
        <f>Données!A173</f>
        <v>5702</v>
      </c>
      <c r="B179" s="555" t="str">
        <f>Données!B173</f>
        <v>Arzier-Le Muids</v>
      </c>
      <c r="C179" s="31">
        <f>VPI!R173</f>
        <v>174855.39411458338</v>
      </c>
      <c r="D179" s="8">
        <f>Données!N173</f>
        <v>76946.45</v>
      </c>
      <c r="E179" s="238">
        <f>Données!O173+Données!P173+Données!R173</f>
        <v>1466606.65</v>
      </c>
      <c r="F179" s="504">
        <f t="shared" si="8"/>
        <v>756387.26</v>
      </c>
      <c r="G179" s="504">
        <f>Ecrêtage!M173</f>
        <v>464258.56191617972</v>
      </c>
      <c r="H179" s="505">
        <f t="shared" si="9"/>
        <v>2220097.072515124</v>
      </c>
      <c r="I179" s="324">
        <f t="shared" si="10"/>
        <v>3440742.8944313042</v>
      </c>
    </row>
    <row r="180" spans="1:9" s="35" customFormat="1" x14ac:dyDescent="0.25">
      <c r="A180" s="38">
        <f>Données!A174</f>
        <v>5703</v>
      </c>
      <c r="B180" s="555" t="str">
        <f>Données!B174</f>
        <v>Bassins</v>
      </c>
      <c r="C180" s="31">
        <f>VPI!R174</f>
        <v>66798.778167487675</v>
      </c>
      <c r="D180" s="8">
        <f>Données!N174</f>
        <v>30033.35</v>
      </c>
      <c r="E180" s="238">
        <f>Données!O174+Données!P174+Données!R174</f>
        <v>479756.44999999995</v>
      </c>
      <c r="F180" s="504">
        <f t="shared" si="8"/>
        <v>248888.22999999998</v>
      </c>
      <c r="G180" s="504">
        <f>Ecrêtage!M174</f>
        <v>0</v>
      </c>
      <c r="H180" s="505">
        <f t="shared" si="9"/>
        <v>848128.09240557475</v>
      </c>
      <c r="I180" s="324">
        <f t="shared" si="10"/>
        <v>1097016.3224055748</v>
      </c>
    </row>
    <row r="181" spans="1:9" s="35" customFormat="1" x14ac:dyDescent="0.25">
      <c r="A181" s="38">
        <f>Données!A175</f>
        <v>5704</v>
      </c>
      <c r="B181" s="555" t="str">
        <f>Données!B175</f>
        <v>Begnins</v>
      </c>
      <c r="C181" s="31">
        <f>VPI!R175</f>
        <v>146339.67776000002</v>
      </c>
      <c r="D181" s="8">
        <f>Données!N175</f>
        <v>24992.05</v>
      </c>
      <c r="E181" s="238">
        <f>Données!O175+Données!P175+Données!R175</f>
        <v>624675.5</v>
      </c>
      <c r="F181" s="504">
        <f t="shared" si="8"/>
        <v>319835.36499999999</v>
      </c>
      <c r="G181" s="504">
        <f>Ecrêtage!M175</f>
        <v>925511.63440552098</v>
      </c>
      <c r="H181" s="505">
        <f t="shared" si="9"/>
        <v>1858039.8496307307</v>
      </c>
      <c r="I181" s="324">
        <f t="shared" si="10"/>
        <v>3103386.8490362512</v>
      </c>
    </row>
    <row r="182" spans="1:9" s="35" customFormat="1" x14ac:dyDescent="0.25">
      <c r="A182" s="38">
        <f>Données!A176</f>
        <v>5705</v>
      </c>
      <c r="B182" s="555" t="str">
        <f>Données!B176</f>
        <v>Bogis-Bossey</v>
      </c>
      <c r="C182" s="31">
        <f>VPI!R176</f>
        <v>51950.537852349</v>
      </c>
      <c r="D182" s="8">
        <f>Données!N176</f>
        <v>47048.800000000003</v>
      </c>
      <c r="E182" s="238">
        <f>Données!O176+Données!P176+Données!R176</f>
        <v>544218.4</v>
      </c>
      <c r="F182" s="504">
        <f t="shared" si="8"/>
        <v>286223.84000000003</v>
      </c>
      <c r="G182" s="504">
        <f>Ecrêtage!M176</f>
        <v>146360.29511178072</v>
      </c>
      <c r="H182" s="505">
        <f t="shared" si="9"/>
        <v>659603.54031747254</v>
      </c>
      <c r="I182" s="324">
        <f t="shared" si="10"/>
        <v>1092187.6754292534</v>
      </c>
    </row>
    <row r="183" spans="1:9" s="35" customFormat="1" x14ac:dyDescent="0.25">
      <c r="A183" s="38">
        <f>Données!A177</f>
        <v>5706</v>
      </c>
      <c r="B183" s="555" t="str">
        <f>Données!B177</f>
        <v>Borex</v>
      </c>
      <c r="C183" s="31">
        <f>VPI!R177</f>
        <v>71207.729649122819</v>
      </c>
      <c r="D183" s="8">
        <f>Données!N177</f>
        <v>10314.15</v>
      </c>
      <c r="E183" s="238">
        <f>Données!O177+Données!P177+Données!R177</f>
        <v>319899.59999999998</v>
      </c>
      <c r="F183" s="504">
        <f t="shared" si="8"/>
        <v>163044.04499999998</v>
      </c>
      <c r="G183" s="504">
        <f>Ecrêtage!M177</f>
        <v>199098.6630313925</v>
      </c>
      <c r="H183" s="505">
        <f t="shared" si="9"/>
        <v>904107.4937091748</v>
      </c>
      <c r="I183" s="324">
        <f t="shared" si="10"/>
        <v>1266250.2017405673</v>
      </c>
    </row>
    <row r="184" spans="1:9" s="35" customFormat="1" x14ac:dyDescent="0.25">
      <c r="A184" s="38">
        <f>Données!A178</f>
        <v>5707</v>
      </c>
      <c r="B184" s="555" t="str">
        <f>Données!B178</f>
        <v>Chavannes-de-Bogis</v>
      </c>
      <c r="C184" s="31">
        <f>VPI!R178</f>
        <v>88004.58971264369</v>
      </c>
      <c r="D184" s="8">
        <f>Données!N178</f>
        <v>706882.95</v>
      </c>
      <c r="E184" s="238">
        <f>Données!O178+Données!P178+Données!R178</f>
        <v>848545.85</v>
      </c>
      <c r="F184" s="504">
        <f t="shared" si="8"/>
        <v>636337.80999999994</v>
      </c>
      <c r="G184" s="504">
        <f>Ecrêtage!M178</f>
        <v>348067.48139698227</v>
      </c>
      <c r="H184" s="505">
        <f t="shared" si="9"/>
        <v>1117373.2041740872</v>
      </c>
      <c r="I184" s="324">
        <f t="shared" si="10"/>
        <v>2101778.4955710694</v>
      </c>
    </row>
    <row r="185" spans="1:9" s="35" customFormat="1" x14ac:dyDescent="0.25">
      <c r="A185" s="38">
        <f>Données!A179</f>
        <v>5708</v>
      </c>
      <c r="B185" s="555" t="str">
        <f>Données!B179</f>
        <v>Chavannes-des-Bois</v>
      </c>
      <c r="C185" s="31">
        <f>VPI!R179</f>
        <v>66993.89235294117</v>
      </c>
      <c r="D185" s="8">
        <f>Données!N179</f>
        <v>11789.25</v>
      </c>
      <c r="E185" s="238">
        <f>Données!O179+Données!P179+Données!R179</f>
        <v>282870.09999999998</v>
      </c>
      <c r="F185" s="504">
        <f t="shared" si="8"/>
        <v>144971.82499999998</v>
      </c>
      <c r="G185" s="504">
        <f>Ecrêtage!M179</f>
        <v>318441.88025006157</v>
      </c>
      <c r="H185" s="505">
        <f t="shared" si="9"/>
        <v>850605.41050104983</v>
      </c>
      <c r="I185" s="324">
        <f t="shared" si="10"/>
        <v>1314019.1157511114</v>
      </c>
    </row>
    <row r="186" spans="1:9" s="35" customFormat="1" x14ac:dyDescent="0.25">
      <c r="A186" s="38">
        <f>Données!A180</f>
        <v>5709</v>
      </c>
      <c r="B186" s="555" t="str">
        <f>Données!B180</f>
        <v>Chéserex</v>
      </c>
      <c r="C186" s="31">
        <f>VPI!R180</f>
        <v>88341.005087719284</v>
      </c>
      <c r="D186" s="8">
        <f>Données!N180</f>
        <v>45594</v>
      </c>
      <c r="E186" s="238">
        <f>Données!O180+Données!P180+Données!R180</f>
        <v>1836317.2000000002</v>
      </c>
      <c r="F186" s="504">
        <f t="shared" si="8"/>
        <v>931836.8</v>
      </c>
      <c r="G186" s="504">
        <f>Ecrêtage!M180</f>
        <v>406396.77657738049</v>
      </c>
      <c r="H186" s="505">
        <f t="shared" si="9"/>
        <v>1121644.5896416979</v>
      </c>
      <c r="I186" s="324">
        <f t="shared" si="10"/>
        <v>2459878.1662190785</v>
      </c>
    </row>
    <row r="187" spans="1:9" s="35" customFormat="1" x14ac:dyDescent="0.25">
      <c r="A187" s="38">
        <f>Données!A181</f>
        <v>5710</v>
      </c>
      <c r="B187" s="555" t="str">
        <f>Données!B181</f>
        <v>Coinsins</v>
      </c>
      <c r="C187" s="31">
        <f>VPI!R181</f>
        <v>43388.780196078442</v>
      </c>
      <c r="D187" s="8">
        <f>Données!N181</f>
        <v>46509.95</v>
      </c>
      <c r="E187" s="238">
        <f>Données!O181+Données!P181+Données!R181</f>
        <v>158301.75</v>
      </c>
      <c r="F187" s="504">
        <f t="shared" si="8"/>
        <v>93103.86</v>
      </c>
      <c r="G187" s="504">
        <f>Ecrêtage!M181</f>
        <v>301464.52054632653</v>
      </c>
      <c r="H187" s="505">
        <f t="shared" si="9"/>
        <v>550896.95334301388</v>
      </c>
      <c r="I187" s="324">
        <f t="shared" si="10"/>
        <v>945465.3338893404</v>
      </c>
    </row>
    <row r="188" spans="1:9" s="35" customFormat="1" x14ac:dyDescent="0.25">
      <c r="A188" s="38">
        <f>Données!A182</f>
        <v>5711</v>
      </c>
      <c r="B188" s="555" t="str">
        <f>Données!B182</f>
        <v>Commugny</v>
      </c>
      <c r="C188" s="31">
        <f>VPI!R182</f>
        <v>286267.46263340261</v>
      </c>
      <c r="D188" s="8">
        <f>Données!N182</f>
        <v>25768.5</v>
      </c>
      <c r="E188" s="238">
        <f>Données!O182+Données!P182+Données!R182</f>
        <v>2190966.0499999998</v>
      </c>
      <c r="F188" s="504">
        <f t="shared" si="8"/>
        <v>1103213.575</v>
      </c>
      <c r="G188" s="504">
        <f>Ecrêtage!M182</f>
        <v>2602903.5482180477</v>
      </c>
      <c r="H188" s="505">
        <f t="shared" si="9"/>
        <v>3634669.4305139771</v>
      </c>
      <c r="I188" s="324">
        <f t="shared" si="10"/>
        <v>7340786.5537320245</v>
      </c>
    </row>
    <row r="189" spans="1:9" s="35" customFormat="1" x14ac:dyDescent="0.25">
      <c r="A189" s="38">
        <f>Données!A183</f>
        <v>5712</v>
      </c>
      <c r="B189" s="555" t="str">
        <f>Données!B183</f>
        <v>Coppet</v>
      </c>
      <c r="C189" s="31">
        <f>VPI!R183</f>
        <v>333743.32396226411</v>
      </c>
      <c r="D189" s="8">
        <f>Données!N183</f>
        <v>136878.75</v>
      </c>
      <c r="E189" s="238">
        <f>Données!O183+Données!P183+Données!R183</f>
        <v>2053575.65</v>
      </c>
      <c r="F189" s="504">
        <f t="shared" si="8"/>
        <v>1067851.45</v>
      </c>
      <c r="G189" s="504">
        <f>Ecrêtage!M183</f>
        <v>3378771.4375632429</v>
      </c>
      <c r="H189" s="505">
        <f t="shared" si="9"/>
        <v>4237459.0744083468</v>
      </c>
      <c r="I189" s="324">
        <f t="shared" si="10"/>
        <v>8684081.9619715903</v>
      </c>
    </row>
    <row r="190" spans="1:9" s="35" customFormat="1" x14ac:dyDescent="0.25">
      <c r="A190" s="38">
        <f>Données!A184</f>
        <v>5713</v>
      </c>
      <c r="B190" s="555" t="str">
        <f>Données!B184</f>
        <v>Crans</v>
      </c>
      <c r="C190" s="31">
        <f>VPI!R184</f>
        <v>302501.76750000002</v>
      </c>
      <c r="D190" s="8">
        <f>Données!N184</f>
        <v>40096.699999999997</v>
      </c>
      <c r="E190" s="238">
        <f>Données!O184+Données!P184+Données!R184</f>
        <v>3286153</v>
      </c>
      <c r="F190" s="504">
        <f t="shared" si="8"/>
        <v>1655105.51</v>
      </c>
      <c r="G190" s="504">
        <f>Ecrêtage!M184</f>
        <v>4202351.6804386703</v>
      </c>
      <c r="H190" s="505">
        <f t="shared" si="9"/>
        <v>3840792.5123391375</v>
      </c>
      <c r="I190" s="324">
        <f t="shared" si="10"/>
        <v>9698249.7027778067</v>
      </c>
    </row>
    <row r="191" spans="1:9" s="35" customFormat="1" x14ac:dyDescent="0.25">
      <c r="A191" s="38">
        <f>Données!A185</f>
        <v>5714</v>
      </c>
      <c r="B191" s="555" t="str">
        <f>Données!B185</f>
        <v>Crassier</v>
      </c>
      <c r="C191" s="31">
        <f>VPI!R185</f>
        <v>62133.653235294114</v>
      </c>
      <c r="D191" s="8">
        <f>Données!N185</f>
        <v>144109.9</v>
      </c>
      <c r="E191" s="238">
        <f>Données!O185+Données!P185+Données!R185</f>
        <v>615564.55000000005</v>
      </c>
      <c r="F191" s="504">
        <f t="shared" si="8"/>
        <v>351015.245</v>
      </c>
      <c r="G191" s="504">
        <f>Ecrêtage!M185</f>
        <v>44501.037753156626</v>
      </c>
      <c r="H191" s="505">
        <f t="shared" si="9"/>
        <v>788896.11813720735</v>
      </c>
      <c r="I191" s="324">
        <f t="shared" si="10"/>
        <v>1184412.4008903641</v>
      </c>
    </row>
    <row r="192" spans="1:9" s="35" customFormat="1" x14ac:dyDescent="0.25">
      <c r="A192" s="38">
        <f>Données!A186</f>
        <v>5715</v>
      </c>
      <c r="B192" s="555" t="str">
        <f>Données!B186</f>
        <v>Duillier</v>
      </c>
      <c r="C192" s="31">
        <f>VPI!R186</f>
        <v>70392.808484848487</v>
      </c>
      <c r="D192" s="8">
        <f>Données!N186</f>
        <v>115813.65</v>
      </c>
      <c r="E192" s="238">
        <f>Données!O186+Données!P186+Données!R186</f>
        <v>856485.55</v>
      </c>
      <c r="F192" s="504">
        <f t="shared" si="8"/>
        <v>462986.87</v>
      </c>
      <c r="G192" s="504">
        <f>Ecrêtage!M186</f>
        <v>233634.34194278138</v>
      </c>
      <c r="H192" s="505">
        <f t="shared" si="9"/>
        <v>893760.63480729563</v>
      </c>
      <c r="I192" s="324">
        <f t="shared" si="10"/>
        <v>1590381.8467500771</v>
      </c>
    </row>
    <row r="193" spans="1:9" s="35" customFormat="1" x14ac:dyDescent="0.25">
      <c r="A193" s="38">
        <f>Données!A187</f>
        <v>5716</v>
      </c>
      <c r="B193" s="555" t="str">
        <f>Données!B187</f>
        <v>Eysins</v>
      </c>
      <c r="C193" s="31">
        <f>VPI!R187</f>
        <v>203469.72924369748</v>
      </c>
      <c r="D193" s="8">
        <f>Données!N187</f>
        <v>412218.95</v>
      </c>
      <c r="E193" s="238">
        <f>Données!O187+Données!P187+Données!R187</f>
        <v>198476.75</v>
      </c>
      <c r="F193" s="504">
        <f t="shared" si="8"/>
        <v>222904.06</v>
      </c>
      <c r="G193" s="504">
        <f>Ecrêtage!M187</f>
        <v>2736002.1062996746</v>
      </c>
      <c r="H193" s="505">
        <f t="shared" si="9"/>
        <v>2583406.4343669163</v>
      </c>
      <c r="I193" s="324">
        <f t="shared" si="10"/>
        <v>5542312.600666591</v>
      </c>
    </row>
    <row r="194" spans="1:9" s="35" customFormat="1" x14ac:dyDescent="0.25">
      <c r="A194" s="38">
        <f>Données!A188</f>
        <v>5717</v>
      </c>
      <c r="B194" s="555" t="str">
        <f>Données!B188</f>
        <v>Founex</v>
      </c>
      <c r="C194" s="31">
        <f>VPI!R188</f>
        <v>390717.85842105263</v>
      </c>
      <c r="D194" s="8">
        <f>Données!N188</f>
        <v>202572.75</v>
      </c>
      <c r="E194" s="238">
        <f>Données!O188+Données!P188+Données!R188</f>
        <v>1665723.5499999998</v>
      </c>
      <c r="F194" s="504">
        <f t="shared" si="8"/>
        <v>893633.59999999986</v>
      </c>
      <c r="G194" s="504">
        <f>Ecrêtage!M188</f>
        <v>4139078.2639271128</v>
      </c>
      <c r="H194" s="505">
        <f t="shared" si="9"/>
        <v>4960851.0967155322</v>
      </c>
      <c r="I194" s="324">
        <f t="shared" si="10"/>
        <v>9993562.9606426451</v>
      </c>
    </row>
    <row r="195" spans="1:9" s="35" customFormat="1" x14ac:dyDescent="0.25">
      <c r="A195" s="38">
        <f>Données!A189</f>
        <v>5718</v>
      </c>
      <c r="B195" s="555" t="str">
        <f>Données!B189</f>
        <v>Genolier</v>
      </c>
      <c r="C195" s="31">
        <f>VPI!R189</f>
        <v>192258.25363636363</v>
      </c>
      <c r="D195" s="8">
        <f>Données!N189</f>
        <v>221075.95</v>
      </c>
      <c r="E195" s="238">
        <f>Données!O189+Données!P189+Données!R189</f>
        <v>1235147.8999999999</v>
      </c>
      <c r="F195" s="504">
        <f t="shared" si="8"/>
        <v>683896.73499999999</v>
      </c>
      <c r="G195" s="504">
        <f>Ecrêtage!M189</f>
        <v>1724294.7465739138</v>
      </c>
      <c r="H195" s="505">
        <f t="shared" si="9"/>
        <v>2441057.0130038797</v>
      </c>
      <c r="I195" s="324">
        <f t="shared" si="10"/>
        <v>4849248.4945777934</v>
      </c>
    </row>
    <row r="196" spans="1:9" s="35" customFormat="1" x14ac:dyDescent="0.25">
      <c r="A196" s="38">
        <f>Données!A190</f>
        <v>5719</v>
      </c>
      <c r="B196" s="555" t="str">
        <f>Données!B190</f>
        <v>Gingins</v>
      </c>
      <c r="C196" s="31">
        <f>VPI!R190</f>
        <v>151290.43366666668</v>
      </c>
      <c r="D196" s="8">
        <f>Données!N190</f>
        <v>49842.05</v>
      </c>
      <c r="E196" s="238">
        <f>Données!O190+Données!P190+Données!R190</f>
        <v>773289.35</v>
      </c>
      <c r="F196" s="504">
        <f t="shared" si="8"/>
        <v>401597.29</v>
      </c>
      <c r="G196" s="504">
        <f>Ecrêtage!M190</f>
        <v>2101184.6873094272</v>
      </c>
      <c r="H196" s="505">
        <f t="shared" si="9"/>
        <v>1920898.4119918384</v>
      </c>
      <c r="I196" s="324">
        <f t="shared" si="10"/>
        <v>4423680.3893012656</v>
      </c>
    </row>
    <row r="197" spans="1:9" s="35" customFormat="1" x14ac:dyDescent="0.25">
      <c r="A197" s="38">
        <f>Données!A191</f>
        <v>5720</v>
      </c>
      <c r="B197" s="555" t="str">
        <f>Données!B191</f>
        <v>Givrins</v>
      </c>
      <c r="C197" s="31">
        <f>VPI!R191</f>
        <v>74789.584809286913</v>
      </c>
      <c r="D197" s="8">
        <f>Données!N191</f>
        <v>16468.349999999999</v>
      </c>
      <c r="E197" s="238">
        <f>Données!O191+Données!P191+Données!R191</f>
        <v>532676.10000000009</v>
      </c>
      <c r="F197" s="504">
        <f t="shared" si="8"/>
        <v>271278.55500000005</v>
      </c>
      <c r="G197" s="504">
        <f>Ecrêtage!M191</f>
        <v>479861.93378320406</v>
      </c>
      <c r="H197" s="505">
        <f t="shared" si="9"/>
        <v>949585.45105513162</v>
      </c>
      <c r="I197" s="324">
        <f t="shared" si="10"/>
        <v>1700725.9398383356</v>
      </c>
    </row>
    <row r="198" spans="1:9" s="35" customFormat="1" x14ac:dyDescent="0.25">
      <c r="A198" s="38">
        <f>Données!A192</f>
        <v>5721</v>
      </c>
      <c r="B198" s="555" t="str">
        <f>Données!B192</f>
        <v>Gland</v>
      </c>
      <c r="C198" s="31">
        <f>VPI!R192</f>
        <v>722641.89508196723</v>
      </c>
      <c r="D198" s="8">
        <f>Données!N192</f>
        <v>2270512.4</v>
      </c>
      <c r="E198" s="238">
        <f>Données!O192+Données!P192+Données!R192</f>
        <v>3689138.3</v>
      </c>
      <c r="F198" s="504">
        <f t="shared" si="8"/>
        <v>2525722.87</v>
      </c>
      <c r="G198" s="504">
        <f>Ecrêtage!M192</f>
        <v>1035141.0621274391</v>
      </c>
      <c r="H198" s="505">
        <f t="shared" si="9"/>
        <v>9175211.1158602871</v>
      </c>
      <c r="I198" s="324">
        <f t="shared" si="10"/>
        <v>12736075.047987727</v>
      </c>
    </row>
    <row r="199" spans="1:9" s="35" customFormat="1" x14ac:dyDescent="0.25">
      <c r="A199" s="38">
        <f>Données!A193</f>
        <v>5722</v>
      </c>
      <c r="B199" s="555" t="str">
        <f>Données!B193</f>
        <v>Grens</v>
      </c>
      <c r="C199" s="31">
        <f>VPI!R193</f>
        <v>22316.235806451619</v>
      </c>
      <c r="D199" s="8">
        <f>Données!N193</f>
        <v>13044.45</v>
      </c>
      <c r="E199" s="238">
        <f>Données!O193+Données!P193+Données!R193</f>
        <v>16924</v>
      </c>
      <c r="F199" s="504">
        <f t="shared" si="8"/>
        <v>12375.334999999999</v>
      </c>
      <c r="G199" s="504">
        <f>Ecrêtage!M193</f>
        <v>38380.108501472838</v>
      </c>
      <c r="H199" s="505">
        <f t="shared" si="9"/>
        <v>283343.9027393912</v>
      </c>
      <c r="I199" s="324">
        <f t="shared" si="10"/>
        <v>334099.34624086408</v>
      </c>
    </row>
    <row r="200" spans="1:9" s="35" customFormat="1" x14ac:dyDescent="0.25">
      <c r="A200" s="38">
        <f>Données!A194</f>
        <v>5723</v>
      </c>
      <c r="B200" s="555" t="str">
        <f>Données!B194</f>
        <v>Mies</v>
      </c>
      <c r="C200" s="31">
        <f>VPI!R194</f>
        <v>245963.39999999997</v>
      </c>
      <c r="D200" s="8">
        <f>Données!N194</f>
        <v>267148.3</v>
      </c>
      <c r="E200" s="238">
        <f>Données!O194+Données!P194+Données!R194</f>
        <v>3188837.0500000003</v>
      </c>
      <c r="F200" s="504">
        <f t="shared" si="8"/>
        <v>1674563.0150000001</v>
      </c>
      <c r="G200" s="504">
        <f>Ecrêtage!M194</f>
        <v>2729442.5666416059</v>
      </c>
      <c r="H200" s="505">
        <f t="shared" si="9"/>
        <v>3122938.3974739122</v>
      </c>
      <c r="I200" s="324">
        <f t="shared" si="10"/>
        <v>7526943.9791155178</v>
      </c>
    </row>
    <row r="201" spans="1:9" s="35" customFormat="1" x14ac:dyDescent="0.25">
      <c r="A201" s="38">
        <f>Données!A195</f>
        <v>5724</v>
      </c>
      <c r="B201" s="555" t="str">
        <f>Données!B195</f>
        <v>Nyon</v>
      </c>
      <c r="C201" s="31">
        <f>VPI!R195</f>
        <v>1461398.290765027</v>
      </c>
      <c r="D201" s="8">
        <f>Données!N195</f>
        <v>5207617.95</v>
      </c>
      <c r="E201" s="238">
        <f>Données!O195+Données!P195+Données!R195</f>
        <v>10442523.600000001</v>
      </c>
      <c r="F201" s="504">
        <f t="shared" si="8"/>
        <v>6783547.1850000005</v>
      </c>
      <c r="G201" s="504">
        <f>Ecrêtage!M195</f>
        <v>6043292.7413971033</v>
      </c>
      <c r="H201" s="505">
        <f t="shared" si="9"/>
        <v>18555024.187471993</v>
      </c>
      <c r="I201" s="324">
        <f t="shared" si="10"/>
        <v>31381864.113869101</v>
      </c>
    </row>
    <row r="202" spans="1:9" s="35" customFormat="1" x14ac:dyDescent="0.25">
      <c r="A202" s="38">
        <f>Données!A196</f>
        <v>5725</v>
      </c>
      <c r="B202" s="555" t="str">
        <f>Données!B196</f>
        <v>Prangins</v>
      </c>
      <c r="C202" s="31">
        <f>VPI!R196</f>
        <v>354965.57820779225</v>
      </c>
      <c r="D202" s="8">
        <f>Données!N196</f>
        <v>1315566.8999999999</v>
      </c>
      <c r="E202" s="238">
        <f>Données!O196+Données!P196+Données!R196</f>
        <v>1310583.95</v>
      </c>
      <c r="F202" s="504">
        <f t="shared" si="8"/>
        <v>1049962.0449999999</v>
      </c>
      <c r="G202" s="504">
        <f>Ecrêtage!M196</f>
        <v>2778644.0342658358</v>
      </c>
      <c r="H202" s="505">
        <f t="shared" si="9"/>
        <v>4506912.9552065209</v>
      </c>
      <c r="I202" s="324">
        <f t="shared" si="10"/>
        <v>8335519.0344723566</v>
      </c>
    </row>
    <row r="203" spans="1:9" s="35" customFormat="1" x14ac:dyDescent="0.25">
      <c r="A203" s="38">
        <f>Données!A197</f>
        <v>5726</v>
      </c>
      <c r="B203" s="555" t="str">
        <f>Données!B197</f>
        <v>La Rippe</v>
      </c>
      <c r="C203" s="31">
        <f>VPI!R197</f>
        <v>70364.194375000006</v>
      </c>
      <c r="D203" s="8">
        <f>Données!N197</f>
        <v>42138.55</v>
      </c>
      <c r="E203" s="238">
        <f>Données!O197+Données!P197+Données!R197</f>
        <v>468258.95</v>
      </c>
      <c r="F203" s="504">
        <f t="shared" si="8"/>
        <v>246771.04</v>
      </c>
      <c r="G203" s="504">
        <f>Ecrêtage!M197</f>
        <v>207353.49877208978</v>
      </c>
      <c r="H203" s="505">
        <f t="shared" si="9"/>
        <v>893397.32830577809</v>
      </c>
      <c r="I203" s="324">
        <f t="shared" si="10"/>
        <v>1347521.867077868</v>
      </c>
    </row>
    <row r="204" spans="1:9" s="35" customFormat="1" x14ac:dyDescent="0.25">
      <c r="A204" s="38">
        <f>Données!A198</f>
        <v>5727</v>
      </c>
      <c r="B204" s="555" t="str">
        <f>Données!B198</f>
        <v>Saint-Cergue</v>
      </c>
      <c r="C204" s="31">
        <f>VPI!R198</f>
        <v>106171.3535858586</v>
      </c>
      <c r="D204" s="8">
        <f>Données!N198</f>
        <v>182727.2</v>
      </c>
      <c r="E204" s="238">
        <f>Données!O198+Données!P198+Données!R198</f>
        <v>1363484.7000000002</v>
      </c>
      <c r="F204" s="504">
        <f t="shared" si="8"/>
        <v>736560.51000000013</v>
      </c>
      <c r="G204" s="504">
        <f>Ecrêtage!M198</f>
        <v>0</v>
      </c>
      <c r="H204" s="505">
        <f t="shared" si="9"/>
        <v>1348032.2553073238</v>
      </c>
      <c r="I204" s="324">
        <f t="shared" si="10"/>
        <v>2084592.765307324</v>
      </c>
    </row>
    <row r="205" spans="1:9" s="35" customFormat="1" x14ac:dyDescent="0.25">
      <c r="A205" s="38">
        <f>Données!A199</f>
        <v>5728</v>
      </c>
      <c r="B205" s="555" t="str">
        <f>Données!B199</f>
        <v>Signy-Avenex</v>
      </c>
      <c r="C205" s="31">
        <f>VPI!R199</f>
        <v>56428.273965517248</v>
      </c>
      <c r="D205" s="8">
        <f>Données!N199</f>
        <v>172706.65</v>
      </c>
      <c r="E205" s="238">
        <f>Données!O199+Données!P199+Données!R199</f>
        <v>249845.65</v>
      </c>
      <c r="F205" s="504">
        <f t="shared" ref="F205:F268" si="11">D205*$D$11+E205*$E$11</f>
        <v>176734.82</v>
      </c>
      <c r="G205" s="504">
        <f>Ecrêtage!M199</f>
        <v>548620.74412812793</v>
      </c>
      <c r="H205" s="505">
        <f t="shared" ref="H205:H268" si="12">$H$11*C205</f>
        <v>716456.28361817799</v>
      </c>
      <c r="I205" s="324">
        <f t="shared" ref="I205:I268" si="13">F205+H205+G205</f>
        <v>1441811.8477463061</v>
      </c>
    </row>
    <row r="206" spans="1:9" s="35" customFormat="1" x14ac:dyDescent="0.25">
      <c r="A206" s="38">
        <f>Données!A200</f>
        <v>5729</v>
      </c>
      <c r="B206" s="555" t="str">
        <f>Données!B200</f>
        <v>Tannay</v>
      </c>
      <c r="C206" s="31">
        <f>VPI!R200</f>
        <v>161668.92523415975</v>
      </c>
      <c r="D206" s="8">
        <f>Données!N200</f>
        <v>17196.75</v>
      </c>
      <c r="E206" s="238">
        <f>Données!O200+Données!P200+Données!R200</f>
        <v>1253887.1000000001</v>
      </c>
      <c r="F206" s="504">
        <f t="shared" si="11"/>
        <v>632102.57500000007</v>
      </c>
      <c r="G206" s="504">
        <f>Ecrêtage!M200</f>
        <v>1696263.0906857725</v>
      </c>
      <c r="H206" s="505">
        <f t="shared" si="12"/>
        <v>2052671.6344468186</v>
      </c>
      <c r="I206" s="324">
        <f t="shared" si="13"/>
        <v>4381037.3001325913</v>
      </c>
    </row>
    <row r="207" spans="1:9" s="35" customFormat="1" x14ac:dyDescent="0.25">
      <c r="A207" s="38">
        <f>Données!A201</f>
        <v>5730</v>
      </c>
      <c r="B207" s="555" t="str">
        <f>Données!B201</f>
        <v>Trélex</v>
      </c>
      <c r="C207" s="31">
        <f>VPI!R201</f>
        <v>125084.29905905908</v>
      </c>
      <c r="D207" s="8">
        <f>Données!N201</f>
        <v>18029.25</v>
      </c>
      <c r="E207" s="238">
        <f>Données!O201+Données!P201+Données!R201</f>
        <v>1553705.6</v>
      </c>
      <c r="F207" s="504">
        <f t="shared" si="11"/>
        <v>782261.57500000007</v>
      </c>
      <c r="G207" s="504">
        <f>Ecrêtage!M201</f>
        <v>977649.5457727639</v>
      </c>
      <c r="H207" s="505">
        <f t="shared" si="12"/>
        <v>1588165.3955533449</v>
      </c>
      <c r="I207" s="324">
        <f t="shared" si="13"/>
        <v>3348076.5163261089</v>
      </c>
    </row>
    <row r="208" spans="1:9" s="35" customFormat="1" x14ac:dyDescent="0.25">
      <c r="A208" s="38">
        <f>Données!A202</f>
        <v>5731</v>
      </c>
      <c r="B208" s="555" t="str">
        <f>Données!B202</f>
        <v>Le Vaud</v>
      </c>
      <c r="C208" s="31">
        <f>VPI!R202</f>
        <v>69594.777477477473</v>
      </c>
      <c r="D208" s="8">
        <f>Données!N202</f>
        <v>62795.199999999997</v>
      </c>
      <c r="E208" s="238">
        <f>Données!O202+Données!P202+Données!R202</f>
        <v>233518.40000000002</v>
      </c>
      <c r="F208" s="504">
        <f t="shared" si="11"/>
        <v>135597.76000000001</v>
      </c>
      <c r="G208" s="504">
        <f>Ecrêtage!M202</f>
        <v>46056.697643344247</v>
      </c>
      <c r="H208" s="505">
        <f t="shared" si="12"/>
        <v>883628.22618351784</v>
      </c>
      <c r="I208" s="324">
        <f t="shared" si="13"/>
        <v>1065282.6838268621</v>
      </c>
    </row>
    <row r="209" spans="1:9" s="35" customFormat="1" x14ac:dyDescent="0.25">
      <c r="A209" s="38">
        <f>Données!A203</f>
        <v>5732</v>
      </c>
      <c r="B209" s="555" t="str">
        <f>Données!B203</f>
        <v>Vich</v>
      </c>
      <c r="C209" s="31">
        <f>VPI!R203</f>
        <v>86531.798253968242</v>
      </c>
      <c r="D209" s="8">
        <f>Données!N203</f>
        <v>129498.6</v>
      </c>
      <c r="E209" s="238">
        <f>Données!O203+Données!P203+Données!R203</f>
        <v>186661.95</v>
      </c>
      <c r="F209" s="504">
        <f t="shared" si="11"/>
        <v>132180.55499999999</v>
      </c>
      <c r="G209" s="504">
        <f>Ecrêtage!M203</f>
        <v>538481.43761441507</v>
      </c>
      <c r="H209" s="505">
        <f t="shared" si="12"/>
        <v>1098673.5236615834</v>
      </c>
      <c r="I209" s="324">
        <f t="shared" si="13"/>
        <v>1769335.5162759984</v>
      </c>
    </row>
    <row r="210" spans="1:9" s="35" customFormat="1" x14ac:dyDescent="0.25">
      <c r="A210" s="38">
        <f>Données!A204</f>
        <v>5741</v>
      </c>
      <c r="B210" s="555" t="str">
        <f>Données!B204</f>
        <v>L'Abergement</v>
      </c>
      <c r="C210" s="31">
        <f>VPI!R204</f>
        <v>8987.1447119341574</v>
      </c>
      <c r="D210" s="8">
        <f>Données!N204</f>
        <v>6322.15</v>
      </c>
      <c r="E210" s="238">
        <f>Données!O204+Données!P204+Données!R204</f>
        <v>58872.6</v>
      </c>
      <c r="F210" s="504">
        <f t="shared" si="11"/>
        <v>31332.945</v>
      </c>
      <c r="G210" s="504">
        <f>Ecrêtage!M204</f>
        <v>0</v>
      </c>
      <c r="H210" s="505">
        <f t="shared" si="12"/>
        <v>114107.62456753243</v>
      </c>
      <c r="I210" s="324">
        <f t="shared" si="13"/>
        <v>145440.56956753242</v>
      </c>
    </row>
    <row r="211" spans="1:9" s="35" customFormat="1" x14ac:dyDescent="0.25">
      <c r="A211" s="38">
        <f>Données!A205</f>
        <v>5742</v>
      </c>
      <c r="B211" s="555" t="str">
        <f>Données!B205</f>
        <v>Agiez</v>
      </c>
      <c r="C211" s="31">
        <f>VPI!R205</f>
        <v>10159.753552631579</v>
      </c>
      <c r="D211" s="8">
        <f>Données!N205</f>
        <v>2863.2</v>
      </c>
      <c r="E211" s="238">
        <f>Données!O205+Données!P205+Données!R205</f>
        <v>2805.2</v>
      </c>
      <c r="F211" s="504">
        <f t="shared" si="11"/>
        <v>2261.56</v>
      </c>
      <c r="G211" s="504">
        <f>Ecrêtage!M205</f>
        <v>0</v>
      </c>
      <c r="H211" s="505">
        <f t="shared" si="12"/>
        <v>128995.95825389125</v>
      </c>
      <c r="I211" s="324">
        <f t="shared" si="13"/>
        <v>131257.51825389126</v>
      </c>
    </row>
    <row r="212" spans="1:9" s="35" customFormat="1" x14ac:dyDescent="0.25">
      <c r="A212" s="38">
        <f>Données!A206</f>
        <v>5743</v>
      </c>
      <c r="B212" s="555" t="str">
        <f>Données!B206</f>
        <v>Arnex-sur-Orbe</v>
      </c>
      <c r="C212" s="31">
        <f>VPI!R206</f>
        <v>18533.004577464792</v>
      </c>
      <c r="D212" s="8">
        <f>Données!N206</f>
        <v>20766.900000000001</v>
      </c>
      <c r="E212" s="238">
        <f>Données!O206+Données!P206+Données!R206</f>
        <v>81939</v>
      </c>
      <c r="F212" s="504">
        <f t="shared" si="11"/>
        <v>47199.57</v>
      </c>
      <c r="G212" s="504">
        <f>Ecrêtage!M206</f>
        <v>0</v>
      </c>
      <c r="H212" s="505">
        <f t="shared" si="12"/>
        <v>235309.12166413615</v>
      </c>
      <c r="I212" s="324">
        <f t="shared" si="13"/>
        <v>282508.69166413613</v>
      </c>
    </row>
    <row r="213" spans="1:9" s="35" customFormat="1" x14ac:dyDescent="0.25">
      <c r="A213" s="38">
        <f>Données!A207</f>
        <v>5744</v>
      </c>
      <c r="B213" s="555" t="str">
        <f>Données!B207</f>
        <v>Ballaigues</v>
      </c>
      <c r="C213" s="31">
        <f>VPI!R207</f>
        <v>49180.794769230772</v>
      </c>
      <c r="D213" s="8">
        <f>Données!N207</f>
        <v>1852198.25</v>
      </c>
      <c r="E213" s="238">
        <f>Données!O207+Données!P207+Données!R207</f>
        <v>80337.850000000006</v>
      </c>
      <c r="F213" s="504">
        <f t="shared" si="11"/>
        <v>595828.4</v>
      </c>
      <c r="G213" s="504">
        <f>Ecrêtage!M207</f>
        <v>0</v>
      </c>
      <c r="H213" s="505">
        <f t="shared" si="12"/>
        <v>624436.77556544973</v>
      </c>
      <c r="I213" s="324">
        <f t="shared" si="13"/>
        <v>1220265.1755654498</v>
      </c>
    </row>
    <row r="214" spans="1:9" s="35" customFormat="1" x14ac:dyDescent="0.25">
      <c r="A214" s="38">
        <f>Données!A208</f>
        <v>5745</v>
      </c>
      <c r="B214" s="555" t="str">
        <f>Données!B208</f>
        <v>Baulmes</v>
      </c>
      <c r="C214" s="31">
        <f>VPI!R208</f>
        <v>28469.206405228757</v>
      </c>
      <c r="D214" s="8">
        <f>Données!N208</f>
        <v>195912.2</v>
      </c>
      <c r="E214" s="238">
        <f>Données!O208+Données!P208+Données!R208</f>
        <v>222541.75</v>
      </c>
      <c r="F214" s="504">
        <f t="shared" si="11"/>
        <v>170044.535</v>
      </c>
      <c r="G214" s="504">
        <f>Ecrêtage!M208</f>
        <v>0</v>
      </c>
      <c r="H214" s="505">
        <f t="shared" si="12"/>
        <v>361466.69719356275</v>
      </c>
      <c r="I214" s="324">
        <f t="shared" si="13"/>
        <v>531511.23219356278</v>
      </c>
    </row>
    <row r="215" spans="1:9" s="35" customFormat="1" x14ac:dyDescent="0.25">
      <c r="A215" s="38">
        <f>Données!A209</f>
        <v>5746</v>
      </c>
      <c r="B215" s="555" t="str">
        <f>Données!B209</f>
        <v>Bavois</v>
      </c>
      <c r="C215" s="31">
        <f>VPI!R209</f>
        <v>27466.739977168949</v>
      </c>
      <c r="D215" s="8">
        <f>Données!N209</f>
        <v>7548.4</v>
      </c>
      <c r="E215" s="238">
        <f>Données!O209+Données!P209+Données!R209</f>
        <v>335342.65000000002</v>
      </c>
      <c r="F215" s="504">
        <f t="shared" si="11"/>
        <v>169935.845</v>
      </c>
      <c r="G215" s="504">
        <f>Ecrêtage!M209</f>
        <v>0</v>
      </c>
      <c r="H215" s="505">
        <f t="shared" si="12"/>
        <v>348738.62098236021</v>
      </c>
      <c r="I215" s="324">
        <f t="shared" si="13"/>
        <v>518674.46598236018</v>
      </c>
    </row>
    <row r="216" spans="1:9" s="35" customFormat="1" x14ac:dyDescent="0.25">
      <c r="A216" s="38">
        <f>Données!A210</f>
        <v>5747</v>
      </c>
      <c r="B216" s="555" t="str">
        <f>Données!B210</f>
        <v>Bofflens</v>
      </c>
      <c r="C216" s="31">
        <f>VPI!R210</f>
        <v>5807.8631884057959</v>
      </c>
      <c r="D216" s="8">
        <f>Données!N210</f>
        <v>602.6</v>
      </c>
      <c r="E216" s="238">
        <f>Données!O210+Données!P210+Données!R210</f>
        <v>0</v>
      </c>
      <c r="F216" s="504">
        <f t="shared" si="11"/>
        <v>180.78</v>
      </c>
      <c r="G216" s="504">
        <f>Ecrêtage!M210</f>
        <v>0</v>
      </c>
      <c r="H216" s="505">
        <f t="shared" si="12"/>
        <v>73741.048295590823</v>
      </c>
      <c r="I216" s="324">
        <f t="shared" si="13"/>
        <v>73921.828295590822</v>
      </c>
    </row>
    <row r="217" spans="1:9" s="35" customFormat="1" x14ac:dyDescent="0.25">
      <c r="A217" s="38">
        <f>Données!A211</f>
        <v>5748</v>
      </c>
      <c r="B217" s="555" t="str">
        <f>Données!B211</f>
        <v>Bretonnières</v>
      </c>
      <c r="C217" s="31">
        <f>VPI!R211</f>
        <v>6643.1211820330973</v>
      </c>
      <c r="D217" s="8">
        <f>Données!N211</f>
        <v>197.7</v>
      </c>
      <c r="E217" s="238">
        <f>Données!O211+Données!P211+Données!R211</f>
        <v>33655.699999999997</v>
      </c>
      <c r="F217" s="504">
        <f t="shared" si="11"/>
        <v>16887.16</v>
      </c>
      <c r="G217" s="504">
        <f>Ecrêtage!M211</f>
        <v>0</v>
      </c>
      <c r="H217" s="505">
        <f t="shared" si="12"/>
        <v>84346.11905040931</v>
      </c>
      <c r="I217" s="324">
        <f t="shared" si="13"/>
        <v>101233.27905040931</v>
      </c>
    </row>
    <row r="218" spans="1:9" s="35" customFormat="1" x14ac:dyDescent="0.25">
      <c r="A218" s="38">
        <f>Données!A212</f>
        <v>5749</v>
      </c>
      <c r="B218" s="555" t="str">
        <f>Données!B212</f>
        <v>Chavornay</v>
      </c>
      <c r="C218" s="31">
        <f>VPI!R212</f>
        <v>153319.43815602834</v>
      </c>
      <c r="D218" s="8">
        <f>Données!N212</f>
        <v>744756.9</v>
      </c>
      <c r="E218" s="238">
        <f>Données!O212+Données!P212+Données!R212</f>
        <v>505163.15</v>
      </c>
      <c r="F218" s="504">
        <f t="shared" si="11"/>
        <v>476008.64500000002</v>
      </c>
      <c r="G218" s="504">
        <f>Ecrêtage!M212</f>
        <v>0</v>
      </c>
      <c r="H218" s="505">
        <f t="shared" si="12"/>
        <v>1946660.1961779185</v>
      </c>
      <c r="I218" s="324">
        <f t="shared" si="13"/>
        <v>2422668.8411779185</v>
      </c>
    </row>
    <row r="219" spans="1:9" s="35" customFormat="1" x14ac:dyDescent="0.25">
      <c r="A219" s="38">
        <f>Données!A213</f>
        <v>5750</v>
      </c>
      <c r="B219" s="555" t="str">
        <f>Données!B213</f>
        <v>Les Clées</v>
      </c>
      <c r="C219" s="31">
        <f>VPI!R213</f>
        <v>4819.7572916666668</v>
      </c>
      <c r="D219" s="8">
        <f>Données!N213</f>
        <v>5002.05</v>
      </c>
      <c r="E219" s="238">
        <f>Données!O213+Données!P213+Données!R213</f>
        <v>42112.7</v>
      </c>
      <c r="F219" s="504">
        <f t="shared" si="11"/>
        <v>22556.965</v>
      </c>
      <c r="G219" s="504">
        <f>Ecrêtage!M213</f>
        <v>0</v>
      </c>
      <c r="H219" s="505">
        <f t="shared" si="12"/>
        <v>61195.304312148503</v>
      </c>
      <c r="I219" s="324">
        <f t="shared" si="13"/>
        <v>83752.269312148506</v>
      </c>
    </row>
    <row r="220" spans="1:9" s="35" customFormat="1" x14ac:dyDescent="0.25">
      <c r="A220" s="38">
        <f>Données!A214</f>
        <v>5752</v>
      </c>
      <c r="B220" s="555" t="str">
        <f>Données!B214</f>
        <v>Croy</v>
      </c>
      <c r="C220" s="31">
        <f>VPI!R214</f>
        <v>9670.8161776061788</v>
      </c>
      <c r="D220" s="8">
        <f>Données!N214</f>
        <v>30061.4</v>
      </c>
      <c r="E220" s="238">
        <f>Données!O214+Données!P214+Données!R214</f>
        <v>20358.599999999999</v>
      </c>
      <c r="F220" s="504">
        <f t="shared" si="11"/>
        <v>19197.72</v>
      </c>
      <c r="G220" s="504">
        <f>Ecrêtage!M214</f>
        <v>0</v>
      </c>
      <c r="H220" s="505">
        <f t="shared" si="12"/>
        <v>122788.03747207198</v>
      </c>
      <c r="I220" s="324">
        <f t="shared" si="13"/>
        <v>141985.75747207197</v>
      </c>
    </row>
    <row r="221" spans="1:9" s="35" customFormat="1" x14ac:dyDescent="0.25">
      <c r="A221" s="38">
        <f>Données!A215</f>
        <v>5754</v>
      </c>
      <c r="B221" s="555" t="str">
        <f>Données!B215</f>
        <v>Juriens</v>
      </c>
      <c r="C221" s="31">
        <f>VPI!R215</f>
        <v>9073.5155696202528</v>
      </c>
      <c r="D221" s="8">
        <f>Données!N215</f>
        <v>5292.65</v>
      </c>
      <c r="E221" s="238">
        <f>Données!O215+Données!P215+Données!R215</f>
        <v>127024.15</v>
      </c>
      <c r="F221" s="504">
        <f t="shared" si="11"/>
        <v>65099.869999999995</v>
      </c>
      <c r="G221" s="504">
        <f>Ecrêtage!M215</f>
        <v>0</v>
      </c>
      <c r="H221" s="505">
        <f t="shared" si="12"/>
        <v>115204.2546673386</v>
      </c>
      <c r="I221" s="324">
        <f t="shared" si="13"/>
        <v>180304.12466733859</v>
      </c>
    </row>
    <row r="222" spans="1:9" s="35" customFormat="1" x14ac:dyDescent="0.25">
      <c r="A222" s="38">
        <f>Données!A216</f>
        <v>5755</v>
      </c>
      <c r="B222" s="555" t="str">
        <f>Données!B216</f>
        <v>Lignerolle</v>
      </c>
      <c r="C222" s="31">
        <f>VPI!R216</f>
        <v>10745.60797088262</v>
      </c>
      <c r="D222" s="8">
        <f>Données!N216</f>
        <v>53250.85</v>
      </c>
      <c r="E222" s="238">
        <f>Données!O216+Données!P216+Données!R216</f>
        <v>41362.700000000004</v>
      </c>
      <c r="F222" s="504">
        <f t="shared" si="11"/>
        <v>36656.605000000003</v>
      </c>
      <c r="G222" s="504">
        <f>Ecrêtage!M216</f>
        <v>0</v>
      </c>
      <c r="H222" s="505">
        <f t="shared" si="12"/>
        <v>136434.41152818294</v>
      </c>
      <c r="I222" s="324">
        <f t="shared" si="13"/>
        <v>173091.01652818295</v>
      </c>
    </row>
    <row r="223" spans="1:9" s="35" customFormat="1" x14ac:dyDescent="0.25">
      <c r="A223" s="38">
        <f>Données!A217</f>
        <v>5756</v>
      </c>
      <c r="B223" s="555" t="str">
        <f>Données!B217</f>
        <v>Montcherand</v>
      </c>
      <c r="C223" s="31">
        <f>VPI!R217</f>
        <v>17738.051111111108</v>
      </c>
      <c r="D223" s="8">
        <f>Données!N217</f>
        <v>20910.599999999999</v>
      </c>
      <c r="E223" s="238">
        <f>Données!O217+Données!P217+Données!R217</f>
        <v>47391.8</v>
      </c>
      <c r="F223" s="504">
        <f t="shared" si="11"/>
        <v>29969.08</v>
      </c>
      <c r="G223" s="504">
        <f>Ecrêtage!M217</f>
        <v>0</v>
      </c>
      <c r="H223" s="505">
        <f t="shared" si="12"/>
        <v>225215.78784178328</v>
      </c>
      <c r="I223" s="324">
        <f t="shared" si="13"/>
        <v>255184.86784178327</v>
      </c>
    </row>
    <row r="224" spans="1:9" s="35" customFormat="1" x14ac:dyDescent="0.25">
      <c r="A224" s="38">
        <f>Données!A218</f>
        <v>5757</v>
      </c>
      <c r="B224" s="555" t="str">
        <f>Données!B218</f>
        <v>Orbe</v>
      </c>
      <c r="C224" s="31">
        <f>VPI!R218</f>
        <v>216123.53284768213</v>
      </c>
      <c r="D224" s="8">
        <f>Données!N218</f>
        <v>3266196.25</v>
      </c>
      <c r="E224" s="238">
        <f>Données!O218+Données!P218+Données!R218</f>
        <v>1371640.1</v>
      </c>
      <c r="F224" s="504">
        <f t="shared" si="11"/>
        <v>1665678.925</v>
      </c>
      <c r="G224" s="504">
        <f>Ecrêtage!M218</f>
        <v>0</v>
      </c>
      <c r="H224" s="505">
        <f t="shared" si="12"/>
        <v>2744068.7489591581</v>
      </c>
      <c r="I224" s="324">
        <f t="shared" si="13"/>
        <v>4409747.6739591584</v>
      </c>
    </row>
    <row r="225" spans="1:9" s="35" customFormat="1" x14ac:dyDescent="0.25">
      <c r="A225" s="38">
        <f>Données!A219</f>
        <v>5758</v>
      </c>
      <c r="B225" s="555" t="str">
        <f>Données!B219</f>
        <v>La Praz</v>
      </c>
      <c r="C225" s="31">
        <f>VPI!R219</f>
        <v>4771.6656626506028</v>
      </c>
      <c r="D225" s="8">
        <f>Données!N219</f>
        <v>1860.55</v>
      </c>
      <c r="E225" s="238">
        <f>Données!O219+Données!P219+Données!R219</f>
        <v>42657.05</v>
      </c>
      <c r="F225" s="504">
        <f t="shared" si="11"/>
        <v>21886.690000000002</v>
      </c>
      <c r="G225" s="504">
        <f>Ecrêtage!M219</f>
        <v>0</v>
      </c>
      <c r="H225" s="505">
        <f t="shared" si="12"/>
        <v>60584.696413366255</v>
      </c>
      <c r="I225" s="324">
        <f t="shared" si="13"/>
        <v>82471.386413366257</v>
      </c>
    </row>
    <row r="226" spans="1:9" s="35" customFormat="1" x14ac:dyDescent="0.25">
      <c r="A226" s="38">
        <f>Données!A220</f>
        <v>5759</v>
      </c>
      <c r="B226" s="555" t="str">
        <f>Données!B220</f>
        <v>Premier</v>
      </c>
      <c r="C226" s="31">
        <f>VPI!R220</f>
        <v>5899.9776100628924</v>
      </c>
      <c r="D226" s="8">
        <f>Données!N220</f>
        <v>4410.6499999999996</v>
      </c>
      <c r="E226" s="238">
        <f>Données!O220+Données!P220+Données!R220</f>
        <v>0</v>
      </c>
      <c r="F226" s="504">
        <f t="shared" si="11"/>
        <v>1323.1949999999999</v>
      </c>
      <c r="G226" s="504">
        <f>Ecrêtage!M220</f>
        <v>0</v>
      </c>
      <c r="H226" s="505">
        <f t="shared" si="12"/>
        <v>74910.6030519247</v>
      </c>
      <c r="I226" s="324">
        <f t="shared" si="13"/>
        <v>76233.798051924707</v>
      </c>
    </row>
    <row r="227" spans="1:9" s="35" customFormat="1" x14ac:dyDescent="0.25">
      <c r="A227" s="38">
        <f>Données!A221</f>
        <v>5760</v>
      </c>
      <c r="B227" s="555" t="str">
        <f>Données!B221</f>
        <v>Rances</v>
      </c>
      <c r="C227" s="31">
        <f>VPI!R221</f>
        <v>14480.898997821349</v>
      </c>
      <c r="D227" s="8">
        <f>Données!N221</f>
        <v>34603.35</v>
      </c>
      <c r="E227" s="238">
        <f>Données!O221+Données!P221+Données!R221</f>
        <v>91863.65</v>
      </c>
      <c r="F227" s="504">
        <f t="shared" si="11"/>
        <v>56312.829999999994</v>
      </c>
      <c r="G227" s="504">
        <f>Ecrêtage!M221</f>
        <v>0</v>
      </c>
      <c r="H227" s="505">
        <f t="shared" si="12"/>
        <v>183860.50733661102</v>
      </c>
      <c r="I227" s="324">
        <f t="shared" si="13"/>
        <v>240173.337336611</v>
      </c>
    </row>
    <row r="228" spans="1:9" s="35" customFormat="1" x14ac:dyDescent="0.25">
      <c r="A228" s="38">
        <f>Données!A222</f>
        <v>5761</v>
      </c>
      <c r="B228" s="555" t="str">
        <f>Données!B222</f>
        <v>Romainmôtier-Envy</v>
      </c>
      <c r="C228" s="31">
        <f>VPI!R222</f>
        <v>12913.442693602694</v>
      </c>
      <c r="D228" s="8">
        <f>Données!N222</f>
        <v>67027.600000000006</v>
      </c>
      <c r="E228" s="238">
        <f>Données!O222+Données!P222+Données!R222</f>
        <v>150529.29999999999</v>
      </c>
      <c r="F228" s="504">
        <f t="shared" si="11"/>
        <v>95372.93</v>
      </c>
      <c r="G228" s="504">
        <f>Ecrêtage!M222</f>
        <v>0</v>
      </c>
      <c r="H228" s="505">
        <f t="shared" si="12"/>
        <v>163958.88994635301</v>
      </c>
      <c r="I228" s="324">
        <f t="shared" si="13"/>
        <v>259331.819946353</v>
      </c>
    </row>
    <row r="229" spans="1:9" s="35" customFormat="1" x14ac:dyDescent="0.25">
      <c r="A229" s="38">
        <f>Données!A223</f>
        <v>5762</v>
      </c>
      <c r="B229" s="555" t="str">
        <f>Données!B223</f>
        <v>Sergey</v>
      </c>
      <c r="C229" s="31">
        <f>VPI!R223</f>
        <v>3849.5166666666673</v>
      </c>
      <c r="D229" s="8">
        <f>Données!N223</f>
        <v>12165.4</v>
      </c>
      <c r="E229" s="238">
        <f>Données!O223+Données!P223+Données!R223</f>
        <v>0</v>
      </c>
      <c r="F229" s="504">
        <f t="shared" si="11"/>
        <v>3649.62</v>
      </c>
      <c r="G229" s="504">
        <f>Ecrêtage!M223</f>
        <v>0</v>
      </c>
      <c r="H229" s="505">
        <f t="shared" si="12"/>
        <v>48876.391406400791</v>
      </c>
      <c r="I229" s="324">
        <f t="shared" si="13"/>
        <v>52526.011406400794</v>
      </c>
    </row>
    <row r="230" spans="1:9" s="35" customFormat="1" x14ac:dyDescent="0.25">
      <c r="A230" s="38">
        <f>Données!A224</f>
        <v>5763</v>
      </c>
      <c r="B230" s="555" t="str">
        <f>Données!B224</f>
        <v>Valeyres-sous-Rances</v>
      </c>
      <c r="C230" s="31">
        <f>VPI!R224</f>
        <v>22662.54088235294</v>
      </c>
      <c r="D230" s="8">
        <f>Données!N224</f>
        <v>33568.9</v>
      </c>
      <c r="E230" s="238">
        <f>Données!O224+Données!P224+Données!R224</f>
        <v>26867.85</v>
      </c>
      <c r="F230" s="504">
        <f t="shared" si="11"/>
        <v>23504.595000000001</v>
      </c>
      <c r="G230" s="504">
        <f>Ecrêtage!M224</f>
        <v>0</v>
      </c>
      <c r="H230" s="505">
        <f t="shared" si="12"/>
        <v>287740.85537044262</v>
      </c>
      <c r="I230" s="324">
        <f t="shared" si="13"/>
        <v>311245.45037044259</v>
      </c>
    </row>
    <row r="231" spans="1:9" s="35" customFormat="1" x14ac:dyDescent="0.25">
      <c r="A231" s="38">
        <f>Données!A225</f>
        <v>5764</v>
      </c>
      <c r="B231" s="555" t="str">
        <f>Données!B225</f>
        <v>Vallorbe</v>
      </c>
      <c r="C231" s="31">
        <f>VPI!R225</f>
        <v>83671.674265734255</v>
      </c>
      <c r="D231" s="8">
        <f>Données!N225</f>
        <v>2206248.75</v>
      </c>
      <c r="E231" s="238">
        <f>Données!O225+Données!P225+Données!R225</f>
        <v>459229.35000000003</v>
      </c>
      <c r="F231" s="504">
        <f t="shared" si="11"/>
        <v>891489.3</v>
      </c>
      <c r="G231" s="504">
        <f>Ecrêtage!M225</f>
        <v>0</v>
      </c>
      <c r="H231" s="505">
        <f t="shared" si="12"/>
        <v>1062359.2141976869</v>
      </c>
      <c r="I231" s="324">
        <f t="shared" si="13"/>
        <v>1953848.5141976869</v>
      </c>
    </row>
    <row r="232" spans="1:9" s="35" customFormat="1" x14ac:dyDescent="0.25">
      <c r="A232" s="38">
        <f>Données!A226</f>
        <v>5765</v>
      </c>
      <c r="B232" s="555" t="str">
        <f>Données!B226</f>
        <v>Vaulion</v>
      </c>
      <c r="C232" s="31">
        <f>VPI!R226</f>
        <v>10278.622098765432</v>
      </c>
      <c r="D232" s="8">
        <f>Données!N226</f>
        <v>51234.400000000001</v>
      </c>
      <c r="E232" s="238">
        <f>Données!O226+Données!P226+Données!R226</f>
        <v>69089.25</v>
      </c>
      <c r="F232" s="504">
        <f t="shared" si="11"/>
        <v>49914.945</v>
      </c>
      <c r="G232" s="504">
        <f>Ecrêtage!M226</f>
        <v>0</v>
      </c>
      <c r="H232" s="505">
        <f t="shared" si="12"/>
        <v>130505.20372282407</v>
      </c>
      <c r="I232" s="324">
        <f t="shared" si="13"/>
        <v>180420.14872282406</v>
      </c>
    </row>
    <row r="233" spans="1:9" s="35" customFormat="1" x14ac:dyDescent="0.25">
      <c r="A233" s="38">
        <f>Données!A227</f>
        <v>5766</v>
      </c>
      <c r="B233" s="555" t="str">
        <f>Données!B227</f>
        <v>Vuiteboeuf</v>
      </c>
      <c r="C233" s="31">
        <f>VPI!R227</f>
        <v>15553.757238095239</v>
      </c>
      <c r="D233" s="8">
        <f>Données!N227</f>
        <v>29394.75</v>
      </c>
      <c r="E233" s="238">
        <f>Données!O227+Données!P227+Données!R227</f>
        <v>86157.7</v>
      </c>
      <c r="F233" s="504">
        <f t="shared" si="11"/>
        <v>51897.274999999994</v>
      </c>
      <c r="G233" s="504">
        <f>Ecrêtage!M227</f>
        <v>0</v>
      </c>
      <c r="H233" s="505">
        <f t="shared" si="12"/>
        <v>197482.33153320948</v>
      </c>
      <c r="I233" s="324">
        <f t="shared" si="13"/>
        <v>249379.60653320947</v>
      </c>
    </row>
    <row r="234" spans="1:9" s="35" customFormat="1" x14ac:dyDescent="0.25">
      <c r="A234" s="38">
        <f>Données!A228</f>
        <v>5785</v>
      </c>
      <c r="B234" s="555" t="str">
        <f>Données!B228</f>
        <v>Corcelles-le-Jorat</v>
      </c>
      <c r="C234" s="31">
        <f>VPI!R228</f>
        <v>14579.038701298701</v>
      </c>
      <c r="D234" s="8">
        <f>Données!N228</f>
        <v>0</v>
      </c>
      <c r="E234" s="238">
        <f>Données!O228+Données!P228+Données!R228</f>
        <v>75904.799999999988</v>
      </c>
      <c r="F234" s="504">
        <f t="shared" si="11"/>
        <v>37952.399999999994</v>
      </c>
      <c r="G234" s="504">
        <f>Ecrêtage!M228</f>
        <v>0</v>
      </c>
      <c r="H234" s="505">
        <f t="shared" si="12"/>
        <v>185106.56365355139</v>
      </c>
      <c r="I234" s="324">
        <f t="shared" si="13"/>
        <v>223058.96365355139</v>
      </c>
    </row>
    <row r="235" spans="1:9" s="35" customFormat="1" x14ac:dyDescent="0.25">
      <c r="A235" s="38">
        <f>Données!A229</f>
        <v>5790</v>
      </c>
      <c r="B235" s="555" t="str">
        <f>Données!B229</f>
        <v>Maracon</v>
      </c>
      <c r="C235" s="31">
        <f>VPI!R229</f>
        <v>15171.684832214765</v>
      </c>
      <c r="D235" s="8">
        <f>Données!N229</f>
        <v>5741.85</v>
      </c>
      <c r="E235" s="238">
        <f>Données!O229+Données!P229+Données!R229</f>
        <v>62894.35</v>
      </c>
      <c r="F235" s="504">
        <f t="shared" si="11"/>
        <v>33169.729999999996</v>
      </c>
      <c r="G235" s="504">
        <f>Ecrêtage!M229</f>
        <v>0</v>
      </c>
      <c r="H235" s="505">
        <f t="shared" si="12"/>
        <v>192631.24967737496</v>
      </c>
      <c r="I235" s="324">
        <f t="shared" si="13"/>
        <v>225800.97967737494</v>
      </c>
    </row>
    <row r="236" spans="1:9" s="35" customFormat="1" x14ac:dyDescent="0.25">
      <c r="A236" s="38">
        <f>Données!A230</f>
        <v>5792</v>
      </c>
      <c r="B236" s="555" t="str">
        <f>Données!B230</f>
        <v>Montpreveyres</v>
      </c>
      <c r="C236" s="31">
        <f>VPI!R230</f>
        <v>20162.237880794706</v>
      </c>
      <c r="D236" s="8">
        <f>Données!N230</f>
        <v>681.3</v>
      </c>
      <c r="E236" s="238">
        <f>Données!O230+Données!P230+Données!R230</f>
        <v>174614.95</v>
      </c>
      <c r="F236" s="504">
        <f t="shared" si="11"/>
        <v>87511.865000000005</v>
      </c>
      <c r="G236" s="504">
        <f>Ecrêtage!M230</f>
        <v>0</v>
      </c>
      <c r="H236" s="505">
        <f t="shared" si="12"/>
        <v>255995.10682051411</v>
      </c>
      <c r="I236" s="324">
        <f t="shared" si="13"/>
        <v>343506.97182051413</v>
      </c>
    </row>
    <row r="237" spans="1:9" s="35" customFormat="1" x14ac:dyDescent="0.25">
      <c r="A237" s="38">
        <f>Données!A231</f>
        <v>5798</v>
      </c>
      <c r="B237" s="555" t="str">
        <f>Données!B231</f>
        <v>Ropraz</v>
      </c>
      <c r="C237" s="31">
        <f>VPI!R231</f>
        <v>17442.468645161291</v>
      </c>
      <c r="D237" s="8">
        <f>Données!N231</f>
        <v>19232.099999999999</v>
      </c>
      <c r="E237" s="238">
        <f>Données!O231+Données!P231+Données!R231</f>
        <v>126497</v>
      </c>
      <c r="F237" s="504">
        <f t="shared" si="11"/>
        <v>69018.13</v>
      </c>
      <c r="G237" s="504">
        <f>Ecrêtage!M231</f>
        <v>0</v>
      </c>
      <c r="H237" s="505">
        <f t="shared" si="12"/>
        <v>221462.84804450162</v>
      </c>
      <c r="I237" s="324">
        <f t="shared" si="13"/>
        <v>290480.97804450162</v>
      </c>
    </row>
    <row r="238" spans="1:9" s="35" customFormat="1" x14ac:dyDescent="0.25">
      <c r="A238" s="38">
        <f>Données!A232</f>
        <v>5799</v>
      </c>
      <c r="B238" s="555" t="str">
        <f>Données!B232</f>
        <v>Servion</v>
      </c>
      <c r="C238" s="31">
        <f>VPI!R232</f>
        <v>71741.835797101463</v>
      </c>
      <c r="D238" s="8">
        <f>Données!N232</f>
        <v>33537.599999999999</v>
      </c>
      <c r="E238" s="238">
        <f>Données!O232+Données!P232+Données!R232</f>
        <v>478159.2</v>
      </c>
      <c r="F238" s="504">
        <f t="shared" si="11"/>
        <v>249140.88</v>
      </c>
      <c r="G238" s="504">
        <f>Ecrêtage!M232</f>
        <v>0</v>
      </c>
      <c r="H238" s="505">
        <f t="shared" si="12"/>
        <v>910888.91158618161</v>
      </c>
      <c r="I238" s="324">
        <f t="shared" si="13"/>
        <v>1160029.7915861816</v>
      </c>
    </row>
    <row r="239" spans="1:9" s="35" customFormat="1" x14ac:dyDescent="0.25">
      <c r="A239" s="38">
        <f>Données!A233</f>
        <v>5803</v>
      </c>
      <c r="B239" s="555" t="str">
        <f>Données!B233</f>
        <v>Vulliens</v>
      </c>
      <c r="C239" s="31">
        <f>VPI!R233</f>
        <v>17996.04157894737</v>
      </c>
      <c r="D239" s="8">
        <f>Données!N233</f>
        <v>898.7</v>
      </c>
      <c r="E239" s="238">
        <f>Données!O233+Données!P233+Données!R233</f>
        <v>107532</v>
      </c>
      <c r="F239" s="504">
        <f t="shared" si="11"/>
        <v>54035.61</v>
      </c>
      <c r="G239" s="504">
        <f>Ecrêtage!M233</f>
        <v>0</v>
      </c>
      <c r="H239" s="505">
        <f t="shared" si="12"/>
        <v>228491.43103986935</v>
      </c>
      <c r="I239" s="324">
        <f t="shared" si="13"/>
        <v>282527.04103986936</v>
      </c>
    </row>
    <row r="240" spans="1:9" s="35" customFormat="1" x14ac:dyDescent="0.25">
      <c r="A240" s="38">
        <f>Données!A234</f>
        <v>5804</v>
      </c>
      <c r="B240" s="555" t="str">
        <f>Données!B234</f>
        <v>Jorat-Menthue</v>
      </c>
      <c r="C240" s="31">
        <f>VPI!R234</f>
        <v>46853.078156028365</v>
      </c>
      <c r="D240" s="8">
        <f>Données!N234</f>
        <v>15774.9</v>
      </c>
      <c r="E240" s="238">
        <f>Données!O234+Données!P234+Données!R234</f>
        <v>162112.04999999999</v>
      </c>
      <c r="F240" s="504">
        <f t="shared" si="11"/>
        <v>85788.494999999995</v>
      </c>
      <c r="G240" s="504">
        <f>Ecrêtage!M234</f>
        <v>0</v>
      </c>
      <c r="H240" s="505">
        <f t="shared" si="12"/>
        <v>594882.31506519753</v>
      </c>
      <c r="I240" s="324">
        <f t="shared" si="13"/>
        <v>680670.81006519753</v>
      </c>
    </row>
    <row r="241" spans="1:9" s="35" customFormat="1" x14ac:dyDescent="0.25">
      <c r="A241" s="38">
        <f>Données!A235</f>
        <v>5805</v>
      </c>
      <c r="B241" s="555" t="str">
        <f>Données!B235</f>
        <v>Oron</v>
      </c>
      <c r="C241" s="31">
        <f>VPI!R235</f>
        <v>175444.22906111775</v>
      </c>
      <c r="D241" s="8">
        <f>Données!N235</f>
        <v>100890.6</v>
      </c>
      <c r="E241" s="238">
        <f>Données!O235+Données!P235+Données!R235</f>
        <v>608044.5</v>
      </c>
      <c r="F241" s="504">
        <f t="shared" si="11"/>
        <v>334289.43</v>
      </c>
      <c r="G241" s="504">
        <f>Ecrêtage!M235</f>
        <v>0</v>
      </c>
      <c r="H241" s="505">
        <f t="shared" si="12"/>
        <v>2227573.3688433855</v>
      </c>
      <c r="I241" s="324">
        <f t="shared" si="13"/>
        <v>2561862.7988433857</v>
      </c>
    </row>
    <row r="242" spans="1:9" s="35" customFormat="1" x14ac:dyDescent="0.25">
      <c r="A242" s="38">
        <f>Données!A236</f>
        <v>5806</v>
      </c>
      <c r="B242" s="555" t="str">
        <f>Données!B236</f>
        <v>Jorat-Mézières</v>
      </c>
      <c r="C242" s="31">
        <f>VPI!R236</f>
        <v>102069.34178082191</v>
      </c>
      <c r="D242" s="8">
        <f>Données!N236</f>
        <v>31196.15</v>
      </c>
      <c r="E242" s="238">
        <f>Données!O236+Données!P236+Données!R236</f>
        <v>971531.65</v>
      </c>
      <c r="F242" s="504">
        <f t="shared" si="11"/>
        <v>495124.67</v>
      </c>
      <c r="G242" s="504">
        <f>Ecrêtage!M236</f>
        <v>0</v>
      </c>
      <c r="H242" s="505">
        <f t="shared" si="12"/>
        <v>1295949.9935852939</v>
      </c>
      <c r="I242" s="324">
        <f t="shared" si="13"/>
        <v>1791074.6635852938</v>
      </c>
    </row>
    <row r="243" spans="1:9" s="35" customFormat="1" x14ac:dyDescent="0.25">
      <c r="A243" s="38">
        <f>Données!A237</f>
        <v>5812</v>
      </c>
      <c r="B243" s="555" t="str">
        <f>Données!B237</f>
        <v>Champtauroz</v>
      </c>
      <c r="C243" s="31">
        <f>VPI!R237</f>
        <v>3351.3333766233759</v>
      </c>
      <c r="D243" s="8">
        <f>Données!N237</f>
        <v>0</v>
      </c>
      <c r="E243" s="238">
        <f>Données!O237+Données!P237+Données!R237</f>
        <v>14211.3</v>
      </c>
      <c r="F243" s="504">
        <f t="shared" si="11"/>
        <v>7105.65</v>
      </c>
      <c r="G243" s="504">
        <f>Ecrêtage!M237</f>
        <v>0</v>
      </c>
      <c r="H243" s="505">
        <f t="shared" si="12"/>
        <v>42551.077455398008</v>
      </c>
      <c r="I243" s="324">
        <f t="shared" si="13"/>
        <v>49656.72745539801</v>
      </c>
    </row>
    <row r="244" spans="1:9" s="35" customFormat="1" x14ac:dyDescent="0.25">
      <c r="A244" s="38">
        <f>Données!A238</f>
        <v>5813</v>
      </c>
      <c r="B244" s="555" t="str">
        <f>Données!B238</f>
        <v>Chevroux</v>
      </c>
      <c r="C244" s="31">
        <f>VPI!R238</f>
        <v>15275.291313868614</v>
      </c>
      <c r="D244" s="8">
        <f>Données!N238</f>
        <v>0</v>
      </c>
      <c r="E244" s="238">
        <f>Données!O238+Données!P238+Données!R238</f>
        <v>152329.59999999998</v>
      </c>
      <c r="F244" s="504">
        <f t="shared" si="11"/>
        <v>76164.799999999988</v>
      </c>
      <c r="G244" s="504">
        <f>Ecrêtage!M238</f>
        <v>0</v>
      </c>
      <c r="H244" s="505">
        <f t="shared" si="12"/>
        <v>193946.7163678825</v>
      </c>
      <c r="I244" s="324">
        <f t="shared" si="13"/>
        <v>270111.51636788249</v>
      </c>
    </row>
    <row r="245" spans="1:9" s="35" customFormat="1" x14ac:dyDescent="0.25">
      <c r="A245" s="38">
        <f>Données!A239</f>
        <v>5816</v>
      </c>
      <c r="B245" s="555" t="str">
        <f>Données!B239</f>
        <v>Corcelles-près-Payerne</v>
      </c>
      <c r="C245" s="31">
        <f>VPI!R239</f>
        <v>65640.914577685078</v>
      </c>
      <c r="D245" s="8">
        <f>Données!N239</f>
        <v>25265.5</v>
      </c>
      <c r="E245" s="238">
        <f>Données!O239+Données!P239+Données!R239</f>
        <v>256003.45</v>
      </c>
      <c r="F245" s="504">
        <f t="shared" si="11"/>
        <v>135581.375</v>
      </c>
      <c r="G245" s="504">
        <f>Ecrêtage!M239</f>
        <v>0</v>
      </c>
      <c r="H245" s="505">
        <f t="shared" si="12"/>
        <v>833426.97563929367</v>
      </c>
      <c r="I245" s="324">
        <f t="shared" si="13"/>
        <v>969008.35063929367</v>
      </c>
    </row>
    <row r="246" spans="1:9" s="35" customFormat="1" x14ac:dyDescent="0.25">
      <c r="A246" s="38">
        <f>Données!A240</f>
        <v>5817</v>
      </c>
      <c r="B246" s="555" t="str">
        <f>Données!B240</f>
        <v>Grandcour</v>
      </c>
      <c r="C246" s="31">
        <f>VPI!R240</f>
        <v>24621.518775510202</v>
      </c>
      <c r="D246" s="8">
        <f>Données!N240</f>
        <v>7672.05</v>
      </c>
      <c r="E246" s="238">
        <f>Données!O240+Données!P240+Données!R240</f>
        <v>41155.800000000003</v>
      </c>
      <c r="F246" s="504">
        <f t="shared" si="11"/>
        <v>22879.514999999999</v>
      </c>
      <c r="G246" s="504">
        <f>Ecrêtage!M240</f>
        <v>0</v>
      </c>
      <c r="H246" s="505">
        <f t="shared" si="12"/>
        <v>312613.52863135608</v>
      </c>
      <c r="I246" s="324">
        <f t="shared" si="13"/>
        <v>335493.04363135609</v>
      </c>
    </row>
    <row r="247" spans="1:9" s="35" customFormat="1" x14ac:dyDescent="0.25">
      <c r="A247" s="38">
        <f>Données!A241</f>
        <v>5819</v>
      </c>
      <c r="B247" s="555" t="str">
        <f>Données!B241</f>
        <v>Henniez</v>
      </c>
      <c r="C247" s="31">
        <f>VPI!R241</f>
        <v>10100.670434782607</v>
      </c>
      <c r="D247" s="8">
        <f>Données!N241</f>
        <v>5222.3500000000004</v>
      </c>
      <c r="E247" s="238">
        <f>Données!O241+Données!P241+Données!R241</f>
        <v>63229.95</v>
      </c>
      <c r="F247" s="504">
        <f t="shared" si="11"/>
        <v>33181.68</v>
      </c>
      <c r="G247" s="504">
        <f>Ecrêtage!M241</f>
        <v>0</v>
      </c>
      <c r="H247" s="505">
        <f t="shared" si="12"/>
        <v>128245.79405314825</v>
      </c>
      <c r="I247" s="324">
        <f t="shared" si="13"/>
        <v>161427.47405314824</v>
      </c>
    </row>
    <row r="248" spans="1:9" s="35" customFormat="1" x14ac:dyDescent="0.25">
      <c r="A248" s="38">
        <f>Données!A242</f>
        <v>5821</v>
      </c>
      <c r="B248" s="555" t="str">
        <f>Données!B242</f>
        <v>Missy</v>
      </c>
      <c r="C248" s="31">
        <f>VPI!R242</f>
        <v>8044.3988888888889</v>
      </c>
      <c r="D248" s="8">
        <f>Données!N242</f>
        <v>0</v>
      </c>
      <c r="E248" s="238">
        <f>Données!O242+Données!P242+Données!R242</f>
        <v>24585.75</v>
      </c>
      <c r="F248" s="504">
        <f t="shared" si="11"/>
        <v>12292.875</v>
      </c>
      <c r="G248" s="504">
        <f>Ecrêtage!M242</f>
        <v>0</v>
      </c>
      <c r="H248" s="505">
        <f t="shared" si="12"/>
        <v>102137.80657897716</v>
      </c>
      <c r="I248" s="324">
        <f t="shared" si="13"/>
        <v>114430.68157897716</v>
      </c>
    </row>
    <row r="249" spans="1:9" s="35" customFormat="1" x14ac:dyDescent="0.25">
      <c r="A249" s="38">
        <f>Données!A243</f>
        <v>5822</v>
      </c>
      <c r="B249" s="555" t="str">
        <f>Données!B243</f>
        <v>Payerne</v>
      </c>
      <c r="C249" s="31">
        <f>VPI!R243</f>
        <v>239936.5750684932</v>
      </c>
      <c r="D249" s="8">
        <f>Données!N243</f>
        <v>26658.9</v>
      </c>
      <c r="E249" s="238">
        <f>Données!O243+Données!P243+Données!R243</f>
        <v>2264737.9500000002</v>
      </c>
      <c r="F249" s="504">
        <f t="shared" si="11"/>
        <v>1140366.645</v>
      </c>
      <c r="G249" s="504">
        <f>Ecrêtage!M243</f>
        <v>0</v>
      </c>
      <c r="H249" s="505">
        <f t="shared" si="12"/>
        <v>3046417.2443533442</v>
      </c>
      <c r="I249" s="324">
        <f t="shared" si="13"/>
        <v>4186783.8893533442</v>
      </c>
    </row>
    <row r="250" spans="1:9" s="35" customFormat="1" x14ac:dyDescent="0.25">
      <c r="A250" s="38">
        <f>Données!A244</f>
        <v>5827</v>
      </c>
      <c r="B250" s="555" t="str">
        <f>Données!B244</f>
        <v>Trey</v>
      </c>
      <c r="C250" s="31">
        <f>VPI!R244</f>
        <v>7747.1149999999998</v>
      </c>
      <c r="D250" s="8">
        <f>Données!N244</f>
        <v>0</v>
      </c>
      <c r="E250" s="238">
        <f>Données!O244+Données!P244+Données!R244</f>
        <v>115382.75</v>
      </c>
      <c r="F250" s="504">
        <f t="shared" si="11"/>
        <v>57691.375</v>
      </c>
      <c r="G250" s="504">
        <f>Ecrêtage!M244</f>
        <v>0</v>
      </c>
      <c r="H250" s="505">
        <f t="shared" si="12"/>
        <v>98363.264222018843</v>
      </c>
      <c r="I250" s="324">
        <f t="shared" si="13"/>
        <v>156054.63922201883</v>
      </c>
    </row>
    <row r="251" spans="1:9" s="35" customFormat="1" x14ac:dyDescent="0.25">
      <c r="A251" s="38">
        <f>Données!A245</f>
        <v>5828</v>
      </c>
      <c r="B251" s="555" t="str">
        <f>Données!B245</f>
        <v>Treytorrens (Payerne)</v>
      </c>
      <c r="C251" s="31">
        <f>VPI!R245</f>
        <v>2899.2098989898991</v>
      </c>
      <c r="D251" s="8">
        <f>Données!N245</f>
        <v>0</v>
      </c>
      <c r="E251" s="238">
        <f>Données!O245+Données!P245+Données!R245</f>
        <v>13674.05</v>
      </c>
      <c r="F251" s="504">
        <f t="shared" si="11"/>
        <v>6837.0249999999996</v>
      </c>
      <c r="G251" s="504">
        <f>Ecrêtage!M245</f>
        <v>0</v>
      </c>
      <c r="H251" s="505">
        <f t="shared" si="12"/>
        <v>36810.573914216584</v>
      </c>
      <c r="I251" s="324">
        <f t="shared" si="13"/>
        <v>43647.598914216585</v>
      </c>
    </row>
    <row r="252" spans="1:9" s="35" customFormat="1" x14ac:dyDescent="0.25">
      <c r="A252" s="38">
        <f>Données!A246</f>
        <v>5830</v>
      </c>
      <c r="B252" s="555" t="str">
        <f>Données!B246</f>
        <v>Villarzel</v>
      </c>
      <c r="C252" s="31">
        <f>VPI!R246</f>
        <v>12409.471600000001</v>
      </c>
      <c r="D252" s="8">
        <f>Données!N246</f>
        <v>8196.65</v>
      </c>
      <c r="E252" s="238">
        <f>Données!O246+Données!P246+Données!R246</f>
        <v>124493.95</v>
      </c>
      <c r="F252" s="504">
        <f t="shared" si="11"/>
        <v>64705.97</v>
      </c>
      <c r="G252" s="504">
        <f>Ecrêtage!M246</f>
        <v>0</v>
      </c>
      <c r="H252" s="505">
        <f t="shared" si="12"/>
        <v>157560.0896393611</v>
      </c>
      <c r="I252" s="324">
        <f t="shared" si="13"/>
        <v>222266.0596393611</v>
      </c>
    </row>
    <row r="253" spans="1:9" s="35" customFormat="1" x14ac:dyDescent="0.25">
      <c r="A253" s="38">
        <f>Données!A247</f>
        <v>5831</v>
      </c>
      <c r="B253" s="555" t="str">
        <f>Données!B247</f>
        <v>Valbroye</v>
      </c>
      <c r="C253" s="31">
        <f>VPI!R247</f>
        <v>81061.421607565018</v>
      </c>
      <c r="D253" s="8">
        <f>Données!N247</f>
        <v>21377.35</v>
      </c>
      <c r="E253" s="238">
        <f>Données!O247+Données!P247+Données!R247</f>
        <v>851787.60000000009</v>
      </c>
      <c r="F253" s="504">
        <f t="shared" si="11"/>
        <v>432307.00500000006</v>
      </c>
      <c r="G253" s="504">
        <f>Ecrêtage!M247</f>
        <v>0</v>
      </c>
      <c r="H253" s="505">
        <f t="shared" si="12"/>
        <v>1029217.4611836001</v>
      </c>
      <c r="I253" s="324">
        <f t="shared" si="13"/>
        <v>1461524.4661836002</v>
      </c>
    </row>
    <row r="254" spans="1:9" s="35" customFormat="1" x14ac:dyDescent="0.25">
      <c r="A254" s="38">
        <f>Données!A248</f>
        <v>5841</v>
      </c>
      <c r="B254" s="555" t="str">
        <f>Données!B248</f>
        <v>Château-d'Oex</v>
      </c>
      <c r="C254" s="31">
        <f>VPI!R248</f>
        <v>110850.82306748466</v>
      </c>
      <c r="D254" s="8">
        <f>Données!N248</f>
        <v>4103.45</v>
      </c>
      <c r="E254" s="238">
        <f>Données!O248+Données!P248+Données!R248</f>
        <v>1786351.9</v>
      </c>
      <c r="F254" s="504">
        <f t="shared" si="11"/>
        <v>894406.98499999999</v>
      </c>
      <c r="G254" s="504">
        <f>Ecrêtage!M248</f>
        <v>0</v>
      </c>
      <c r="H254" s="505">
        <f t="shared" si="12"/>
        <v>1407446.3588852438</v>
      </c>
      <c r="I254" s="324">
        <f t="shared" si="13"/>
        <v>2301853.3438852439</v>
      </c>
    </row>
    <row r="255" spans="1:9" s="35" customFormat="1" x14ac:dyDescent="0.25">
      <c r="A255" s="38">
        <f>Données!A249</f>
        <v>5842</v>
      </c>
      <c r="B255" s="555" t="str">
        <f>Données!B249</f>
        <v>Rossinière</v>
      </c>
      <c r="C255" s="31">
        <f>VPI!R249</f>
        <v>14941.466090534977</v>
      </c>
      <c r="D255" s="8">
        <f>Données!N249</f>
        <v>0</v>
      </c>
      <c r="E255" s="238">
        <f>Données!O249+Données!P249+Données!R249</f>
        <v>87162.35</v>
      </c>
      <c r="F255" s="504">
        <f t="shared" si="11"/>
        <v>43581.175000000003</v>
      </c>
      <c r="G255" s="504">
        <f>Ecrêtage!M249</f>
        <v>0</v>
      </c>
      <c r="H255" s="505">
        <f t="shared" si="12"/>
        <v>189708.21743676544</v>
      </c>
      <c r="I255" s="324">
        <f t="shared" si="13"/>
        <v>233289.39243676543</v>
      </c>
    </row>
    <row r="256" spans="1:9" s="35" customFormat="1" x14ac:dyDescent="0.25">
      <c r="A256" s="38">
        <f>Données!A250</f>
        <v>5843</v>
      </c>
      <c r="B256" s="555" t="str">
        <f>Données!B250</f>
        <v>Rougemont</v>
      </c>
      <c r="C256" s="31">
        <f>VPI!R250</f>
        <v>97082.778783783782</v>
      </c>
      <c r="D256" s="8">
        <f>Données!N250</f>
        <v>10483.35</v>
      </c>
      <c r="E256" s="238">
        <f>Données!O250+Données!P250+Données!R250</f>
        <v>2316734.1</v>
      </c>
      <c r="F256" s="504">
        <f t="shared" si="11"/>
        <v>1161512.0549999999</v>
      </c>
      <c r="G256" s="504">
        <f>Ecrêtage!M250</f>
        <v>1543511.3440146737</v>
      </c>
      <c r="H256" s="505">
        <f t="shared" si="12"/>
        <v>1232636.7971712218</v>
      </c>
      <c r="I256" s="324">
        <f t="shared" si="13"/>
        <v>3937660.1961858952</v>
      </c>
    </row>
    <row r="257" spans="1:9" s="35" customFormat="1" x14ac:dyDescent="0.25">
      <c r="A257" s="38">
        <f>Données!A251</f>
        <v>5851</v>
      </c>
      <c r="B257" s="555" t="str">
        <f>Données!B251</f>
        <v>Allaman</v>
      </c>
      <c r="C257" s="31">
        <f>VPI!R251</f>
        <v>24871.551151515156</v>
      </c>
      <c r="D257" s="8">
        <f>Données!N251</f>
        <v>59074.75</v>
      </c>
      <c r="E257" s="238">
        <f>Données!O251+Données!P251+Données!R251</f>
        <v>71953.25</v>
      </c>
      <c r="F257" s="504">
        <f t="shared" si="11"/>
        <v>53699.05</v>
      </c>
      <c r="G257" s="504">
        <f>Ecrêtage!M251</f>
        <v>51954.456976198649</v>
      </c>
      <c r="H257" s="505">
        <f t="shared" si="12"/>
        <v>315788.1298429083</v>
      </c>
      <c r="I257" s="324">
        <f t="shared" si="13"/>
        <v>421441.63681910693</v>
      </c>
    </row>
    <row r="258" spans="1:9" s="35" customFormat="1" x14ac:dyDescent="0.25">
      <c r="A258" s="38">
        <f>Données!A252</f>
        <v>5852</v>
      </c>
      <c r="B258" s="555" t="str">
        <f>Données!B252</f>
        <v>Bursinel</v>
      </c>
      <c r="C258" s="31">
        <f>VPI!R252</f>
        <v>34636.180913978496</v>
      </c>
      <c r="D258" s="8">
        <f>Données!N252</f>
        <v>9375.5499999999993</v>
      </c>
      <c r="E258" s="238">
        <f>Données!O252+Données!P252+Données!R252</f>
        <v>335558.30000000005</v>
      </c>
      <c r="F258" s="504">
        <f t="shared" si="11"/>
        <v>170591.81500000003</v>
      </c>
      <c r="G258" s="504">
        <f>Ecrêtage!M252</f>
        <v>154474.45734217844</v>
      </c>
      <c r="H258" s="505">
        <f t="shared" si="12"/>
        <v>439767.29593962571</v>
      </c>
      <c r="I258" s="324">
        <f t="shared" si="13"/>
        <v>764833.56828180421</v>
      </c>
    </row>
    <row r="259" spans="1:9" s="35" customFormat="1" x14ac:dyDescent="0.25">
      <c r="A259" s="38">
        <f>Données!A253</f>
        <v>5853</v>
      </c>
      <c r="B259" s="555" t="str">
        <f>Données!B253</f>
        <v>Bursins</v>
      </c>
      <c r="C259" s="31">
        <f>VPI!R253</f>
        <v>44484.29464788732</v>
      </c>
      <c r="D259" s="8">
        <f>Données!N253</f>
        <v>82707.899999999994</v>
      </c>
      <c r="E259" s="238">
        <f>Données!O253+Données!P253+Données!R253</f>
        <v>522025.4</v>
      </c>
      <c r="F259" s="504">
        <f t="shared" si="11"/>
        <v>285825.07</v>
      </c>
      <c r="G259" s="504">
        <f>Ecrêtage!M253</f>
        <v>105692.23216084485</v>
      </c>
      <c r="H259" s="505">
        <f t="shared" si="12"/>
        <v>564806.43803277472</v>
      </c>
      <c r="I259" s="324">
        <f t="shared" si="13"/>
        <v>956323.74019361963</v>
      </c>
    </row>
    <row r="260" spans="1:9" s="35" customFormat="1" x14ac:dyDescent="0.25">
      <c r="A260" s="38">
        <f>Données!A254</f>
        <v>5854</v>
      </c>
      <c r="B260" s="555" t="str">
        <f>Données!B254</f>
        <v>Burtigny</v>
      </c>
      <c r="C260" s="31">
        <f>VPI!R254</f>
        <v>15255.605208333331</v>
      </c>
      <c r="D260" s="8">
        <f>Données!N254</f>
        <v>42212.55</v>
      </c>
      <c r="E260" s="238">
        <f>Données!O254+Données!P254+Données!R254</f>
        <v>45382.55</v>
      </c>
      <c r="F260" s="504">
        <f t="shared" si="11"/>
        <v>35355.040000000001</v>
      </c>
      <c r="G260" s="504">
        <f>Ecrêtage!M254</f>
        <v>0</v>
      </c>
      <c r="H260" s="505">
        <f t="shared" si="12"/>
        <v>193696.76659945003</v>
      </c>
      <c r="I260" s="324">
        <f t="shared" si="13"/>
        <v>229051.80659945004</v>
      </c>
    </row>
    <row r="261" spans="1:9" s="35" customFormat="1" x14ac:dyDescent="0.25">
      <c r="A261" s="38">
        <f>Données!A255</f>
        <v>5855</v>
      </c>
      <c r="B261" s="555" t="str">
        <f>Données!B255</f>
        <v>Dully</v>
      </c>
      <c r="C261" s="31">
        <f>VPI!R255</f>
        <v>93677.895510204093</v>
      </c>
      <c r="D261" s="8">
        <f>Données!N255</f>
        <v>1358.65</v>
      </c>
      <c r="E261" s="238">
        <f>Données!O255+Données!P255+Données!R255</f>
        <v>667542.65</v>
      </c>
      <c r="F261" s="504">
        <f t="shared" si="11"/>
        <v>334178.92</v>
      </c>
      <c r="G261" s="504">
        <f>Ecrêtage!M255</f>
        <v>1309721.199784867</v>
      </c>
      <c r="H261" s="505">
        <f t="shared" si="12"/>
        <v>1189405.8094959063</v>
      </c>
      <c r="I261" s="324">
        <f t="shared" si="13"/>
        <v>2833305.9292807733</v>
      </c>
    </row>
    <row r="262" spans="1:9" s="35" customFormat="1" x14ac:dyDescent="0.25">
      <c r="A262" s="38">
        <f>Données!A256</f>
        <v>5856</v>
      </c>
      <c r="B262" s="555" t="str">
        <f>Données!B256</f>
        <v>Essertines-sur-Rolle</v>
      </c>
      <c r="C262" s="31">
        <f>VPI!R256</f>
        <v>42059.84630422209</v>
      </c>
      <c r="D262" s="8">
        <f>Données!N256</f>
        <v>6571.75</v>
      </c>
      <c r="E262" s="238">
        <f>Données!O256+Données!P256+Données!R256</f>
        <v>465760.95</v>
      </c>
      <c r="F262" s="504">
        <f t="shared" si="11"/>
        <v>234852</v>
      </c>
      <c r="G262" s="504">
        <f>Ecrêtage!M256</f>
        <v>79353.433302472578</v>
      </c>
      <c r="H262" s="505">
        <f t="shared" si="12"/>
        <v>534023.7979118292</v>
      </c>
      <c r="I262" s="324">
        <f t="shared" si="13"/>
        <v>848229.23121430178</v>
      </c>
    </row>
    <row r="263" spans="1:9" s="35" customFormat="1" x14ac:dyDescent="0.25">
      <c r="A263" s="38">
        <f>Données!A257</f>
        <v>5857</v>
      </c>
      <c r="B263" s="555" t="str">
        <f>Données!B257</f>
        <v>Gilly</v>
      </c>
      <c r="C263" s="31">
        <f>VPI!R257</f>
        <v>88865.056589147294</v>
      </c>
      <c r="D263" s="8">
        <f>Données!N257</f>
        <v>86130.95</v>
      </c>
      <c r="E263" s="238">
        <f>Données!O257+Données!P257+Données!R257</f>
        <v>439852.94999999995</v>
      </c>
      <c r="F263" s="504">
        <f t="shared" si="11"/>
        <v>245765.75999999998</v>
      </c>
      <c r="G263" s="504">
        <f>Ecrêtage!M257</f>
        <v>296877.04281488864</v>
      </c>
      <c r="H263" s="505">
        <f t="shared" si="12"/>
        <v>1128298.346078889</v>
      </c>
      <c r="I263" s="324">
        <f t="shared" si="13"/>
        <v>1670941.1488937777</v>
      </c>
    </row>
    <row r="264" spans="1:9" s="35" customFormat="1" x14ac:dyDescent="0.25">
      <c r="A264" s="38">
        <f>Données!A258</f>
        <v>5858</v>
      </c>
      <c r="B264" s="555" t="str">
        <f>Données!B258</f>
        <v>Luins</v>
      </c>
      <c r="C264" s="31">
        <f>VPI!R258</f>
        <v>38252.553447293445</v>
      </c>
      <c r="D264" s="8">
        <f>Données!N258</f>
        <v>3971.45</v>
      </c>
      <c r="E264" s="238">
        <f>Données!O258+Données!P258+Données!R258</f>
        <v>105985.65</v>
      </c>
      <c r="F264" s="504">
        <f t="shared" si="11"/>
        <v>54184.259999999995</v>
      </c>
      <c r="G264" s="504">
        <f>Ecrêtage!M258</f>
        <v>106031.66158349461</v>
      </c>
      <c r="H264" s="505">
        <f t="shared" si="12"/>
        <v>485683.51210780052</v>
      </c>
      <c r="I264" s="324">
        <f t="shared" si="13"/>
        <v>645899.4336912951</v>
      </c>
    </row>
    <row r="265" spans="1:9" s="35" customFormat="1" x14ac:dyDescent="0.25">
      <c r="A265" s="38">
        <f>Données!A259</f>
        <v>5859</v>
      </c>
      <c r="B265" s="555" t="str">
        <f>Données!B259</f>
        <v>Mont-sur-Rolle</v>
      </c>
      <c r="C265" s="31">
        <f>VPI!R259</f>
        <v>160904.56204724411</v>
      </c>
      <c r="D265" s="8">
        <f>Données!N259</f>
        <v>120212.6</v>
      </c>
      <c r="E265" s="238">
        <f>Données!O259+Données!P259+Données!R259</f>
        <v>1671072.7000000002</v>
      </c>
      <c r="F265" s="504">
        <f t="shared" si="11"/>
        <v>871600.13000000012</v>
      </c>
      <c r="G265" s="504">
        <f>Ecrêtage!M259</f>
        <v>397459.18284879118</v>
      </c>
      <c r="H265" s="505">
        <f t="shared" si="12"/>
        <v>2042966.6980780973</v>
      </c>
      <c r="I265" s="324">
        <f t="shared" si="13"/>
        <v>3312026.0109268888</v>
      </c>
    </row>
    <row r="266" spans="1:9" s="35" customFormat="1" x14ac:dyDescent="0.25">
      <c r="A266" s="38">
        <f>Données!A260</f>
        <v>5860</v>
      </c>
      <c r="B266" s="555" t="str">
        <f>Données!B260</f>
        <v>Perroy</v>
      </c>
      <c r="C266" s="31">
        <f>VPI!R260</f>
        <v>124238.0950558843</v>
      </c>
      <c r="D266" s="8">
        <f>Données!N260</f>
        <v>19166.650000000001</v>
      </c>
      <c r="E266" s="238">
        <f>Données!O260+Données!P260+Données!R260</f>
        <v>1012997.4500000001</v>
      </c>
      <c r="F266" s="504">
        <f t="shared" si="11"/>
        <v>512248.72000000003</v>
      </c>
      <c r="G266" s="504">
        <f>Ecrêtage!M260</f>
        <v>911850.80161445437</v>
      </c>
      <c r="H266" s="505">
        <f t="shared" si="12"/>
        <v>1577421.3459361636</v>
      </c>
      <c r="I266" s="324">
        <f t="shared" si="13"/>
        <v>3001520.867550618</v>
      </c>
    </row>
    <row r="267" spans="1:9" s="35" customFormat="1" x14ac:dyDescent="0.25">
      <c r="A267" s="38">
        <f>Données!A261</f>
        <v>5861</v>
      </c>
      <c r="B267" s="555" t="str">
        <f>Données!B261</f>
        <v>Rolle</v>
      </c>
      <c r="C267" s="31">
        <f>VPI!R261</f>
        <v>872601.81815126061</v>
      </c>
      <c r="D267" s="8">
        <f>Données!N261</f>
        <v>223079.3</v>
      </c>
      <c r="E267" s="238">
        <f>Données!O261+Données!P261+Données!R261</f>
        <v>2191758.5499999998</v>
      </c>
      <c r="F267" s="504">
        <f t="shared" si="11"/>
        <v>1162803.0649999999</v>
      </c>
      <c r="G267" s="504">
        <f>Ecrêtage!M261</f>
        <v>13938794.796933329</v>
      </c>
      <c r="H267" s="505">
        <f t="shared" si="12"/>
        <v>11079216.353368511</v>
      </c>
      <c r="I267" s="324">
        <f t="shared" si="13"/>
        <v>26180814.215301841</v>
      </c>
    </row>
    <row r="268" spans="1:9" s="35" customFormat="1" x14ac:dyDescent="0.25">
      <c r="A268" s="38">
        <f>Données!A262</f>
        <v>5862</v>
      </c>
      <c r="B268" s="555" t="str">
        <f>Données!B262</f>
        <v>Tartegnin</v>
      </c>
      <c r="C268" s="31">
        <f>VPI!R262</f>
        <v>7890.9322784810111</v>
      </c>
      <c r="D268" s="8">
        <f>Données!N262</f>
        <v>5530.15</v>
      </c>
      <c r="E268" s="238">
        <f>Données!O262+Données!P262+Données!R262</f>
        <v>32752.3</v>
      </c>
      <c r="F268" s="504">
        <f t="shared" si="11"/>
        <v>18035.195</v>
      </c>
      <c r="G268" s="504">
        <f>Ecrêtage!M262</f>
        <v>0</v>
      </c>
      <c r="H268" s="505">
        <f t="shared" si="12"/>
        <v>100189.27777195575</v>
      </c>
      <c r="I268" s="324">
        <f t="shared" si="13"/>
        <v>118224.47277195574</v>
      </c>
    </row>
    <row r="269" spans="1:9" s="35" customFormat="1" x14ac:dyDescent="0.25">
      <c r="A269" s="38">
        <f>Données!A263</f>
        <v>5863</v>
      </c>
      <c r="B269" s="555" t="str">
        <f>Données!B263</f>
        <v>Vinzel</v>
      </c>
      <c r="C269" s="31">
        <f>VPI!R263</f>
        <v>21422.979701492532</v>
      </c>
      <c r="D269" s="8">
        <f>Données!N263</f>
        <v>18683.7</v>
      </c>
      <c r="E269" s="238">
        <f>Données!O263+Données!P263+Données!R263</f>
        <v>198082.65</v>
      </c>
      <c r="F269" s="504">
        <f t="shared" ref="F269:F311" si="14">D269*$D$11+E269*$E$11</f>
        <v>104646.435</v>
      </c>
      <c r="G269" s="504">
        <f>Ecrêtage!M263</f>
        <v>51387.99958458107</v>
      </c>
      <c r="H269" s="505">
        <f t="shared" ref="H269:H311" si="15">$H$11*C269</f>
        <v>272002.44385178952</v>
      </c>
      <c r="I269" s="324">
        <f t="shared" ref="I269:I311" si="16">F269+H269+G269</f>
        <v>428036.87843637058</v>
      </c>
    </row>
    <row r="270" spans="1:9" s="35" customFormat="1" x14ac:dyDescent="0.25">
      <c r="A270" s="38">
        <f>Données!A264</f>
        <v>5871</v>
      </c>
      <c r="B270" s="555" t="str">
        <f>Données!B264</f>
        <v>L'Abbaye</v>
      </c>
      <c r="C270" s="31">
        <f>VPI!R264</f>
        <v>52131.58544752092</v>
      </c>
      <c r="D270" s="8">
        <f>Données!N264</f>
        <v>774954</v>
      </c>
      <c r="E270" s="238">
        <f>Données!O264+Données!P264+Données!R264</f>
        <v>506973.05</v>
      </c>
      <c r="F270" s="504">
        <f t="shared" si="14"/>
        <v>485972.72499999998</v>
      </c>
      <c r="G270" s="504">
        <f>Ecrêtage!M264</f>
        <v>0</v>
      </c>
      <c r="H270" s="505">
        <f t="shared" si="15"/>
        <v>661902.25828418101</v>
      </c>
      <c r="I270" s="324">
        <f t="shared" si="16"/>
        <v>1147874.983284181</v>
      </c>
    </row>
    <row r="271" spans="1:9" s="35" customFormat="1" x14ac:dyDescent="0.25">
      <c r="A271" s="38">
        <f>Données!A265</f>
        <v>5872</v>
      </c>
      <c r="B271" s="555" t="str">
        <f>Données!B265</f>
        <v>Le Chenit</v>
      </c>
      <c r="C271" s="31">
        <f>VPI!R265</f>
        <v>198940.06926406932</v>
      </c>
      <c r="D271" s="8">
        <f>Données!N265</f>
        <v>6657622.0499999998</v>
      </c>
      <c r="E271" s="238">
        <f>Données!O265+Données!P265+Données!R265</f>
        <v>1733392.55</v>
      </c>
      <c r="F271" s="504">
        <f t="shared" si="14"/>
        <v>2863982.8899999997</v>
      </c>
      <c r="G271" s="504">
        <f>Ecrêtage!M265</f>
        <v>0</v>
      </c>
      <c r="H271" s="505">
        <f t="shared" si="15"/>
        <v>2525894.4261661768</v>
      </c>
      <c r="I271" s="324">
        <f t="shared" si="16"/>
        <v>5389877.3161661765</v>
      </c>
    </row>
    <row r="272" spans="1:9" s="35" customFormat="1" x14ac:dyDescent="0.25">
      <c r="A272" s="38">
        <f>Données!A266</f>
        <v>5873</v>
      </c>
      <c r="B272" s="555" t="str">
        <f>Données!B266</f>
        <v>Le Lieu</v>
      </c>
      <c r="C272" s="31">
        <f>VPI!R266</f>
        <v>31463.219535714288</v>
      </c>
      <c r="D272" s="8">
        <f>Données!N266</f>
        <v>899203.4</v>
      </c>
      <c r="E272" s="238">
        <f>Données!O266+Données!P266+Données!R266</f>
        <v>206344.95</v>
      </c>
      <c r="F272" s="504">
        <f t="shared" si="14"/>
        <v>372933.495</v>
      </c>
      <c r="G272" s="504">
        <f>Ecrêtage!M266</f>
        <v>0</v>
      </c>
      <c r="H272" s="505">
        <f t="shared" si="15"/>
        <v>399480.96503883699</v>
      </c>
      <c r="I272" s="324">
        <f t="shared" si="16"/>
        <v>772414.46003883705</v>
      </c>
    </row>
    <row r="273" spans="1:9" s="35" customFormat="1" x14ac:dyDescent="0.25">
      <c r="A273" s="38">
        <f>Données!A267</f>
        <v>5882</v>
      </c>
      <c r="B273" s="555" t="str">
        <f>Données!B267</f>
        <v>Chardonne</v>
      </c>
      <c r="C273" s="31">
        <f>VPI!R267</f>
        <v>186940.3105882353</v>
      </c>
      <c r="D273" s="8">
        <f>Données!N267</f>
        <v>7632.95</v>
      </c>
      <c r="E273" s="238">
        <f>Données!O267+Données!P267+Données!R267</f>
        <v>1463855.4</v>
      </c>
      <c r="F273" s="504">
        <f t="shared" si="14"/>
        <v>734217.58499999996</v>
      </c>
      <c r="G273" s="504">
        <f>Ecrêtage!M267</f>
        <v>603171.60355989099</v>
      </c>
      <c r="H273" s="505">
        <f t="shared" si="15"/>
        <v>2373536.363425205</v>
      </c>
      <c r="I273" s="324">
        <f t="shared" si="16"/>
        <v>3710925.5519850962</v>
      </c>
    </row>
    <row r="274" spans="1:9" s="35" customFormat="1" x14ac:dyDescent="0.25">
      <c r="A274" s="38">
        <f>Données!A268</f>
        <v>5883</v>
      </c>
      <c r="B274" s="555" t="str">
        <f>Données!B268</f>
        <v>Corseaux</v>
      </c>
      <c r="C274" s="31">
        <f>VPI!R268</f>
        <v>193091.18148148147</v>
      </c>
      <c r="D274" s="8">
        <f>Données!N268</f>
        <v>0</v>
      </c>
      <c r="E274" s="238">
        <f>Données!O268+Données!P268+Données!R268</f>
        <v>3104956.75</v>
      </c>
      <c r="F274" s="504">
        <f t="shared" si="14"/>
        <v>1552478.375</v>
      </c>
      <c r="G274" s="504">
        <f>Ecrêtage!M268</f>
        <v>1670302.8834809121</v>
      </c>
      <c r="H274" s="505">
        <f t="shared" si="15"/>
        <v>2451632.4984209933</v>
      </c>
      <c r="I274" s="324">
        <f t="shared" si="16"/>
        <v>5674413.7569019049</v>
      </c>
    </row>
    <row r="275" spans="1:9" s="35" customFormat="1" x14ac:dyDescent="0.25">
      <c r="A275" s="38">
        <f>Données!A269</f>
        <v>5884</v>
      </c>
      <c r="B275" s="555" t="str">
        <f>Données!B269</f>
        <v>Corsier-sur-Vevey</v>
      </c>
      <c r="C275" s="31">
        <f>VPI!R269</f>
        <v>148804.11322997417</v>
      </c>
      <c r="D275" s="8">
        <f>Données!N269</f>
        <v>551964.19999999995</v>
      </c>
      <c r="E275" s="238">
        <f>Données!O269+Données!P269+Données!R269</f>
        <v>783265.45</v>
      </c>
      <c r="F275" s="504">
        <f t="shared" si="14"/>
        <v>557221.98499999999</v>
      </c>
      <c r="G275" s="504">
        <f>Ecrêtage!M269</f>
        <v>0</v>
      </c>
      <c r="H275" s="505">
        <f t="shared" si="15"/>
        <v>1889330.19672009</v>
      </c>
      <c r="I275" s="324">
        <f t="shared" si="16"/>
        <v>2446552.1817200901</v>
      </c>
    </row>
    <row r="276" spans="1:9" s="35" customFormat="1" x14ac:dyDescent="0.25">
      <c r="A276" s="38">
        <f>Données!A270</f>
        <v>5885</v>
      </c>
      <c r="B276" s="555" t="str">
        <f>Données!B270</f>
        <v>Jongny</v>
      </c>
      <c r="C276" s="31">
        <f>VPI!R270</f>
        <v>97074.6993764988</v>
      </c>
      <c r="D276" s="8">
        <f>Données!N270</f>
        <v>2403.85</v>
      </c>
      <c r="E276" s="238">
        <f>Données!O270+Données!P270+Données!R270</f>
        <v>1161154.8500000001</v>
      </c>
      <c r="F276" s="504">
        <f t="shared" si="14"/>
        <v>581298.58000000007</v>
      </c>
      <c r="G276" s="504">
        <f>Ecrêtage!M270</f>
        <v>146727.52448466874</v>
      </c>
      <c r="H276" s="505">
        <f t="shared" si="15"/>
        <v>1232534.2148714198</v>
      </c>
      <c r="I276" s="324">
        <f t="shared" si="16"/>
        <v>1960560.3193560885</v>
      </c>
    </row>
    <row r="277" spans="1:9" s="35" customFormat="1" x14ac:dyDescent="0.25">
      <c r="A277" s="38">
        <f>Données!A271</f>
        <v>5886</v>
      </c>
      <c r="B277" s="555" t="str">
        <f>Données!B271</f>
        <v>Montreux</v>
      </c>
      <c r="C277" s="31">
        <f>VPI!R271</f>
        <v>1173967.402</v>
      </c>
      <c r="D277" s="8">
        <f>Données!N271</f>
        <v>1254691.7</v>
      </c>
      <c r="E277" s="238">
        <f>Données!O271+Données!P271+Données!R271</f>
        <v>23312889.099999998</v>
      </c>
      <c r="F277" s="504">
        <f t="shared" si="14"/>
        <v>12032852.059999999</v>
      </c>
      <c r="G277" s="504">
        <f>Ecrêtage!M271</f>
        <v>0</v>
      </c>
      <c r="H277" s="505">
        <f t="shared" si="15"/>
        <v>14905583.013930092</v>
      </c>
      <c r="I277" s="324">
        <f t="shared" si="16"/>
        <v>26938435.073930092</v>
      </c>
    </row>
    <row r="278" spans="1:9" s="35" customFormat="1" x14ac:dyDescent="0.25">
      <c r="A278" s="38">
        <f>Données!A272</f>
        <v>5889</v>
      </c>
      <c r="B278" s="555" t="str">
        <f>Données!B272</f>
        <v>La Tour-de-Peilz</v>
      </c>
      <c r="C278" s="31">
        <f>VPI!R272</f>
        <v>740088.65473958338</v>
      </c>
      <c r="D278" s="8">
        <f>Données!N272</f>
        <v>259436.3</v>
      </c>
      <c r="E278" s="238">
        <f>Données!O272+Données!P272+Données!R272</f>
        <v>3820761.5</v>
      </c>
      <c r="F278" s="504">
        <f t="shared" si="14"/>
        <v>1988211.64</v>
      </c>
      <c r="G278" s="504">
        <f>Ecrêtage!M272</f>
        <v>2211799.7983720871</v>
      </c>
      <c r="H278" s="505">
        <f t="shared" si="15"/>
        <v>9396728.4458625074</v>
      </c>
      <c r="I278" s="324">
        <f t="shared" si="16"/>
        <v>13596739.884234596</v>
      </c>
    </row>
    <row r="279" spans="1:9" s="35" customFormat="1" x14ac:dyDescent="0.25">
      <c r="A279" s="38">
        <f>Données!A273</f>
        <v>5890</v>
      </c>
      <c r="B279" s="555" t="str">
        <f>Données!B273</f>
        <v>Vevey</v>
      </c>
      <c r="C279" s="31">
        <f>VPI!R273</f>
        <v>968892.58791946329</v>
      </c>
      <c r="D279" s="8">
        <f>Données!N273</f>
        <v>1260005.1000000001</v>
      </c>
      <c r="E279" s="238">
        <f>Données!O273+Données!P273+Données!R273</f>
        <v>5933416.4499999993</v>
      </c>
      <c r="F279" s="504">
        <f t="shared" si="14"/>
        <v>3344709.7549999999</v>
      </c>
      <c r="G279" s="504">
        <f>Ecrêtage!M273</f>
        <v>351777.10170779011</v>
      </c>
      <c r="H279" s="505">
        <f t="shared" si="15"/>
        <v>12301797.201703833</v>
      </c>
      <c r="I279" s="324">
        <f t="shared" si="16"/>
        <v>15998284.058411624</v>
      </c>
    </row>
    <row r="280" spans="1:9" s="35" customFormat="1" x14ac:dyDescent="0.25">
      <c r="A280" s="38">
        <f>Données!A274</f>
        <v>5891</v>
      </c>
      <c r="B280" s="555" t="str">
        <f>Données!B274</f>
        <v>Veytaux</v>
      </c>
      <c r="C280" s="31">
        <f>VPI!R274</f>
        <v>39118.814388489205</v>
      </c>
      <c r="D280" s="8">
        <f>Données!N274</f>
        <v>2689.3</v>
      </c>
      <c r="E280" s="238">
        <f>Données!O274+Données!P274+Données!R274</f>
        <v>260197.90000000002</v>
      </c>
      <c r="F280" s="504">
        <f t="shared" si="14"/>
        <v>130905.74</v>
      </c>
      <c r="G280" s="504">
        <f>Ecrêtage!M274</f>
        <v>0</v>
      </c>
      <c r="H280" s="505">
        <f t="shared" si="15"/>
        <v>496682.21986469498</v>
      </c>
      <c r="I280" s="324">
        <f t="shared" si="16"/>
        <v>627587.95986469497</v>
      </c>
    </row>
    <row r="281" spans="1:9" s="35" customFormat="1" x14ac:dyDescent="0.25">
      <c r="A281" s="38">
        <f>Données!A275</f>
        <v>5892</v>
      </c>
      <c r="B281" s="555" t="str">
        <f>Données!B275</f>
        <v>Blonay-St-Légier</v>
      </c>
      <c r="C281" s="31">
        <f>VPI!R275</f>
        <v>705287.87938951538</v>
      </c>
      <c r="D281" s="8">
        <f>Données!N275</f>
        <v>280137.40000000002</v>
      </c>
      <c r="E281" s="238">
        <f>Données!O275+Données!P275+Données!R275</f>
        <v>7495678.5800000001</v>
      </c>
      <c r="F281" s="504">
        <f t="shared" si="14"/>
        <v>3831880.5100000002</v>
      </c>
      <c r="G281" s="504">
        <f>Ecrêtage!M275</f>
        <v>1964215.2806265638</v>
      </c>
      <c r="H281" s="505">
        <f t="shared" si="15"/>
        <v>8954871.3337775767</v>
      </c>
      <c r="I281" s="324">
        <f t="shared" si="16"/>
        <v>14750967.12440414</v>
      </c>
    </row>
    <row r="282" spans="1:9" s="35" customFormat="1" x14ac:dyDescent="0.25">
      <c r="A282" s="38">
        <f>Données!A276</f>
        <v>5902</v>
      </c>
      <c r="B282" s="555" t="str">
        <f>Données!B276</f>
        <v>Belmont-sur-Yverdon</v>
      </c>
      <c r="C282" s="31">
        <f>VPI!R276</f>
        <v>12109.044285714286</v>
      </c>
      <c r="D282" s="8">
        <f>Données!N276</f>
        <v>0</v>
      </c>
      <c r="E282" s="238">
        <f>Données!O276+Données!P276+Données!R276</f>
        <v>62776.549999999996</v>
      </c>
      <c r="F282" s="504">
        <f t="shared" si="14"/>
        <v>31388.274999999998</v>
      </c>
      <c r="G282" s="504">
        <f>Ecrêtage!M276</f>
        <v>0</v>
      </c>
      <c r="H282" s="505">
        <f t="shared" si="15"/>
        <v>153745.63596278639</v>
      </c>
      <c r="I282" s="324">
        <f t="shared" si="16"/>
        <v>185133.91096278638</v>
      </c>
    </row>
    <row r="283" spans="1:9" s="35" customFormat="1" x14ac:dyDescent="0.25">
      <c r="A283" s="38">
        <f>Données!A277</f>
        <v>5903</v>
      </c>
      <c r="B283" s="555" t="str">
        <f>Données!B277</f>
        <v>Bioley-Magnoux</v>
      </c>
      <c r="C283" s="31">
        <f>VPI!R277</f>
        <v>6062.5298015873022</v>
      </c>
      <c r="D283" s="8">
        <f>Données!N277</f>
        <v>35867.85</v>
      </c>
      <c r="E283" s="238">
        <f>Données!O277+Données!P277+Données!R277</f>
        <v>0</v>
      </c>
      <c r="F283" s="504">
        <f t="shared" si="14"/>
        <v>10760.355</v>
      </c>
      <c r="G283" s="504">
        <f>Ecrêtage!M277</f>
        <v>0</v>
      </c>
      <c r="H283" s="505">
        <f t="shared" si="15"/>
        <v>76974.489306973672</v>
      </c>
      <c r="I283" s="324">
        <f t="shared" si="16"/>
        <v>87734.844306973668</v>
      </c>
    </row>
    <row r="284" spans="1:9" s="35" customFormat="1" x14ac:dyDescent="0.25">
      <c r="A284" s="38">
        <f>Données!A278</f>
        <v>5904</v>
      </c>
      <c r="B284" s="555" t="str">
        <f>Données!B278</f>
        <v>Chamblon</v>
      </c>
      <c r="C284" s="31">
        <f>VPI!R278</f>
        <v>22177.284545454542</v>
      </c>
      <c r="D284" s="8">
        <f>Données!N278</f>
        <v>32442.95</v>
      </c>
      <c r="E284" s="238">
        <f>Données!O278+Données!P278+Données!R278</f>
        <v>46645.1</v>
      </c>
      <c r="F284" s="504">
        <f t="shared" si="14"/>
        <v>33055.434999999998</v>
      </c>
      <c r="G284" s="504">
        <f>Ecrêtage!M278</f>
        <v>0</v>
      </c>
      <c r="H284" s="505">
        <f t="shared" si="15"/>
        <v>281579.67184835131</v>
      </c>
      <c r="I284" s="324">
        <f t="shared" si="16"/>
        <v>314635.10684835131</v>
      </c>
    </row>
    <row r="285" spans="1:9" s="35" customFormat="1" x14ac:dyDescent="0.25">
      <c r="A285" s="38">
        <f>Données!A279</f>
        <v>5905</v>
      </c>
      <c r="B285" s="555" t="str">
        <f>Données!B279</f>
        <v>Champvent</v>
      </c>
      <c r="C285" s="31">
        <f>VPI!R279</f>
        <v>23290.369714285716</v>
      </c>
      <c r="D285" s="8">
        <f>Données!N279</f>
        <v>273258</v>
      </c>
      <c r="E285" s="238">
        <f>Données!O279+Données!P279+Données!R279</f>
        <v>185557.34999999998</v>
      </c>
      <c r="F285" s="504">
        <f t="shared" si="14"/>
        <v>174756.07499999998</v>
      </c>
      <c r="G285" s="504">
        <f>Ecrêtage!M279</f>
        <v>0</v>
      </c>
      <c r="H285" s="505">
        <f t="shared" si="15"/>
        <v>295712.24772509403</v>
      </c>
      <c r="I285" s="324">
        <f t="shared" si="16"/>
        <v>470468.32272509404</v>
      </c>
    </row>
    <row r="286" spans="1:9" s="35" customFormat="1" x14ac:dyDescent="0.25">
      <c r="A286" s="38">
        <f>Données!A280</f>
        <v>5907</v>
      </c>
      <c r="B286" s="555" t="str">
        <f>Données!B280</f>
        <v>Chavannes-le-Chêne</v>
      </c>
      <c r="C286" s="31">
        <f>VPI!R280</f>
        <v>7818.3101333333334</v>
      </c>
      <c r="D286" s="8">
        <f>Données!N280</f>
        <v>8695.1</v>
      </c>
      <c r="E286" s="238">
        <f>Données!O280+Données!P280+Données!R280</f>
        <v>20205.349999999999</v>
      </c>
      <c r="F286" s="504">
        <f t="shared" si="14"/>
        <v>12711.205</v>
      </c>
      <c r="G286" s="504">
        <f>Ecrêtage!M280</f>
        <v>0</v>
      </c>
      <c r="H286" s="505">
        <f t="shared" si="15"/>
        <v>99267.211783322447</v>
      </c>
      <c r="I286" s="324">
        <f t="shared" si="16"/>
        <v>111978.41678332245</v>
      </c>
    </row>
    <row r="287" spans="1:9" s="35" customFormat="1" x14ac:dyDescent="0.25">
      <c r="A287" s="38">
        <f>Données!A281</f>
        <v>5908</v>
      </c>
      <c r="B287" s="555" t="str">
        <f>Données!B281</f>
        <v>Chêne-Pâquier</v>
      </c>
      <c r="C287" s="31">
        <f>VPI!R281</f>
        <v>4413.4270886075947</v>
      </c>
      <c r="D287" s="8">
        <f>Données!N281</f>
        <v>436.2</v>
      </c>
      <c r="E287" s="238">
        <f>Données!O281+Données!P281+Données!R281</f>
        <v>14606.45</v>
      </c>
      <c r="F287" s="504">
        <f t="shared" si="14"/>
        <v>7434.085</v>
      </c>
      <c r="G287" s="504">
        <f>Ecrêtage!M281</f>
        <v>0</v>
      </c>
      <c r="H287" s="505">
        <f t="shared" si="15"/>
        <v>56036.227013710813</v>
      </c>
      <c r="I287" s="324">
        <f t="shared" si="16"/>
        <v>63470.312013710813</v>
      </c>
    </row>
    <row r="288" spans="1:9" s="35" customFormat="1" x14ac:dyDescent="0.25">
      <c r="A288" s="38">
        <f>Données!A282</f>
        <v>5909</v>
      </c>
      <c r="B288" s="555" t="str">
        <f>Données!B282</f>
        <v>Cheseaux-Noréaz</v>
      </c>
      <c r="C288" s="31">
        <f>VPI!R282</f>
        <v>36912.898208955223</v>
      </c>
      <c r="D288" s="8">
        <f>Données!N282</f>
        <v>7393.8</v>
      </c>
      <c r="E288" s="238">
        <f>Données!O282+Données!P282+Données!R282</f>
        <v>265390.09999999998</v>
      </c>
      <c r="F288" s="504">
        <f t="shared" si="14"/>
        <v>134913.19</v>
      </c>
      <c r="G288" s="504">
        <f>Ecrêtage!M282</f>
        <v>27038.470013507955</v>
      </c>
      <c r="H288" s="505">
        <f t="shared" si="15"/>
        <v>468674.23030740465</v>
      </c>
      <c r="I288" s="324">
        <f t="shared" si="16"/>
        <v>630625.89032091259</v>
      </c>
    </row>
    <row r="289" spans="1:9" s="35" customFormat="1" x14ac:dyDescent="0.25">
      <c r="A289" s="38">
        <f>Données!A283</f>
        <v>5910</v>
      </c>
      <c r="B289" s="555" t="str">
        <f>Données!B283</f>
        <v>Cronay</v>
      </c>
      <c r="C289" s="31">
        <f>VPI!R283</f>
        <v>10599.974415584415</v>
      </c>
      <c r="D289" s="8">
        <f>Données!N283</f>
        <v>0</v>
      </c>
      <c r="E289" s="238">
        <f>Données!O283+Données!P283+Données!R283</f>
        <v>57762.5</v>
      </c>
      <c r="F289" s="504">
        <f t="shared" si="14"/>
        <v>28881.25</v>
      </c>
      <c r="G289" s="504">
        <f>Ecrêtage!M283</f>
        <v>0</v>
      </c>
      <c r="H289" s="505">
        <f t="shared" si="15"/>
        <v>134585.33714637897</v>
      </c>
      <c r="I289" s="324">
        <f t="shared" si="16"/>
        <v>163466.58714637897</v>
      </c>
    </row>
    <row r="290" spans="1:9" s="35" customFormat="1" x14ac:dyDescent="0.25">
      <c r="A290" s="38">
        <f>Données!A284</f>
        <v>5911</v>
      </c>
      <c r="B290" s="555" t="str">
        <f>Données!B284</f>
        <v>Cuarny</v>
      </c>
      <c r="C290" s="31">
        <f>VPI!R284</f>
        <v>7503.6479220779238</v>
      </c>
      <c r="D290" s="8">
        <f>Données!N284</f>
        <v>1009.45</v>
      </c>
      <c r="E290" s="238">
        <f>Données!O284+Données!P284+Données!R284</f>
        <v>47895.9</v>
      </c>
      <c r="F290" s="504">
        <f t="shared" si="14"/>
        <v>24250.785</v>
      </c>
      <c r="G290" s="504">
        <f>Ecrêtage!M284</f>
        <v>0</v>
      </c>
      <c r="H290" s="505">
        <f t="shared" si="15"/>
        <v>95272.021028260657</v>
      </c>
      <c r="I290" s="324">
        <f t="shared" si="16"/>
        <v>119522.80602826066</v>
      </c>
    </row>
    <row r="291" spans="1:9" s="35" customFormat="1" x14ac:dyDescent="0.25">
      <c r="A291" s="38">
        <f>Données!A285</f>
        <v>5912</v>
      </c>
      <c r="B291" s="555" t="str">
        <f>Données!B285</f>
        <v>Démoret</v>
      </c>
      <c r="C291" s="31">
        <f>VPI!R285</f>
        <v>4722.3875308641973</v>
      </c>
      <c r="D291" s="8">
        <f>Données!N285</f>
        <v>3569.75</v>
      </c>
      <c r="E291" s="238">
        <f>Données!O285+Données!P285+Données!R285</f>
        <v>31576.5</v>
      </c>
      <c r="F291" s="504">
        <f t="shared" si="14"/>
        <v>16859.174999999999</v>
      </c>
      <c r="G291" s="504">
        <f>Ecrêtage!M285</f>
        <v>0</v>
      </c>
      <c r="H291" s="505">
        <f t="shared" si="15"/>
        <v>59959.023772999659</v>
      </c>
      <c r="I291" s="324">
        <f t="shared" si="16"/>
        <v>76818.198772999662</v>
      </c>
    </row>
    <row r="292" spans="1:9" s="35" customFormat="1" x14ac:dyDescent="0.25">
      <c r="A292" s="38">
        <f>Données!A286</f>
        <v>5913</v>
      </c>
      <c r="B292" s="555" t="str">
        <f>Données!B286</f>
        <v>Donneloye</v>
      </c>
      <c r="C292" s="31">
        <f>VPI!R286</f>
        <v>23893.15821917808</v>
      </c>
      <c r="D292" s="8">
        <f>Données!N286</f>
        <v>29277.45</v>
      </c>
      <c r="E292" s="238">
        <f>Données!O286+Données!P286+Données!R286</f>
        <v>143251.70000000001</v>
      </c>
      <c r="F292" s="504">
        <f t="shared" si="14"/>
        <v>80409.085000000006</v>
      </c>
      <c r="G292" s="504">
        <f>Ecrêtage!M286</f>
        <v>0</v>
      </c>
      <c r="H292" s="505">
        <f t="shared" si="15"/>
        <v>303365.70904285205</v>
      </c>
      <c r="I292" s="324">
        <f t="shared" si="16"/>
        <v>383774.79404285207</v>
      </c>
    </row>
    <row r="293" spans="1:9" s="35" customFormat="1" x14ac:dyDescent="0.25">
      <c r="A293" s="38">
        <f>Données!A287</f>
        <v>5914</v>
      </c>
      <c r="B293" s="555" t="str">
        <f>Données!B287</f>
        <v>Ependes</v>
      </c>
      <c r="C293" s="31">
        <f>VPI!R287</f>
        <v>9828.5374149659856</v>
      </c>
      <c r="D293" s="8">
        <f>Données!N287</f>
        <v>11708.55</v>
      </c>
      <c r="E293" s="238">
        <f>Données!O287+Données!P287+Données!R287</f>
        <v>120945.29999999999</v>
      </c>
      <c r="F293" s="504">
        <f t="shared" si="14"/>
        <v>63985.214999999997</v>
      </c>
      <c r="G293" s="504">
        <f>Ecrêtage!M287</f>
        <v>0</v>
      </c>
      <c r="H293" s="505">
        <f t="shared" si="15"/>
        <v>124790.58625879406</v>
      </c>
      <c r="I293" s="324">
        <f t="shared" si="16"/>
        <v>188775.80125879406</v>
      </c>
    </row>
    <row r="294" spans="1:9" s="35" customFormat="1" x14ac:dyDescent="0.25">
      <c r="A294" s="38">
        <f>Données!A288</f>
        <v>5919</v>
      </c>
      <c r="B294" s="555" t="str">
        <f>Données!B288</f>
        <v>Mathod</v>
      </c>
      <c r="C294" s="31">
        <f>VPI!R288</f>
        <v>18684.230416666669</v>
      </c>
      <c r="D294" s="8">
        <f>Données!N288</f>
        <v>11130.05</v>
      </c>
      <c r="E294" s="238">
        <f>Données!O288+Données!P288+Données!R288</f>
        <v>88899</v>
      </c>
      <c r="F294" s="504">
        <f t="shared" si="14"/>
        <v>47788.514999999999</v>
      </c>
      <c r="G294" s="504">
        <f>Ecrêtage!M288</f>
        <v>0</v>
      </c>
      <c r="H294" s="505">
        <f t="shared" si="15"/>
        <v>237229.19993567475</v>
      </c>
      <c r="I294" s="324">
        <f t="shared" si="16"/>
        <v>285017.71493567474</v>
      </c>
    </row>
    <row r="295" spans="1:9" s="35" customFormat="1" x14ac:dyDescent="0.25">
      <c r="A295" s="38">
        <f>Données!A289</f>
        <v>5921</v>
      </c>
      <c r="B295" s="555" t="str">
        <f>Données!B289</f>
        <v>Molondin</v>
      </c>
      <c r="C295" s="31">
        <f>VPI!R289</f>
        <v>5874.5211111111121</v>
      </c>
      <c r="D295" s="8">
        <f>Données!N289</f>
        <v>8046.65</v>
      </c>
      <c r="E295" s="238">
        <f>Données!O289+Données!P289+Données!R289</f>
        <v>4271.8500000000004</v>
      </c>
      <c r="F295" s="504">
        <f t="shared" si="14"/>
        <v>4549.92</v>
      </c>
      <c r="G295" s="504">
        <f>Ecrêtage!M289</f>
        <v>0</v>
      </c>
      <c r="H295" s="505">
        <f t="shared" si="15"/>
        <v>74587.387979918989</v>
      </c>
      <c r="I295" s="324">
        <f t="shared" si="16"/>
        <v>79137.307979918987</v>
      </c>
    </row>
    <row r="296" spans="1:9" s="35" customFormat="1" x14ac:dyDescent="0.25">
      <c r="A296" s="38">
        <f>Données!A290</f>
        <v>5922</v>
      </c>
      <c r="B296" s="555" t="str">
        <f>Données!B290</f>
        <v>Montagny-près-Yverdon</v>
      </c>
      <c r="C296" s="31">
        <f>VPI!R290</f>
        <v>39591.156899224814</v>
      </c>
      <c r="D296" s="8">
        <f>Données!N290</f>
        <v>373184.55</v>
      </c>
      <c r="E296" s="238">
        <f>Données!O290+Données!P290+Données!R290</f>
        <v>328666.40000000002</v>
      </c>
      <c r="F296" s="504">
        <f t="shared" si="14"/>
        <v>276288.565</v>
      </c>
      <c r="G296" s="504">
        <f>Ecrêtage!M290</f>
        <v>31517.432738933763</v>
      </c>
      <c r="H296" s="505">
        <f t="shared" si="15"/>
        <v>502679.43962802348</v>
      </c>
      <c r="I296" s="324">
        <f t="shared" si="16"/>
        <v>810485.43736695719</v>
      </c>
    </row>
    <row r="297" spans="1:9" s="35" customFormat="1" x14ac:dyDescent="0.25">
      <c r="A297" s="38">
        <f>Données!A291</f>
        <v>5923</v>
      </c>
      <c r="B297" s="555" t="str">
        <f>Données!B291</f>
        <v>Oppens</v>
      </c>
      <c r="C297" s="31">
        <f>VPI!R291</f>
        <v>5096.0285185185185</v>
      </c>
      <c r="D297" s="8">
        <f>Données!N291</f>
        <v>12323.55</v>
      </c>
      <c r="E297" s="238">
        <f>Données!O291+Données!P291+Données!R291</f>
        <v>62066.65</v>
      </c>
      <c r="F297" s="504">
        <f t="shared" si="14"/>
        <v>34730.39</v>
      </c>
      <c r="G297" s="504">
        <f>Ecrêtage!M291</f>
        <v>0</v>
      </c>
      <c r="H297" s="505">
        <f t="shared" si="15"/>
        <v>64703.053930396069</v>
      </c>
      <c r="I297" s="324">
        <f t="shared" si="16"/>
        <v>99433.443930396068</v>
      </c>
    </row>
    <row r="298" spans="1:9" s="35" customFormat="1" x14ac:dyDescent="0.25">
      <c r="A298" s="38">
        <f>Données!A292</f>
        <v>5924</v>
      </c>
      <c r="B298" s="555" t="str">
        <f>Données!B292</f>
        <v>Orges</v>
      </c>
      <c r="C298" s="31">
        <f>VPI!R292</f>
        <v>13109.277432432435</v>
      </c>
      <c r="D298" s="8">
        <f>Données!N292</f>
        <v>18896.3</v>
      </c>
      <c r="E298" s="238">
        <f>Données!O292+Données!P292+Données!R292</f>
        <v>82057.100000000006</v>
      </c>
      <c r="F298" s="504">
        <f t="shared" si="14"/>
        <v>46697.440000000002</v>
      </c>
      <c r="G298" s="504">
        <f>Ecrêtage!M292</f>
        <v>0</v>
      </c>
      <c r="H298" s="505">
        <f t="shared" si="15"/>
        <v>166445.3567355203</v>
      </c>
      <c r="I298" s="324">
        <f t="shared" si="16"/>
        <v>213142.7967355203</v>
      </c>
    </row>
    <row r="299" spans="1:9" s="35" customFormat="1" x14ac:dyDescent="0.25">
      <c r="A299" s="38">
        <f>Données!A293</f>
        <v>5925</v>
      </c>
      <c r="B299" s="555" t="str">
        <f>Données!B293</f>
        <v>Orzens</v>
      </c>
      <c r="C299" s="31">
        <f>VPI!R293</f>
        <v>5230.3916455696199</v>
      </c>
      <c r="D299" s="8">
        <f>Données!N293</f>
        <v>514.25</v>
      </c>
      <c r="E299" s="238">
        <f>Données!O293+Données!P293+Données!R293</f>
        <v>137016.1</v>
      </c>
      <c r="F299" s="504">
        <f t="shared" si="14"/>
        <v>68662.324999999997</v>
      </c>
      <c r="G299" s="504">
        <f>Ecrêtage!M293</f>
        <v>0</v>
      </c>
      <c r="H299" s="505">
        <f t="shared" si="15"/>
        <v>66409.030383285193</v>
      </c>
      <c r="I299" s="324">
        <f t="shared" si="16"/>
        <v>135071.3553832852</v>
      </c>
    </row>
    <row r="300" spans="1:9" s="35" customFormat="1" x14ac:dyDescent="0.25">
      <c r="A300" s="38">
        <f>Données!A294</f>
        <v>5926</v>
      </c>
      <c r="B300" s="555" t="str">
        <f>Données!B294</f>
        <v>Pomy</v>
      </c>
      <c r="C300" s="31">
        <f>VPI!R294</f>
        <v>27874.142394366198</v>
      </c>
      <c r="D300" s="8">
        <f>Données!N294</f>
        <v>30239.599999999999</v>
      </c>
      <c r="E300" s="238">
        <f>Données!O294+Données!P294+Données!R294</f>
        <v>194771.34999999998</v>
      </c>
      <c r="F300" s="504">
        <f t="shared" si="14"/>
        <v>106457.55499999999</v>
      </c>
      <c r="G300" s="504">
        <f>Ecrêtage!M294</f>
        <v>0</v>
      </c>
      <c r="H300" s="505">
        <f t="shared" si="15"/>
        <v>353911.31192698434</v>
      </c>
      <c r="I300" s="324">
        <f t="shared" si="16"/>
        <v>460368.86692698434</v>
      </c>
    </row>
    <row r="301" spans="1:9" s="35" customFormat="1" x14ac:dyDescent="0.25">
      <c r="A301" s="38">
        <f>Données!A295</f>
        <v>5928</v>
      </c>
      <c r="B301" s="555" t="str">
        <f>Données!B295</f>
        <v>Rovray</v>
      </c>
      <c r="C301" s="31">
        <f>VPI!R295</f>
        <v>5459.4458741258732</v>
      </c>
      <c r="D301" s="8">
        <f>Données!N295</f>
        <v>10979.85</v>
      </c>
      <c r="E301" s="238">
        <f>Données!O295+Données!P295+Données!R295</f>
        <v>19441.55</v>
      </c>
      <c r="F301" s="504">
        <f t="shared" si="14"/>
        <v>13014.73</v>
      </c>
      <c r="G301" s="504">
        <f>Ecrêtage!M295</f>
        <v>0</v>
      </c>
      <c r="H301" s="505">
        <f t="shared" si="15"/>
        <v>69317.277079590785</v>
      </c>
      <c r="I301" s="324">
        <f t="shared" si="16"/>
        <v>82332.007079590781</v>
      </c>
    </row>
    <row r="302" spans="1:9" s="35" customFormat="1" x14ac:dyDescent="0.25">
      <c r="A302" s="38">
        <f>Données!A296</f>
        <v>5929</v>
      </c>
      <c r="B302" s="555" t="str">
        <f>Données!B296</f>
        <v>Suchy</v>
      </c>
      <c r="C302" s="31">
        <f>VPI!R296</f>
        <v>20264.63825</v>
      </c>
      <c r="D302" s="8">
        <f>Données!N296</f>
        <v>6048.3</v>
      </c>
      <c r="E302" s="238">
        <f>Données!O296+Données!P296+Données!R296</f>
        <v>143441.1</v>
      </c>
      <c r="F302" s="504">
        <f t="shared" si="14"/>
        <v>73535.040000000008</v>
      </c>
      <c r="G302" s="504">
        <f>Ecrêtage!M296</f>
        <v>0</v>
      </c>
      <c r="H302" s="505">
        <f t="shared" si="15"/>
        <v>257295.25979004827</v>
      </c>
      <c r="I302" s="324">
        <f t="shared" si="16"/>
        <v>330830.29979004827</v>
      </c>
    </row>
    <row r="303" spans="1:9" s="35" customFormat="1" x14ac:dyDescent="0.25">
      <c r="A303" s="38">
        <f>Données!A297</f>
        <v>5930</v>
      </c>
      <c r="B303" s="555" t="str">
        <f>Données!B297</f>
        <v>Suscévaz</v>
      </c>
      <c r="C303" s="31">
        <f>VPI!R297</f>
        <v>6661.7480555555558</v>
      </c>
      <c r="D303" s="8">
        <f>Données!N297</f>
        <v>0</v>
      </c>
      <c r="E303" s="238">
        <f>Données!O297+Données!P297+Données!R297</f>
        <v>79841.8</v>
      </c>
      <c r="F303" s="504">
        <f t="shared" si="14"/>
        <v>39920.9</v>
      </c>
      <c r="G303" s="504">
        <f>Ecrêtage!M297</f>
        <v>0</v>
      </c>
      <c r="H303" s="505">
        <f t="shared" si="15"/>
        <v>84582.620003592499</v>
      </c>
      <c r="I303" s="324">
        <f t="shared" si="16"/>
        <v>124503.52000359251</v>
      </c>
    </row>
    <row r="304" spans="1:9" s="35" customFormat="1" x14ac:dyDescent="0.25">
      <c r="A304" s="38">
        <f>Données!A298</f>
        <v>5931</v>
      </c>
      <c r="B304" s="555" t="str">
        <f>Données!B298</f>
        <v>Treycovagnes</v>
      </c>
      <c r="C304" s="31">
        <f>VPI!R298</f>
        <v>15269.573333333334</v>
      </c>
      <c r="D304" s="8">
        <f>Données!N298</f>
        <v>12375.15</v>
      </c>
      <c r="E304" s="238">
        <f>Données!O298+Données!P298+Données!R298</f>
        <v>155078.15000000002</v>
      </c>
      <c r="F304" s="504">
        <f t="shared" si="14"/>
        <v>81251.62000000001</v>
      </c>
      <c r="G304" s="504">
        <f>Ecrêtage!M298</f>
        <v>0</v>
      </c>
      <c r="H304" s="505">
        <f t="shared" si="15"/>
        <v>193874.11653811255</v>
      </c>
      <c r="I304" s="324">
        <f t="shared" si="16"/>
        <v>275125.73653811257</v>
      </c>
    </row>
    <row r="305" spans="1:9" s="35" customFormat="1" x14ac:dyDescent="0.25">
      <c r="A305" s="38">
        <f>Données!A299</f>
        <v>5932</v>
      </c>
      <c r="B305" s="555" t="str">
        <f>Données!B299</f>
        <v>Ursins</v>
      </c>
      <c r="C305" s="31">
        <f>VPI!R299</f>
        <v>7703.2953333333353</v>
      </c>
      <c r="D305" s="8">
        <f>Données!N299</f>
        <v>0</v>
      </c>
      <c r="E305" s="238">
        <f>Données!O299+Données!P299+Données!R299</f>
        <v>9848.7000000000007</v>
      </c>
      <c r="F305" s="504">
        <f t="shared" si="14"/>
        <v>4924.3500000000004</v>
      </c>
      <c r="G305" s="504">
        <f>Ecrêtage!M299</f>
        <v>0</v>
      </c>
      <c r="H305" s="505">
        <f t="shared" si="15"/>
        <v>97806.896406328247</v>
      </c>
      <c r="I305" s="324">
        <f t="shared" si="16"/>
        <v>102731.24640632825</v>
      </c>
    </row>
    <row r="306" spans="1:9" s="35" customFormat="1" x14ac:dyDescent="0.25">
      <c r="A306" s="38">
        <f>Données!A300</f>
        <v>5933</v>
      </c>
      <c r="B306" s="555" t="str">
        <f>Données!B300</f>
        <v>Valeyres-sous-Montagny</v>
      </c>
      <c r="C306" s="31">
        <f>VPI!R300</f>
        <v>19606.455886524818</v>
      </c>
      <c r="D306" s="8">
        <f>Données!N300</f>
        <v>17443.900000000001</v>
      </c>
      <c r="E306" s="238">
        <f>Données!O300+Données!P300+Données!R300</f>
        <v>132448.65</v>
      </c>
      <c r="F306" s="504">
        <f t="shared" si="14"/>
        <v>71457.494999999995</v>
      </c>
      <c r="G306" s="504">
        <f>Ecrêtage!M300</f>
        <v>0</v>
      </c>
      <c r="H306" s="505">
        <f t="shared" si="15"/>
        <v>248938.47591311057</v>
      </c>
      <c r="I306" s="324">
        <f t="shared" si="16"/>
        <v>320395.97091311053</v>
      </c>
    </row>
    <row r="307" spans="1:9" s="35" customFormat="1" x14ac:dyDescent="0.25">
      <c r="A307" s="38">
        <f>Données!A301</f>
        <v>5934</v>
      </c>
      <c r="B307" s="555" t="str">
        <f>Données!B301</f>
        <v>Valeyres-sous-Ursins</v>
      </c>
      <c r="C307" s="31">
        <f>VPI!R301</f>
        <v>7018.2764935064943</v>
      </c>
      <c r="D307" s="8">
        <f>Données!N301</f>
        <v>16396.150000000001</v>
      </c>
      <c r="E307" s="238">
        <f>Données!O301+Données!P301+Données!R301</f>
        <v>2211.6</v>
      </c>
      <c r="F307" s="504">
        <f t="shared" si="14"/>
        <v>6024.6450000000004</v>
      </c>
      <c r="G307" s="504">
        <f>Ecrêtage!M301</f>
        <v>0</v>
      </c>
      <c r="H307" s="505">
        <f t="shared" si="15"/>
        <v>89109.376214753909</v>
      </c>
      <c r="I307" s="324">
        <f t="shared" si="16"/>
        <v>95134.021214753913</v>
      </c>
    </row>
    <row r="308" spans="1:9" s="35" customFormat="1" x14ac:dyDescent="0.25">
      <c r="A308" s="38">
        <f>Données!A302</f>
        <v>5935</v>
      </c>
      <c r="B308" s="555" t="str">
        <f>Données!B302</f>
        <v>Villars-Epeney</v>
      </c>
      <c r="C308" s="31">
        <f>VPI!R302</f>
        <v>3448.2056666666667</v>
      </c>
      <c r="D308" s="8">
        <f>Données!N302</f>
        <v>0</v>
      </c>
      <c r="E308" s="238">
        <f>Données!O302+Données!P302+Données!R302</f>
        <v>10120</v>
      </c>
      <c r="F308" s="504">
        <f t="shared" si="14"/>
        <v>5060</v>
      </c>
      <c r="G308" s="504">
        <f>Ecrêtage!M302</f>
        <v>0</v>
      </c>
      <c r="H308" s="505">
        <f t="shared" si="15"/>
        <v>43781.041727429627</v>
      </c>
      <c r="I308" s="324">
        <f t="shared" si="16"/>
        <v>48841.041727429627</v>
      </c>
    </row>
    <row r="309" spans="1:9" s="35" customFormat="1" x14ac:dyDescent="0.25">
      <c r="A309" s="38">
        <f>Données!A303</f>
        <v>5937</v>
      </c>
      <c r="B309" s="555" t="str">
        <f>Données!B303</f>
        <v>Vugelles-La Mothe</v>
      </c>
      <c r="C309" s="31">
        <f>VPI!R303</f>
        <v>3479.4948775510202</v>
      </c>
      <c r="D309" s="8">
        <f>Données!N303</f>
        <v>0</v>
      </c>
      <c r="E309" s="238">
        <f>Données!O303+Données!P303+Données!R303</f>
        <v>10230</v>
      </c>
      <c r="F309" s="504">
        <f t="shared" si="14"/>
        <v>5115</v>
      </c>
      <c r="G309" s="504">
        <f>Ecrêtage!M303</f>
        <v>0</v>
      </c>
      <c r="H309" s="505">
        <f t="shared" si="15"/>
        <v>44178.313346285955</v>
      </c>
      <c r="I309" s="324">
        <f t="shared" si="16"/>
        <v>49293.313346285955</v>
      </c>
    </row>
    <row r="310" spans="1:9" s="35" customFormat="1" x14ac:dyDescent="0.25">
      <c r="A310" s="38">
        <f>Données!A304</f>
        <v>5938</v>
      </c>
      <c r="B310" s="555" t="str">
        <f>Données!B304</f>
        <v>Yverdon-les-Bains</v>
      </c>
      <c r="C310" s="31">
        <f>VPI!R304</f>
        <v>762594.09693333332</v>
      </c>
      <c r="D310" s="8">
        <f>Données!N304</f>
        <v>4824763.5999999996</v>
      </c>
      <c r="E310" s="238">
        <f>Données!O304+Données!P304+Données!R304</f>
        <v>6273689.7999999998</v>
      </c>
      <c r="F310" s="504">
        <f t="shared" si="14"/>
        <v>4584273.9799999995</v>
      </c>
      <c r="G310" s="504">
        <f>Ecrêtage!M304</f>
        <v>0</v>
      </c>
      <c r="H310" s="505">
        <f t="shared" si="15"/>
        <v>9682474.6567987334</v>
      </c>
      <c r="I310" s="324">
        <f t="shared" si="16"/>
        <v>14266748.636798732</v>
      </c>
    </row>
    <row r="311" spans="1:9" s="35" customFormat="1" x14ac:dyDescent="0.25">
      <c r="A311" s="39">
        <f>Données!A305</f>
        <v>5939</v>
      </c>
      <c r="B311" s="556" t="str">
        <f>Données!B305</f>
        <v>Yvonand</v>
      </c>
      <c r="C311" s="31">
        <f>VPI!R305</f>
        <v>105325.16447552449</v>
      </c>
      <c r="D311" s="8">
        <f>Données!N305</f>
        <v>167773.55</v>
      </c>
      <c r="E311" s="238">
        <f>Données!O305+Données!P305+Données!R305</f>
        <v>606423.5</v>
      </c>
      <c r="F311" s="504">
        <f t="shared" si="14"/>
        <v>353543.815</v>
      </c>
      <c r="G311" s="504">
        <f>Ecrêtage!M305</f>
        <v>0</v>
      </c>
      <c r="H311" s="505">
        <f t="shared" si="15"/>
        <v>1337288.3947809746</v>
      </c>
      <c r="I311" s="324">
        <f t="shared" si="16"/>
        <v>1690832.2097809745</v>
      </c>
    </row>
    <row r="312" spans="1:9" x14ac:dyDescent="0.25">
      <c r="A312" s="25"/>
      <c r="B312" s="174">
        <f>COUNTA(B12:B311)</f>
        <v>300</v>
      </c>
      <c r="C312" s="9">
        <f>SUM(C12:C311)</f>
        <v>39490853.970660269</v>
      </c>
      <c r="D312" s="75">
        <f>SUM(D12:D311)</f>
        <v>82182598.849999994</v>
      </c>
      <c r="E312" s="9">
        <f>SUM(E12:E311)</f>
        <v>296296845.18000007</v>
      </c>
      <c r="F312" s="552">
        <f t="shared" ref="F312" si="17">D312*$D$11+E312*$E$11</f>
        <v>172803202.24500003</v>
      </c>
      <c r="G312" s="552">
        <f>SUM(G12:G311)</f>
        <v>121837380.39489655</v>
      </c>
      <c r="H312" s="553">
        <f>SUM(H12:H311)</f>
        <v>501405917.36010313</v>
      </c>
      <c r="I312" s="330">
        <f>SUM(I12:I311)</f>
        <v>796046499.99999976</v>
      </c>
    </row>
    <row r="313" spans="1:9" x14ac:dyDescent="0.25">
      <c r="C313" s="52"/>
      <c r="D313" s="52"/>
      <c r="E313" s="52"/>
      <c r="F313" s="52"/>
    </row>
    <row r="314" spans="1:9" x14ac:dyDescent="0.25">
      <c r="A314" s="53"/>
      <c r="B314" s="54"/>
      <c r="C314" s="561"/>
      <c r="D314" s="35"/>
      <c r="E314" s="55"/>
      <c r="F314" s="14"/>
      <c r="G314" s="14"/>
      <c r="H314" s="14"/>
      <c r="I314" s="14"/>
    </row>
    <row r="315" spans="1:9" x14ac:dyDescent="0.25">
      <c r="F315" s="53"/>
      <c r="G315" s="53"/>
      <c r="H315" s="53"/>
      <c r="I315" s="53"/>
    </row>
    <row r="316" spans="1:9" x14ac:dyDescent="0.25">
      <c r="F316" s="54"/>
      <c r="G316" s="53"/>
      <c r="H316" s="53"/>
      <c r="I316" s="53"/>
    </row>
    <row r="317" spans="1:9" x14ac:dyDescent="0.25">
      <c r="F317" s="54"/>
      <c r="G317" s="53"/>
      <c r="H317" s="53"/>
      <c r="I317" s="53"/>
    </row>
    <row r="318" spans="1:9" x14ac:dyDescent="0.25">
      <c r="F318" s="54"/>
      <c r="G318" s="53"/>
      <c r="H318" s="53"/>
      <c r="I318" s="53"/>
    </row>
    <row r="319" spans="1:9" x14ac:dyDescent="0.25">
      <c r="F319" s="57"/>
      <c r="G319" s="53"/>
      <c r="H319" s="53"/>
      <c r="I319" s="53"/>
    </row>
    <row r="320" spans="1:9" x14ac:dyDescent="0.25">
      <c r="D320" s="15"/>
      <c r="E320" s="53"/>
      <c r="F320" s="53"/>
      <c r="G320" s="53"/>
      <c r="H320" s="53"/>
      <c r="I320" s="53"/>
    </row>
    <row r="321" spans="3:9" x14ac:dyDescent="0.25">
      <c r="C321" s="45"/>
      <c r="E321" s="53"/>
      <c r="F321" s="53"/>
      <c r="G321" s="53"/>
      <c r="H321" s="53"/>
      <c r="I321" s="53"/>
    </row>
    <row r="322" spans="3:9" x14ac:dyDescent="0.25">
      <c r="E322" s="53"/>
      <c r="F322" s="53"/>
      <c r="G322" s="53"/>
      <c r="H322" s="53"/>
      <c r="I322" s="53"/>
    </row>
    <row r="323" spans="3:9" x14ac:dyDescent="0.25">
      <c r="E323" s="53"/>
      <c r="F323" s="53"/>
      <c r="G323" s="53"/>
      <c r="H323" s="53"/>
      <c r="I323" s="53"/>
    </row>
    <row r="324" spans="3:9" x14ac:dyDescent="0.25">
      <c r="E324" s="53"/>
      <c r="F324" s="53"/>
      <c r="G324" s="53"/>
      <c r="H324" s="53"/>
      <c r="I324" s="53"/>
    </row>
  </sheetData>
  <mergeCells count="11">
    <mergeCell ref="A4:C4"/>
    <mergeCell ref="A10:A11"/>
    <mergeCell ref="I10:I11"/>
    <mergeCell ref="G10:G11"/>
    <mergeCell ref="F10:F11"/>
    <mergeCell ref="C10:C11"/>
    <mergeCell ref="B10:B11"/>
    <mergeCell ref="A5:B5"/>
    <mergeCell ref="A6:B6"/>
    <mergeCell ref="A7:B7"/>
    <mergeCell ref="A8:B8"/>
  </mergeCells>
  <phoneticPr fontId="0" type="noConversion"/>
  <hyperlinks>
    <hyperlink ref="E1" location="VPI!A1" display="← Précédent" xr:uid="{BB8ECA03-C04E-4697-B3DD-619E0FB40F67}"/>
    <hyperlink ref="F1" location="'Table des matières'!A1" display="Table des             matières" xr:uid="{54975323-3646-4DA1-AA62-F5E15D2A8645}"/>
    <hyperlink ref="G1" location="Ecrêtage!A1" display="Suivant →" xr:uid="{6AA66BEC-28C4-4E9D-9CB2-8418588B3BDC}"/>
  </hyperlinks>
  <printOptions horizontalCentered="1"/>
  <pageMargins left="0" right="0" top="0" bottom="0" header="0.51181102362204722" footer="0.51181102362204722"/>
  <pageSetup paperSize="9" scale="73" orientation="portrait" horizontalDpi="4294967292" verticalDpi="4294967292" r:id="rId1"/>
  <headerFooter alignWithMargins="0"/>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Feuil7">
    <tabColor theme="5" tint="0.79998168889431442"/>
  </sheetPr>
  <dimension ref="A1:T312"/>
  <sheetViews>
    <sheetView workbookViewId="0">
      <pane ySplit="5" topLeftCell="A6" activePane="bottomLeft" state="frozen"/>
      <selection pane="bottomLeft" activeCell="A6" sqref="A6"/>
    </sheetView>
  </sheetViews>
  <sheetFormatPr baseColWidth="10" defaultColWidth="11" defaultRowHeight="15" x14ac:dyDescent="0.25"/>
  <cols>
    <col min="1" max="1" width="8.75" style="11" customWidth="1"/>
    <col min="2" max="2" width="23.625" style="11" customWidth="1"/>
    <col min="3" max="3" width="16.75" style="383" customWidth="1"/>
    <col min="4" max="4" width="11" style="11" customWidth="1"/>
    <col min="5" max="5" width="14.125" style="11" customWidth="1"/>
    <col min="6" max="6" width="10.875" style="45" customWidth="1"/>
    <col min="7" max="10" width="7" style="11" bestFit="1" customWidth="1"/>
    <col min="11" max="11" width="6.5" style="11" customWidth="1"/>
    <col min="12" max="12" width="9.625" style="11" customWidth="1"/>
    <col min="13" max="13" width="10.75" style="10" bestFit="1" customWidth="1"/>
    <col min="14" max="14" width="3.75" style="206" customWidth="1"/>
    <col min="15" max="15" width="12.625" style="206" customWidth="1"/>
    <col min="16" max="17" width="11" style="206" customWidth="1"/>
    <col min="18" max="18" width="11.25" style="206" customWidth="1"/>
    <col min="19" max="19" width="11" style="11"/>
    <col min="20" max="20" width="5.875" style="11" customWidth="1"/>
    <col min="21" max="16384" width="11" style="11"/>
  </cols>
  <sheetData>
    <row r="1" spans="1:20" s="283" customFormat="1" ht="29.1" customHeight="1" x14ac:dyDescent="0.4">
      <c r="A1" s="281" t="s">
        <v>544</v>
      </c>
      <c r="B1" s="282"/>
      <c r="C1" s="411" t="s">
        <v>406</v>
      </c>
      <c r="D1" s="314" t="s">
        <v>486</v>
      </c>
      <c r="E1" s="503" t="s">
        <v>407</v>
      </c>
      <c r="N1" s="284"/>
      <c r="O1" s="381"/>
      <c r="P1" s="379"/>
      <c r="Q1" s="379"/>
      <c r="R1" s="379"/>
      <c r="S1" s="379"/>
    </row>
    <row r="2" spans="1:20" s="219" customFormat="1" ht="15.75" customHeight="1" x14ac:dyDescent="0.25">
      <c r="A2" s="358" t="str">
        <f>Paramètres!B4</f>
        <v>Acomptes 2023</v>
      </c>
      <c r="B2" s="32"/>
      <c r="C2" s="382"/>
      <c r="D2" s="33"/>
      <c r="E2" s="33"/>
      <c r="F2" s="44"/>
      <c r="M2" s="10"/>
      <c r="N2" s="239"/>
      <c r="O2" s="379"/>
      <c r="P2" s="379"/>
      <c r="Q2" s="379"/>
      <c r="R2" s="379"/>
      <c r="S2" s="379"/>
    </row>
    <row r="3" spans="1:20" ht="15" customHeight="1" x14ac:dyDescent="0.25">
      <c r="G3" s="328">
        <f>$E$306*G5</f>
        <v>47.932832334190181</v>
      </c>
      <c r="H3" s="328">
        <f>$E$306*H5</f>
        <v>57.519398801028217</v>
      </c>
      <c r="I3" s="328">
        <f>$E$306*I5</f>
        <v>71.899248501285271</v>
      </c>
      <c r="J3" s="328">
        <f>$E$306*J5</f>
        <v>95.865664668380361</v>
      </c>
      <c r="K3" s="328">
        <f>$E$306*K5</f>
        <v>143.79849700257054</v>
      </c>
      <c r="O3" s="379"/>
      <c r="P3" s="379"/>
      <c r="Q3" s="379"/>
      <c r="R3" s="379"/>
      <c r="S3" s="379"/>
      <c r="T3" s="219"/>
    </row>
    <row r="4" spans="1:20" ht="37.5" customHeight="1" x14ac:dyDescent="0.25">
      <c r="A4" s="640" t="s">
        <v>44</v>
      </c>
      <c r="B4" s="640" t="s">
        <v>84</v>
      </c>
      <c r="C4" s="658" t="s">
        <v>425</v>
      </c>
      <c r="D4" s="659"/>
      <c r="E4" s="660"/>
      <c r="F4" s="656" t="s">
        <v>248</v>
      </c>
      <c r="G4" s="325">
        <f>Paramètres!B24</f>
        <v>0.2</v>
      </c>
      <c r="H4" s="325">
        <f>Paramètres!C24</f>
        <v>0.3</v>
      </c>
      <c r="I4" s="325">
        <f>Paramètres!D24</f>
        <v>0.4</v>
      </c>
      <c r="J4" s="325">
        <f>Paramètres!E24</f>
        <v>0.5</v>
      </c>
      <c r="K4" s="325">
        <f>Paramètres!F24</f>
        <v>0.6</v>
      </c>
      <c r="L4" s="656" t="s">
        <v>251</v>
      </c>
      <c r="M4" s="656" t="s">
        <v>570</v>
      </c>
      <c r="O4" s="379"/>
      <c r="P4" s="379"/>
      <c r="Q4" s="379"/>
      <c r="R4" s="379"/>
      <c r="S4" s="379"/>
      <c r="T4" s="379"/>
    </row>
    <row r="5" spans="1:20" ht="37.5" customHeight="1" x14ac:dyDescent="0.25">
      <c r="A5" s="646"/>
      <c r="B5" s="646"/>
      <c r="C5" s="326" t="s">
        <v>414</v>
      </c>
      <c r="D5" s="326" t="s">
        <v>257</v>
      </c>
      <c r="E5" s="326" t="s">
        <v>488</v>
      </c>
      <c r="F5" s="656"/>
      <c r="G5" s="327">
        <f>Paramètres!B25</f>
        <v>1</v>
      </c>
      <c r="H5" s="327">
        <f>Paramètres!C25</f>
        <v>1.2</v>
      </c>
      <c r="I5" s="327">
        <f>Paramètres!D25</f>
        <v>1.5</v>
      </c>
      <c r="J5" s="327">
        <f>Paramètres!E25</f>
        <v>2</v>
      </c>
      <c r="K5" s="327">
        <f>Paramètres!F25</f>
        <v>3</v>
      </c>
      <c r="L5" s="657"/>
      <c r="M5" s="656"/>
      <c r="O5" s="379"/>
      <c r="P5" s="379"/>
      <c r="Q5" s="379"/>
      <c r="R5" s="379"/>
      <c r="S5" s="379"/>
      <c r="T5" s="379"/>
    </row>
    <row r="6" spans="1:20" x14ac:dyDescent="0.25">
      <c r="A6" s="68">
        <f>Données!A6</f>
        <v>5401</v>
      </c>
      <c r="B6" s="173" t="str">
        <f>Données!B6</f>
        <v>Aigle</v>
      </c>
      <c r="C6" s="384">
        <f>VPI!R6</f>
        <v>280916.50972222222</v>
      </c>
      <c r="D6" s="27">
        <f>Données!Z6</f>
        <v>10828</v>
      </c>
      <c r="E6" s="117">
        <f>C6/D6</f>
        <v>25.943526941468619</v>
      </c>
      <c r="F6" s="205">
        <f>E6/$E$306</f>
        <v>0.54124752655109154</v>
      </c>
      <c r="G6" s="507">
        <f t="shared" ref="G6" si="0">IF(E6-$G$3&lt;0,0,E6-$G$3)</f>
        <v>0</v>
      </c>
      <c r="H6" s="507">
        <f t="shared" ref="H6" si="1">IF(E6-$H$3&lt;0,0,E6-$H$3)</f>
        <v>0</v>
      </c>
      <c r="I6" s="507">
        <f t="shared" ref="I6" si="2">IF(E6-$I$3&lt;0,0,E6-$I$3)</f>
        <v>0</v>
      </c>
      <c r="J6" s="507">
        <f t="shared" ref="J6" si="3">IF(E6-$J$3&lt;0,0,E6-$J$3)</f>
        <v>0</v>
      </c>
      <c r="K6" s="507">
        <f t="shared" ref="K6" si="4">IF(E6-$K$3&lt;0,0,E6-$K$3)</f>
        <v>0</v>
      </c>
      <c r="L6" s="508">
        <f>(G6-H6)*$G$4+(H6-I6)*$H$4+(I6-J6)*$I$4+(J6-K6)*$J$4+(K6*$K$4)</f>
        <v>0</v>
      </c>
      <c r="M6" s="329">
        <f>L6*D6*VPI!Q6</f>
        <v>0</v>
      </c>
    </row>
    <row r="7" spans="1:20" x14ac:dyDescent="0.25">
      <c r="A7" s="172">
        <f>Données!A7</f>
        <v>5402</v>
      </c>
      <c r="B7" s="27" t="str">
        <f>Données!B7</f>
        <v>Bex</v>
      </c>
      <c r="C7" s="384">
        <f>VPI!R7</f>
        <v>192666.65084507043</v>
      </c>
      <c r="D7" s="27">
        <f>Données!Z7</f>
        <v>8063</v>
      </c>
      <c r="E7" s="117">
        <f t="shared" ref="E7:E70" si="5">C7/D7</f>
        <v>23.895156994303662</v>
      </c>
      <c r="F7" s="205">
        <f t="shared" ref="F7:F70" si="6">E7/$E$306</f>
        <v>0.49851335359666199</v>
      </c>
      <c r="G7" s="507">
        <f t="shared" ref="G7:G70" si="7">IF(E7-$G$3&lt;0,0,E7-$G$3)</f>
        <v>0</v>
      </c>
      <c r="H7" s="507">
        <f t="shared" ref="H7:H70" si="8">IF(E7-$H$3&lt;0,0,E7-$H$3)</f>
        <v>0</v>
      </c>
      <c r="I7" s="507">
        <f t="shared" ref="I7:I70" si="9">IF(E7-$I$3&lt;0,0,E7-$I$3)</f>
        <v>0</v>
      </c>
      <c r="J7" s="507">
        <f t="shared" ref="J7:J70" si="10">IF(E7-$J$3&lt;0,0,E7-$J$3)</f>
        <v>0</v>
      </c>
      <c r="K7" s="507">
        <f t="shared" ref="K7:K70" si="11">IF(E7-$K$3&lt;0,0,E7-$K$3)</f>
        <v>0</v>
      </c>
      <c r="L7" s="509">
        <f t="shared" ref="L7:L70" si="12">(G7-H7)*$G$4+(H7-I7)*$H$4+(I7-J7)*$I$4+(J7-K7)*$J$4+(K7*$K$4)</f>
        <v>0</v>
      </c>
      <c r="M7" s="329">
        <f>L7*D7*VPI!Q7</f>
        <v>0</v>
      </c>
    </row>
    <row r="8" spans="1:20" x14ac:dyDescent="0.25">
      <c r="A8" s="172">
        <f>Données!A8</f>
        <v>5403</v>
      </c>
      <c r="B8" s="27" t="str">
        <f>Données!B8</f>
        <v>Chessel</v>
      </c>
      <c r="C8" s="384">
        <f>VPI!R8</f>
        <v>12085.365135135135</v>
      </c>
      <c r="D8" s="27">
        <f>Données!Z8</f>
        <v>497</v>
      </c>
      <c r="E8" s="117">
        <f t="shared" si="5"/>
        <v>24.316630050573711</v>
      </c>
      <c r="F8" s="205">
        <f t="shared" si="6"/>
        <v>0.50730634653585482</v>
      </c>
      <c r="G8" s="507">
        <f t="shared" si="7"/>
        <v>0</v>
      </c>
      <c r="H8" s="507">
        <f t="shared" si="8"/>
        <v>0</v>
      </c>
      <c r="I8" s="507">
        <f t="shared" si="9"/>
        <v>0</v>
      </c>
      <c r="J8" s="507">
        <f t="shared" si="10"/>
        <v>0</v>
      </c>
      <c r="K8" s="507">
        <f t="shared" si="11"/>
        <v>0</v>
      </c>
      <c r="L8" s="509">
        <f t="shared" si="12"/>
        <v>0</v>
      </c>
      <c r="M8" s="329">
        <f>L8*D8*VPI!Q8</f>
        <v>0</v>
      </c>
    </row>
    <row r="9" spans="1:20" x14ac:dyDescent="0.25">
      <c r="A9" s="172">
        <f>Données!A9</f>
        <v>5404</v>
      </c>
      <c r="B9" s="27" t="str">
        <f>Données!B9</f>
        <v>Corbeyrier</v>
      </c>
      <c r="C9" s="384">
        <f>VPI!R9</f>
        <v>11580.799189189189</v>
      </c>
      <c r="D9" s="27">
        <f>Données!Z9</f>
        <v>439</v>
      </c>
      <c r="E9" s="117">
        <f t="shared" si="5"/>
        <v>26.379952594963985</v>
      </c>
      <c r="F9" s="205">
        <f t="shared" si="6"/>
        <v>0.55035246845088548</v>
      </c>
      <c r="G9" s="507">
        <f t="shared" si="7"/>
        <v>0</v>
      </c>
      <c r="H9" s="507">
        <f t="shared" si="8"/>
        <v>0</v>
      </c>
      <c r="I9" s="507">
        <f t="shared" si="9"/>
        <v>0</v>
      </c>
      <c r="J9" s="507">
        <f t="shared" si="10"/>
        <v>0</v>
      </c>
      <c r="K9" s="507">
        <f t="shared" si="11"/>
        <v>0</v>
      </c>
      <c r="L9" s="509">
        <f t="shared" si="12"/>
        <v>0</v>
      </c>
      <c r="M9" s="329">
        <f>L9*D9*VPI!Q9</f>
        <v>0</v>
      </c>
    </row>
    <row r="10" spans="1:20" x14ac:dyDescent="0.25">
      <c r="A10" s="172">
        <f>Données!A10</f>
        <v>5405</v>
      </c>
      <c r="B10" s="27" t="str">
        <f>Données!B10</f>
        <v>Gryon</v>
      </c>
      <c r="C10" s="384">
        <f>VPI!R10</f>
        <v>78106.688299319736</v>
      </c>
      <c r="D10" s="27">
        <f>Données!Z10</f>
        <v>1382</v>
      </c>
      <c r="E10" s="117">
        <f t="shared" si="5"/>
        <v>56.517140592850751</v>
      </c>
      <c r="F10" s="205">
        <f t="shared" si="6"/>
        <v>1.1790903612540633</v>
      </c>
      <c r="G10" s="507">
        <f t="shared" si="7"/>
        <v>8.5843082586605703</v>
      </c>
      <c r="H10" s="507">
        <f t="shared" si="8"/>
        <v>0</v>
      </c>
      <c r="I10" s="507">
        <f t="shared" si="9"/>
        <v>0</v>
      </c>
      <c r="J10" s="507">
        <f t="shared" si="10"/>
        <v>0</v>
      </c>
      <c r="K10" s="507">
        <f t="shared" si="11"/>
        <v>0</v>
      </c>
      <c r="L10" s="509">
        <f t="shared" si="12"/>
        <v>1.7168616517321142</v>
      </c>
      <c r="M10" s="329">
        <f>L10*D10*VPI!Q10</f>
        <v>174393.65599799296</v>
      </c>
    </row>
    <row r="11" spans="1:20" x14ac:dyDescent="0.25">
      <c r="A11" s="172">
        <f>Données!A11</f>
        <v>5406</v>
      </c>
      <c r="B11" s="27" t="str">
        <f>Données!B11</f>
        <v>Lavey-Morcles</v>
      </c>
      <c r="C11" s="384">
        <f>VPI!R11</f>
        <v>21511.827778375475</v>
      </c>
      <c r="D11" s="27">
        <f>Données!Z11</f>
        <v>966</v>
      </c>
      <c r="E11" s="117">
        <f t="shared" si="5"/>
        <v>22.268972855461154</v>
      </c>
      <c r="F11" s="205">
        <f t="shared" si="6"/>
        <v>0.46458704339023255</v>
      </c>
      <c r="G11" s="507">
        <f t="shared" si="7"/>
        <v>0</v>
      </c>
      <c r="H11" s="507">
        <f t="shared" si="8"/>
        <v>0</v>
      </c>
      <c r="I11" s="507">
        <f t="shared" si="9"/>
        <v>0</v>
      </c>
      <c r="J11" s="507">
        <f t="shared" si="10"/>
        <v>0</v>
      </c>
      <c r="K11" s="507">
        <f t="shared" si="11"/>
        <v>0</v>
      </c>
      <c r="L11" s="509">
        <f t="shared" si="12"/>
        <v>0</v>
      </c>
      <c r="M11" s="329">
        <f>L11*D11*VPI!Q11</f>
        <v>0</v>
      </c>
    </row>
    <row r="12" spans="1:20" x14ac:dyDescent="0.25">
      <c r="A12" s="172">
        <f>Données!A12</f>
        <v>5407</v>
      </c>
      <c r="B12" s="27" t="str">
        <f>Données!B12</f>
        <v>Leysin</v>
      </c>
      <c r="C12" s="384">
        <f>VPI!R12</f>
        <v>90677.609059829061</v>
      </c>
      <c r="D12" s="27">
        <f>Données!Z12</f>
        <v>3637</v>
      </c>
      <c r="E12" s="117">
        <f t="shared" si="5"/>
        <v>24.931979395058857</v>
      </c>
      <c r="F12" s="205">
        <f t="shared" si="6"/>
        <v>0.52014408873716889</v>
      </c>
      <c r="G12" s="507">
        <f t="shared" si="7"/>
        <v>0</v>
      </c>
      <c r="H12" s="507">
        <f t="shared" si="8"/>
        <v>0</v>
      </c>
      <c r="I12" s="507">
        <f t="shared" si="9"/>
        <v>0</v>
      </c>
      <c r="J12" s="507">
        <f t="shared" si="10"/>
        <v>0</v>
      </c>
      <c r="K12" s="507">
        <f t="shared" si="11"/>
        <v>0</v>
      </c>
      <c r="L12" s="509">
        <f t="shared" si="12"/>
        <v>0</v>
      </c>
      <c r="M12" s="329">
        <f>L12*D12*VPI!Q12</f>
        <v>0</v>
      </c>
    </row>
    <row r="13" spans="1:20" x14ac:dyDescent="0.25">
      <c r="A13" s="172">
        <f>Données!A13</f>
        <v>5408</v>
      </c>
      <c r="B13" s="27" t="str">
        <f>Données!B13</f>
        <v>Noville</v>
      </c>
      <c r="C13" s="384">
        <f>VPI!R13</f>
        <v>41378.888492569007</v>
      </c>
      <c r="D13" s="27">
        <f>Données!Z13</f>
        <v>1169</v>
      </c>
      <c r="E13" s="117">
        <f t="shared" si="5"/>
        <v>35.39682505780069</v>
      </c>
      <c r="F13" s="205">
        <f t="shared" si="6"/>
        <v>0.73846721201476684</v>
      </c>
      <c r="G13" s="507">
        <f t="shared" si="7"/>
        <v>0</v>
      </c>
      <c r="H13" s="507">
        <f t="shared" si="8"/>
        <v>0</v>
      </c>
      <c r="I13" s="507">
        <f t="shared" si="9"/>
        <v>0</v>
      </c>
      <c r="J13" s="507">
        <f t="shared" si="10"/>
        <v>0</v>
      </c>
      <c r="K13" s="507">
        <f t="shared" si="11"/>
        <v>0</v>
      </c>
      <c r="L13" s="509">
        <f t="shared" si="12"/>
        <v>0</v>
      </c>
      <c r="M13" s="329">
        <f>L13*D13*VPI!Q13</f>
        <v>0</v>
      </c>
    </row>
    <row r="14" spans="1:20" x14ac:dyDescent="0.25">
      <c r="A14" s="172">
        <f>Données!A14</f>
        <v>5409</v>
      </c>
      <c r="B14" s="27" t="str">
        <f>Données!B14</f>
        <v>Ollon</v>
      </c>
      <c r="C14" s="384">
        <f>VPI!R14</f>
        <v>428223.81707013579</v>
      </c>
      <c r="D14" s="27">
        <f>Données!Z14</f>
        <v>7904</v>
      </c>
      <c r="E14" s="117">
        <f t="shared" si="5"/>
        <v>54.178114507861309</v>
      </c>
      <c r="F14" s="205">
        <f t="shared" si="6"/>
        <v>1.1302923668296649</v>
      </c>
      <c r="G14" s="507">
        <f t="shared" si="7"/>
        <v>6.2452821736711286</v>
      </c>
      <c r="H14" s="507">
        <f t="shared" si="8"/>
        <v>0</v>
      </c>
      <c r="I14" s="507">
        <f t="shared" si="9"/>
        <v>0</v>
      </c>
      <c r="J14" s="507">
        <f t="shared" si="10"/>
        <v>0</v>
      </c>
      <c r="K14" s="507">
        <f t="shared" si="11"/>
        <v>0</v>
      </c>
      <c r="L14" s="509">
        <f t="shared" si="12"/>
        <v>1.2490564347342259</v>
      </c>
      <c r="M14" s="329">
        <f>L14*D14*VPI!Q14</f>
        <v>671332.86008947389</v>
      </c>
    </row>
    <row r="15" spans="1:20" x14ac:dyDescent="0.25">
      <c r="A15" s="172">
        <f>Données!A15</f>
        <v>5410</v>
      </c>
      <c r="B15" s="27" t="str">
        <f>Données!B15</f>
        <v>Ormont-Dessous</v>
      </c>
      <c r="C15" s="384">
        <f>VPI!R15</f>
        <v>38612.897532467534</v>
      </c>
      <c r="D15" s="27">
        <f>Données!Z15</f>
        <v>1162</v>
      </c>
      <c r="E15" s="117">
        <f t="shared" si="5"/>
        <v>33.229688065806826</v>
      </c>
      <c r="F15" s="205">
        <f t="shared" si="6"/>
        <v>0.69325525840258562</v>
      </c>
      <c r="G15" s="507">
        <f t="shared" si="7"/>
        <v>0</v>
      </c>
      <c r="H15" s="507">
        <f t="shared" si="8"/>
        <v>0</v>
      </c>
      <c r="I15" s="507">
        <f t="shared" si="9"/>
        <v>0</v>
      </c>
      <c r="J15" s="507">
        <f t="shared" si="10"/>
        <v>0</v>
      </c>
      <c r="K15" s="507">
        <f t="shared" si="11"/>
        <v>0</v>
      </c>
      <c r="L15" s="509">
        <f t="shared" si="12"/>
        <v>0</v>
      </c>
      <c r="M15" s="329">
        <f>L15*D15*VPI!Q15</f>
        <v>0</v>
      </c>
    </row>
    <row r="16" spans="1:20" x14ac:dyDescent="0.25">
      <c r="A16" s="172">
        <f>Données!A16</f>
        <v>5411</v>
      </c>
      <c r="B16" s="27" t="str">
        <f>Données!B16</f>
        <v>Ormont-Dessus</v>
      </c>
      <c r="C16" s="384">
        <f>VPI!R16</f>
        <v>77406.69241228071</v>
      </c>
      <c r="D16" s="27">
        <f>Données!Z16</f>
        <v>1451</v>
      </c>
      <c r="E16" s="117">
        <f t="shared" si="5"/>
        <v>53.347134674211375</v>
      </c>
      <c r="F16" s="205">
        <f t="shared" si="6"/>
        <v>1.1129560277655282</v>
      </c>
      <c r="G16" s="507">
        <f t="shared" si="7"/>
        <v>5.4143023400211945</v>
      </c>
      <c r="H16" s="507">
        <f t="shared" si="8"/>
        <v>0</v>
      </c>
      <c r="I16" s="507">
        <f t="shared" si="9"/>
        <v>0</v>
      </c>
      <c r="J16" s="507">
        <f t="shared" si="10"/>
        <v>0</v>
      </c>
      <c r="K16" s="507">
        <f t="shared" si="11"/>
        <v>0</v>
      </c>
      <c r="L16" s="509">
        <f t="shared" si="12"/>
        <v>1.0828604680042389</v>
      </c>
      <c r="M16" s="329">
        <f>L16*D16*VPI!Q16</f>
        <v>119413.52096963544</v>
      </c>
    </row>
    <row r="17" spans="1:13" x14ac:dyDescent="0.25">
      <c r="A17" s="172">
        <f>Données!A17</f>
        <v>5412</v>
      </c>
      <c r="B17" s="27" t="str">
        <f>Données!B17</f>
        <v>Rennaz</v>
      </c>
      <c r="C17" s="384">
        <f>VPI!R17</f>
        <v>28866.898550724636</v>
      </c>
      <c r="D17" s="27">
        <f>Données!Z17</f>
        <v>883</v>
      </c>
      <c r="E17" s="117">
        <f t="shared" si="5"/>
        <v>32.691844338306495</v>
      </c>
      <c r="F17" s="205">
        <f t="shared" si="6"/>
        <v>0.68203447921410676</v>
      </c>
      <c r="G17" s="507">
        <f t="shared" si="7"/>
        <v>0</v>
      </c>
      <c r="H17" s="507">
        <f t="shared" si="8"/>
        <v>0</v>
      </c>
      <c r="I17" s="507">
        <f t="shared" si="9"/>
        <v>0</v>
      </c>
      <c r="J17" s="507">
        <f t="shared" si="10"/>
        <v>0</v>
      </c>
      <c r="K17" s="507">
        <f t="shared" si="11"/>
        <v>0</v>
      </c>
      <c r="L17" s="509">
        <f t="shared" si="12"/>
        <v>0</v>
      </c>
      <c r="M17" s="329">
        <f>L17*D17*VPI!Q17</f>
        <v>0</v>
      </c>
    </row>
    <row r="18" spans="1:13" x14ac:dyDescent="0.25">
      <c r="A18" s="172">
        <f>Données!A18</f>
        <v>5413</v>
      </c>
      <c r="B18" s="27" t="str">
        <f>Données!B18</f>
        <v>Roche</v>
      </c>
      <c r="C18" s="384">
        <f>VPI!R18</f>
        <v>43141.688749999994</v>
      </c>
      <c r="D18" s="27">
        <f>Données!Z18</f>
        <v>1874</v>
      </c>
      <c r="E18" s="117">
        <f t="shared" si="5"/>
        <v>23.021178628601916</v>
      </c>
      <c r="F18" s="205">
        <f t="shared" si="6"/>
        <v>0.4802799565044909</v>
      </c>
      <c r="G18" s="507">
        <f t="shared" si="7"/>
        <v>0</v>
      </c>
      <c r="H18" s="507">
        <f t="shared" si="8"/>
        <v>0</v>
      </c>
      <c r="I18" s="507">
        <f t="shared" si="9"/>
        <v>0</v>
      </c>
      <c r="J18" s="507">
        <f t="shared" si="10"/>
        <v>0</v>
      </c>
      <c r="K18" s="507">
        <f t="shared" si="11"/>
        <v>0</v>
      </c>
      <c r="L18" s="509">
        <f t="shared" si="12"/>
        <v>0</v>
      </c>
      <c r="M18" s="329">
        <f>L18*D18*VPI!Q18</f>
        <v>0</v>
      </c>
    </row>
    <row r="19" spans="1:13" x14ac:dyDescent="0.25">
      <c r="A19" s="172">
        <f>Données!A19</f>
        <v>5414</v>
      </c>
      <c r="B19" s="27" t="str">
        <f>Données!B19</f>
        <v>Villeneuve</v>
      </c>
      <c r="C19" s="384">
        <f>VPI!R19</f>
        <v>185623.95377777779</v>
      </c>
      <c r="D19" s="27">
        <f>Données!Z19</f>
        <v>5921</v>
      </c>
      <c r="E19" s="117">
        <f t="shared" si="5"/>
        <v>31.350101972264447</v>
      </c>
      <c r="F19" s="205">
        <f t="shared" si="6"/>
        <v>0.65404234312068021</v>
      </c>
      <c r="G19" s="507">
        <f t="shared" si="7"/>
        <v>0</v>
      </c>
      <c r="H19" s="507">
        <f t="shared" si="8"/>
        <v>0</v>
      </c>
      <c r="I19" s="507">
        <f t="shared" si="9"/>
        <v>0</v>
      </c>
      <c r="J19" s="507">
        <f t="shared" si="10"/>
        <v>0</v>
      </c>
      <c r="K19" s="507">
        <f t="shared" si="11"/>
        <v>0</v>
      </c>
      <c r="L19" s="509">
        <f t="shared" si="12"/>
        <v>0</v>
      </c>
      <c r="M19" s="329">
        <f>L19*D19*VPI!Q19</f>
        <v>0</v>
      </c>
    </row>
    <row r="20" spans="1:13" x14ac:dyDescent="0.25">
      <c r="A20" s="172">
        <f>Données!A20</f>
        <v>5415</v>
      </c>
      <c r="B20" s="27" t="str">
        <f>Données!B20</f>
        <v>Yvorne</v>
      </c>
      <c r="C20" s="384">
        <f>VPI!R20</f>
        <v>35904.669044289032</v>
      </c>
      <c r="D20" s="27">
        <f>Données!Z20</f>
        <v>1038</v>
      </c>
      <c r="E20" s="117">
        <f t="shared" si="5"/>
        <v>34.590239927060722</v>
      </c>
      <c r="F20" s="205">
        <f t="shared" si="6"/>
        <v>0.72163980809428874</v>
      </c>
      <c r="G20" s="507">
        <f t="shared" si="7"/>
        <v>0</v>
      </c>
      <c r="H20" s="507">
        <f t="shared" si="8"/>
        <v>0</v>
      </c>
      <c r="I20" s="507">
        <f t="shared" si="9"/>
        <v>0</v>
      </c>
      <c r="J20" s="507">
        <f t="shared" si="10"/>
        <v>0</v>
      </c>
      <c r="K20" s="507">
        <f t="shared" si="11"/>
        <v>0</v>
      </c>
      <c r="L20" s="509">
        <f t="shared" si="12"/>
        <v>0</v>
      </c>
      <c r="M20" s="329">
        <f>L20*D20*VPI!Q20</f>
        <v>0</v>
      </c>
    </row>
    <row r="21" spans="1:13" x14ac:dyDescent="0.25">
      <c r="A21" s="172">
        <f>Données!A21</f>
        <v>5422</v>
      </c>
      <c r="B21" s="27" t="str">
        <f>Données!B21</f>
        <v>Aubonne</v>
      </c>
      <c r="C21" s="384">
        <f>VPI!R21</f>
        <v>307027.61800000002</v>
      </c>
      <c r="D21" s="27">
        <f>Données!Z21</f>
        <v>3781</v>
      </c>
      <c r="E21" s="117">
        <f t="shared" si="5"/>
        <v>81.202755355725998</v>
      </c>
      <c r="F21" s="205">
        <f t="shared" si="6"/>
        <v>1.6940946612454737</v>
      </c>
      <c r="G21" s="507">
        <f t="shared" si="7"/>
        <v>33.269923021535817</v>
      </c>
      <c r="H21" s="507">
        <f t="shared" si="8"/>
        <v>23.683356554697781</v>
      </c>
      <c r="I21" s="507">
        <f t="shared" si="9"/>
        <v>9.3035068544407267</v>
      </c>
      <c r="J21" s="507">
        <f t="shared" si="10"/>
        <v>0</v>
      </c>
      <c r="K21" s="507">
        <f t="shared" si="11"/>
        <v>0</v>
      </c>
      <c r="L21" s="509">
        <f t="shared" si="12"/>
        <v>9.9526709452210138</v>
      </c>
      <c r="M21" s="329">
        <f>L21*D21*VPI!Q21</f>
        <v>2634173.4190716455</v>
      </c>
    </row>
    <row r="22" spans="1:13" x14ac:dyDescent="0.25">
      <c r="A22" s="172">
        <f>Données!A22</f>
        <v>5423</v>
      </c>
      <c r="B22" s="27" t="str">
        <f>Données!B22</f>
        <v>Ballens</v>
      </c>
      <c r="C22" s="384">
        <f>VPI!R22</f>
        <v>16194.081232876708</v>
      </c>
      <c r="D22" s="27">
        <f>Données!Z22</f>
        <v>567</v>
      </c>
      <c r="E22" s="117">
        <f t="shared" si="5"/>
        <v>28.560989828706717</v>
      </c>
      <c r="F22" s="205">
        <f t="shared" si="6"/>
        <v>0.59585441622931901</v>
      </c>
      <c r="G22" s="507">
        <f t="shared" si="7"/>
        <v>0</v>
      </c>
      <c r="H22" s="507">
        <f t="shared" si="8"/>
        <v>0</v>
      </c>
      <c r="I22" s="507">
        <f t="shared" si="9"/>
        <v>0</v>
      </c>
      <c r="J22" s="507">
        <f t="shared" si="10"/>
        <v>0</v>
      </c>
      <c r="K22" s="507">
        <f t="shared" si="11"/>
        <v>0</v>
      </c>
      <c r="L22" s="509">
        <f t="shared" si="12"/>
        <v>0</v>
      </c>
      <c r="M22" s="329">
        <f>L22*D22*VPI!Q22</f>
        <v>0</v>
      </c>
    </row>
    <row r="23" spans="1:13" x14ac:dyDescent="0.25">
      <c r="A23" s="172">
        <f>Données!A23</f>
        <v>5424</v>
      </c>
      <c r="B23" s="27" t="str">
        <f>Données!B23</f>
        <v>Berolle</v>
      </c>
      <c r="C23" s="384">
        <f>VPI!R23</f>
        <v>8301.7307284768212</v>
      </c>
      <c r="D23" s="27">
        <f>Données!Z23</f>
        <v>308</v>
      </c>
      <c r="E23" s="117">
        <f t="shared" si="5"/>
        <v>26.953671196353316</v>
      </c>
      <c r="F23" s="205">
        <f t="shared" si="6"/>
        <v>0.56232168815794004</v>
      </c>
      <c r="G23" s="507">
        <f t="shared" si="7"/>
        <v>0</v>
      </c>
      <c r="H23" s="507">
        <f t="shared" si="8"/>
        <v>0</v>
      </c>
      <c r="I23" s="507">
        <f t="shared" si="9"/>
        <v>0</v>
      </c>
      <c r="J23" s="507">
        <f t="shared" si="10"/>
        <v>0</v>
      </c>
      <c r="K23" s="507">
        <f t="shared" si="11"/>
        <v>0</v>
      </c>
      <c r="L23" s="509">
        <f t="shared" si="12"/>
        <v>0</v>
      </c>
      <c r="M23" s="329">
        <f>L23*D23*VPI!Q23</f>
        <v>0</v>
      </c>
    </row>
    <row r="24" spans="1:13" x14ac:dyDescent="0.25">
      <c r="A24" s="172">
        <f>Données!A24</f>
        <v>5425</v>
      </c>
      <c r="B24" s="27" t="str">
        <f>Données!B24</f>
        <v>Bière</v>
      </c>
      <c r="C24" s="384">
        <f>VPI!R24</f>
        <v>44215.914072963518</v>
      </c>
      <c r="D24" s="27">
        <f>Données!Z24</f>
        <v>1634</v>
      </c>
      <c r="E24" s="117">
        <f t="shared" si="5"/>
        <v>27.059922933270208</v>
      </c>
      <c r="F24" s="205">
        <f t="shared" si="6"/>
        <v>0.56453836786875078</v>
      </c>
      <c r="G24" s="507">
        <f t="shared" si="7"/>
        <v>0</v>
      </c>
      <c r="H24" s="507">
        <f t="shared" si="8"/>
        <v>0</v>
      </c>
      <c r="I24" s="507">
        <f t="shared" si="9"/>
        <v>0</v>
      </c>
      <c r="J24" s="507">
        <f t="shared" si="10"/>
        <v>0</v>
      </c>
      <c r="K24" s="507">
        <f t="shared" si="11"/>
        <v>0</v>
      </c>
      <c r="L24" s="509">
        <f t="shared" si="12"/>
        <v>0</v>
      </c>
      <c r="M24" s="329">
        <f>L24*D24*VPI!Q24</f>
        <v>0</v>
      </c>
    </row>
    <row r="25" spans="1:13" x14ac:dyDescent="0.25">
      <c r="A25" s="172">
        <f>Données!A25</f>
        <v>5426</v>
      </c>
      <c r="B25" s="27" t="str">
        <f>Données!B25</f>
        <v>Bougy-Villars</v>
      </c>
      <c r="C25" s="384">
        <f>VPI!R25</f>
        <v>53043.343074935401</v>
      </c>
      <c r="D25" s="27">
        <f>Données!Z25</f>
        <v>497</v>
      </c>
      <c r="E25" s="117">
        <f t="shared" si="5"/>
        <v>106.72704844051388</v>
      </c>
      <c r="F25" s="205">
        <f t="shared" si="6"/>
        <v>2.2265959102188537</v>
      </c>
      <c r="G25" s="507">
        <f t="shared" si="7"/>
        <v>58.794216106323702</v>
      </c>
      <c r="H25" s="507">
        <f t="shared" si="8"/>
        <v>49.207649639485666</v>
      </c>
      <c r="I25" s="507">
        <f t="shared" si="9"/>
        <v>34.827799939228612</v>
      </c>
      <c r="J25" s="507">
        <f t="shared" si="10"/>
        <v>10.861383772133522</v>
      </c>
      <c r="K25" s="507">
        <f t="shared" si="11"/>
        <v>0</v>
      </c>
      <c r="L25" s="509">
        <f t="shared" si="12"/>
        <v>21.248526556349521</v>
      </c>
      <c r="M25" s="329">
        <f>L25*D25*VPI!Q25</f>
        <v>681153.39155361836</v>
      </c>
    </row>
    <row r="26" spans="1:13" x14ac:dyDescent="0.25">
      <c r="A26" s="172">
        <f>Données!A26</f>
        <v>5427</v>
      </c>
      <c r="B26" s="27" t="str">
        <f>Données!B26</f>
        <v>Féchy</v>
      </c>
      <c r="C26" s="384">
        <f>VPI!R26</f>
        <v>88211.829663461554</v>
      </c>
      <c r="D26" s="27">
        <f>Données!Z26</f>
        <v>893</v>
      </c>
      <c r="E26" s="117">
        <f t="shared" si="5"/>
        <v>98.781444192006219</v>
      </c>
      <c r="F26" s="205">
        <f t="shared" si="6"/>
        <v>2.0608305285049067</v>
      </c>
      <c r="G26" s="507">
        <f t="shared" si="7"/>
        <v>50.848611857816039</v>
      </c>
      <c r="H26" s="507">
        <f t="shared" si="8"/>
        <v>41.262045390978003</v>
      </c>
      <c r="I26" s="507">
        <f t="shared" si="9"/>
        <v>26.882195690720948</v>
      </c>
      <c r="J26" s="507">
        <f t="shared" si="10"/>
        <v>2.9157795236258579</v>
      </c>
      <c r="K26" s="507">
        <f t="shared" si="11"/>
        <v>0</v>
      </c>
      <c r="L26" s="509">
        <f t="shared" si="12"/>
        <v>17.275724432095689</v>
      </c>
      <c r="M26" s="329">
        <f>L26*D26*VPI!Q26</f>
        <v>987342.20274313283</v>
      </c>
    </row>
    <row r="27" spans="1:13" x14ac:dyDescent="0.25">
      <c r="A27" s="172">
        <f>Données!A27</f>
        <v>5428</v>
      </c>
      <c r="B27" s="27" t="str">
        <f>Données!B27</f>
        <v>Gimel</v>
      </c>
      <c r="C27" s="384">
        <f>VPI!R27</f>
        <v>70557.620626398202</v>
      </c>
      <c r="D27" s="27">
        <f>Données!Z27</f>
        <v>2402</v>
      </c>
      <c r="E27" s="117">
        <f t="shared" si="5"/>
        <v>29.374529819483016</v>
      </c>
      <c r="F27" s="205">
        <f t="shared" si="6"/>
        <v>0.61282691610381534</v>
      </c>
      <c r="G27" s="507">
        <f t="shared" si="7"/>
        <v>0</v>
      </c>
      <c r="H27" s="507">
        <f t="shared" si="8"/>
        <v>0</v>
      </c>
      <c r="I27" s="507">
        <f t="shared" si="9"/>
        <v>0</v>
      </c>
      <c r="J27" s="507">
        <f t="shared" si="10"/>
        <v>0</v>
      </c>
      <c r="K27" s="507">
        <f t="shared" si="11"/>
        <v>0</v>
      </c>
      <c r="L27" s="509">
        <f t="shared" si="12"/>
        <v>0</v>
      </c>
      <c r="M27" s="329">
        <f>L27*D27*VPI!Q27</f>
        <v>0</v>
      </c>
    </row>
    <row r="28" spans="1:13" x14ac:dyDescent="0.25">
      <c r="A28" s="172">
        <f>Données!A28</f>
        <v>5429</v>
      </c>
      <c r="B28" s="27" t="str">
        <f>Données!B28</f>
        <v>Longirod</v>
      </c>
      <c r="C28" s="384">
        <f>VPI!R28</f>
        <v>18573.92709677419</v>
      </c>
      <c r="D28" s="27">
        <f>Données!Z28</f>
        <v>520</v>
      </c>
      <c r="E28" s="117">
        <f t="shared" si="5"/>
        <v>35.719090570719594</v>
      </c>
      <c r="F28" s="205">
        <f t="shared" si="6"/>
        <v>0.74519048492032036</v>
      </c>
      <c r="G28" s="507">
        <f t="shared" si="7"/>
        <v>0</v>
      </c>
      <c r="H28" s="507">
        <f t="shared" si="8"/>
        <v>0</v>
      </c>
      <c r="I28" s="507">
        <f t="shared" si="9"/>
        <v>0</v>
      </c>
      <c r="J28" s="507">
        <f t="shared" si="10"/>
        <v>0</v>
      </c>
      <c r="K28" s="507">
        <f t="shared" si="11"/>
        <v>0</v>
      </c>
      <c r="L28" s="509">
        <f t="shared" si="12"/>
        <v>0</v>
      </c>
      <c r="M28" s="329">
        <f>L28*D28*VPI!Q28</f>
        <v>0</v>
      </c>
    </row>
    <row r="29" spans="1:13" x14ac:dyDescent="0.25">
      <c r="A29" s="172">
        <f>Données!A29</f>
        <v>5430</v>
      </c>
      <c r="B29" s="27" t="str">
        <f>Données!B29</f>
        <v>Marchissy</v>
      </c>
      <c r="C29" s="384">
        <f>VPI!R29</f>
        <v>15580.605290322583</v>
      </c>
      <c r="D29" s="27">
        <f>Données!Z29</f>
        <v>485</v>
      </c>
      <c r="E29" s="117">
        <f t="shared" si="5"/>
        <v>32.124959361489864</v>
      </c>
      <c r="F29" s="205">
        <f t="shared" si="6"/>
        <v>0.67020782618295927</v>
      </c>
      <c r="G29" s="507">
        <f t="shared" si="7"/>
        <v>0</v>
      </c>
      <c r="H29" s="507">
        <f t="shared" si="8"/>
        <v>0</v>
      </c>
      <c r="I29" s="507">
        <f t="shared" si="9"/>
        <v>0</v>
      </c>
      <c r="J29" s="507">
        <f t="shared" si="10"/>
        <v>0</v>
      </c>
      <c r="K29" s="507">
        <f t="shared" si="11"/>
        <v>0</v>
      </c>
      <c r="L29" s="509">
        <f t="shared" si="12"/>
        <v>0</v>
      </c>
      <c r="M29" s="329">
        <f>L29*D29*VPI!Q29</f>
        <v>0</v>
      </c>
    </row>
    <row r="30" spans="1:13" x14ac:dyDescent="0.25">
      <c r="A30" s="172">
        <f>Données!A30</f>
        <v>5431</v>
      </c>
      <c r="B30" s="27" t="str">
        <f>Données!B30</f>
        <v>Mollens</v>
      </c>
      <c r="C30" s="384">
        <f>VPI!R30</f>
        <v>10464.936351351351</v>
      </c>
      <c r="D30" s="27">
        <f>Données!Z30</f>
        <v>319</v>
      </c>
      <c r="E30" s="117">
        <f t="shared" si="5"/>
        <v>32.805443107684482</v>
      </c>
      <c r="F30" s="205">
        <f t="shared" si="6"/>
        <v>0.68440443658666439</v>
      </c>
      <c r="G30" s="507">
        <f t="shared" si="7"/>
        <v>0</v>
      </c>
      <c r="H30" s="507">
        <f t="shared" si="8"/>
        <v>0</v>
      </c>
      <c r="I30" s="507">
        <f t="shared" si="9"/>
        <v>0</v>
      </c>
      <c r="J30" s="507">
        <f t="shared" si="10"/>
        <v>0</v>
      </c>
      <c r="K30" s="507">
        <f t="shared" si="11"/>
        <v>0</v>
      </c>
      <c r="L30" s="509">
        <f t="shared" si="12"/>
        <v>0</v>
      </c>
      <c r="M30" s="329">
        <f>L30*D30*VPI!Q30</f>
        <v>0</v>
      </c>
    </row>
    <row r="31" spans="1:13" x14ac:dyDescent="0.25">
      <c r="A31" s="172">
        <f>Données!A31</f>
        <v>5434</v>
      </c>
      <c r="B31" s="27" t="str">
        <f>Données!B31</f>
        <v>Saint-George</v>
      </c>
      <c r="C31" s="384">
        <f>VPI!R31</f>
        <v>43543.93829736211</v>
      </c>
      <c r="D31" s="27">
        <f>Données!Z31</f>
        <v>1072</v>
      </c>
      <c r="E31" s="117">
        <f t="shared" si="5"/>
        <v>40.619345426643761</v>
      </c>
      <c r="F31" s="205">
        <f t="shared" si="6"/>
        <v>0.84742218326352148</v>
      </c>
      <c r="G31" s="507">
        <f t="shared" si="7"/>
        <v>0</v>
      </c>
      <c r="H31" s="507">
        <f t="shared" si="8"/>
        <v>0</v>
      </c>
      <c r="I31" s="507">
        <f t="shared" si="9"/>
        <v>0</v>
      </c>
      <c r="J31" s="507">
        <f t="shared" si="10"/>
        <v>0</v>
      </c>
      <c r="K31" s="507">
        <f t="shared" si="11"/>
        <v>0</v>
      </c>
      <c r="L31" s="509">
        <f t="shared" si="12"/>
        <v>0</v>
      </c>
      <c r="M31" s="329">
        <f>L31*D31*VPI!Q31</f>
        <v>0</v>
      </c>
    </row>
    <row r="32" spans="1:13" x14ac:dyDescent="0.25">
      <c r="A32" s="172">
        <f>Données!A32</f>
        <v>5435</v>
      </c>
      <c r="B32" s="27" t="str">
        <f>Données!B32</f>
        <v>Saint-Livres</v>
      </c>
      <c r="C32" s="384">
        <f>VPI!R32</f>
        <v>25853.824637681166</v>
      </c>
      <c r="D32" s="27">
        <f>Données!Z32</f>
        <v>674</v>
      </c>
      <c r="E32" s="117">
        <f t="shared" si="5"/>
        <v>38.358790263621906</v>
      </c>
      <c r="F32" s="205">
        <f t="shared" si="6"/>
        <v>0.80026129055304807</v>
      </c>
      <c r="G32" s="507">
        <f t="shared" si="7"/>
        <v>0</v>
      </c>
      <c r="H32" s="507">
        <f t="shared" si="8"/>
        <v>0</v>
      </c>
      <c r="I32" s="507">
        <f t="shared" si="9"/>
        <v>0</v>
      </c>
      <c r="J32" s="507">
        <f t="shared" si="10"/>
        <v>0</v>
      </c>
      <c r="K32" s="507">
        <f t="shared" si="11"/>
        <v>0</v>
      </c>
      <c r="L32" s="509">
        <f t="shared" si="12"/>
        <v>0</v>
      </c>
      <c r="M32" s="329">
        <f>L32*D32*VPI!Q32</f>
        <v>0</v>
      </c>
    </row>
    <row r="33" spans="1:13" x14ac:dyDescent="0.25">
      <c r="A33" s="172">
        <f>Données!A33</f>
        <v>5436</v>
      </c>
      <c r="B33" s="27" t="str">
        <f>Données!B33</f>
        <v>Saint-Oyens</v>
      </c>
      <c r="C33" s="384">
        <f>VPI!R33</f>
        <v>16868.155185185187</v>
      </c>
      <c r="D33" s="27">
        <f>Données!Z33</f>
        <v>458</v>
      </c>
      <c r="E33" s="117">
        <f t="shared" si="5"/>
        <v>36.830033155426172</v>
      </c>
      <c r="F33" s="205">
        <f t="shared" si="6"/>
        <v>0.7683675543862144</v>
      </c>
      <c r="G33" s="507">
        <f t="shared" si="7"/>
        <v>0</v>
      </c>
      <c r="H33" s="507">
        <f t="shared" si="8"/>
        <v>0</v>
      </c>
      <c r="I33" s="507">
        <f t="shared" si="9"/>
        <v>0</v>
      </c>
      <c r="J33" s="507">
        <f t="shared" si="10"/>
        <v>0</v>
      </c>
      <c r="K33" s="507">
        <f t="shared" si="11"/>
        <v>0</v>
      </c>
      <c r="L33" s="509">
        <f t="shared" si="12"/>
        <v>0</v>
      </c>
      <c r="M33" s="329">
        <f>L33*D33*VPI!Q33</f>
        <v>0</v>
      </c>
    </row>
    <row r="34" spans="1:13" x14ac:dyDescent="0.25">
      <c r="A34" s="172">
        <f>Données!A34</f>
        <v>5437</v>
      </c>
      <c r="B34" s="27" t="str">
        <f>Données!B34</f>
        <v>Saubraz</v>
      </c>
      <c r="C34" s="384">
        <f>VPI!R34</f>
        <v>13551.123374999999</v>
      </c>
      <c r="D34" s="27">
        <f>Données!Z34</f>
        <v>444</v>
      </c>
      <c r="E34" s="117">
        <f t="shared" si="5"/>
        <v>30.52054814189189</v>
      </c>
      <c r="F34" s="205">
        <f t="shared" si="6"/>
        <v>0.6367357540881593</v>
      </c>
      <c r="G34" s="507">
        <f t="shared" si="7"/>
        <v>0</v>
      </c>
      <c r="H34" s="507">
        <f t="shared" si="8"/>
        <v>0</v>
      </c>
      <c r="I34" s="507">
        <f t="shared" si="9"/>
        <v>0</v>
      </c>
      <c r="J34" s="507">
        <f t="shared" si="10"/>
        <v>0</v>
      </c>
      <c r="K34" s="507">
        <f t="shared" si="11"/>
        <v>0</v>
      </c>
      <c r="L34" s="509">
        <f t="shared" si="12"/>
        <v>0</v>
      </c>
      <c r="M34" s="329">
        <f>L34*D34*VPI!Q34</f>
        <v>0</v>
      </c>
    </row>
    <row r="35" spans="1:13" x14ac:dyDescent="0.25">
      <c r="A35" s="172">
        <f>Données!A35</f>
        <v>5451</v>
      </c>
      <c r="B35" s="27" t="str">
        <f>Données!B35</f>
        <v>Avenches</v>
      </c>
      <c r="C35" s="384">
        <f>VPI!R35</f>
        <v>137788.88576441104</v>
      </c>
      <c r="D35" s="27">
        <f>Données!Z35</f>
        <v>4616</v>
      </c>
      <c r="E35" s="117">
        <f t="shared" si="5"/>
        <v>29.850278545149706</v>
      </c>
      <c r="F35" s="205">
        <f t="shared" si="6"/>
        <v>0.62275223665132129</v>
      </c>
      <c r="G35" s="507">
        <f t="shared" si="7"/>
        <v>0</v>
      </c>
      <c r="H35" s="507">
        <f t="shared" si="8"/>
        <v>0</v>
      </c>
      <c r="I35" s="507">
        <f t="shared" si="9"/>
        <v>0</v>
      </c>
      <c r="J35" s="507">
        <f t="shared" si="10"/>
        <v>0</v>
      </c>
      <c r="K35" s="507">
        <f t="shared" si="11"/>
        <v>0</v>
      </c>
      <c r="L35" s="509">
        <f t="shared" si="12"/>
        <v>0</v>
      </c>
      <c r="M35" s="329">
        <f>L35*D35*VPI!Q35</f>
        <v>0</v>
      </c>
    </row>
    <row r="36" spans="1:13" x14ac:dyDescent="0.25">
      <c r="A36" s="172">
        <f>Données!A36</f>
        <v>5456</v>
      </c>
      <c r="B36" s="27" t="str">
        <f>Données!B36</f>
        <v>Cudrefin</v>
      </c>
      <c r="C36" s="384">
        <f>VPI!R36</f>
        <v>64142.52694915254</v>
      </c>
      <c r="D36" s="27">
        <f>Données!Z36</f>
        <v>1836</v>
      </c>
      <c r="E36" s="117">
        <f t="shared" si="5"/>
        <v>34.936016856836893</v>
      </c>
      <c r="F36" s="205">
        <f t="shared" si="6"/>
        <v>0.7288535885645393</v>
      </c>
      <c r="G36" s="507">
        <f t="shared" si="7"/>
        <v>0</v>
      </c>
      <c r="H36" s="507">
        <f t="shared" si="8"/>
        <v>0</v>
      </c>
      <c r="I36" s="507">
        <f t="shared" si="9"/>
        <v>0</v>
      </c>
      <c r="J36" s="507">
        <f t="shared" si="10"/>
        <v>0</v>
      </c>
      <c r="K36" s="507">
        <f t="shared" si="11"/>
        <v>0</v>
      </c>
      <c r="L36" s="509">
        <f t="shared" si="12"/>
        <v>0</v>
      </c>
      <c r="M36" s="329">
        <f>L36*D36*VPI!Q36</f>
        <v>0</v>
      </c>
    </row>
    <row r="37" spans="1:13" x14ac:dyDescent="0.25">
      <c r="A37" s="172">
        <f>Données!A37</f>
        <v>5458</v>
      </c>
      <c r="B37" s="27" t="str">
        <f>Données!B37</f>
        <v>Faoug</v>
      </c>
      <c r="C37" s="384">
        <f>VPI!R37</f>
        <v>34719.981076923075</v>
      </c>
      <c r="D37" s="27">
        <f>Données!Z37</f>
        <v>866</v>
      </c>
      <c r="E37" s="117">
        <f t="shared" si="5"/>
        <v>40.092356901758748</v>
      </c>
      <c r="F37" s="205">
        <f t="shared" si="6"/>
        <v>0.83642787103071159</v>
      </c>
      <c r="G37" s="507">
        <f t="shared" si="7"/>
        <v>0</v>
      </c>
      <c r="H37" s="507">
        <f t="shared" si="8"/>
        <v>0</v>
      </c>
      <c r="I37" s="507">
        <f t="shared" si="9"/>
        <v>0</v>
      </c>
      <c r="J37" s="507">
        <f t="shared" si="10"/>
        <v>0</v>
      </c>
      <c r="K37" s="507">
        <f t="shared" si="11"/>
        <v>0</v>
      </c>
      <c r="L37" s="509">
        <f t="shared" si="12"/>
        <v>0</v>
      </c>
      <c r="M37" s="329">
        <f>L37*D37*VPI!Q37</f>
        <v>0</v>
      </c>
    </row>
    <row r="38" spans="1:13" x14ac:dyDescent="0.25">
      <c r="A38" s="172">
        <f>Données!A38</f>
        <v>5464</v>
      </c>
      <c r="B38" s="27" t="str">
        <f>Données!B38</f>
        <v>Vully-les-Lacs</v>
      </c>
      <c r="C38" s="384">
        <f>VPI!R38</f>
        <v>119166.87835820897</v>
      </c>
      <c r="D38" s="27">
        <f>Données!Z38</f>
        <v>3465</v>
      </c>
      <c r="E38" s="117">
        <f t="shared" si="5"/>
        <v>34.391595485774594</v>
      </c>
      <c r="F38" s="205">
        <f t="shared" si="6"/>
        <v>0.71749558311085426</v>
      </c>
      <c r="G38" s="507">
        <f t="shared" si="7"/>
        <v>0</v>
      </c>
      <c r="H38" s="507">
        <f t="shared" si="8"/>
        <v>0</v>
      </c>
      <c r="I38" s="507">
        <f t="shared" si="9"/>
        <v>0</v>
      </c>
      <c r="J38" s="507">
        <f t="shared" si="10"/>
        <v>0</v>
      </c>
      <c r="K38" s="507">
        <f t="shared" si="11"/>
        <v>0</v>
      </c>
      <c r="L38" s="509">
        <f t="shared" si="12"/>
        <v>0</v>
      </c>
      <c r="M38" s="329">
        <f>L38*D38*VPI!Q38</f>
        <v>0</v>
      </c>
    </row>
    <row r="39" spans="1:13" x14ac:dyDescent="0.25">
      <c r="A39" s="172">
        <f>Données!A39</f>
        <v>5471</v>
      </c>
      <c r="B39" s="27" t="str">
        <f>Données!B39</f>
        <v>Bettens</v>
      </c>
      <c r="C39" s="384">
        <f>VPI!R39</f>
        <v>22887.22226984127</v>
      </c>
      <c r="D39" s="27">
        <f>Données!Z39</f>
        <v>626</v>
      </c>
      <c r="E39" s="117">
        <f t="shared" si="5"/>
        <v>36.561057939043565</v>
      </c>
      <c r="F39" s="205">
        <f t="shared" si="6"/>
        <v>0.76275605172124994</v>
      </c>
      <c r="G39" s="507">
        <f t="shared" si="7"/>
        <v>0</v>
      </c>
      <c r="H39" s="507">
        <f t="shared" si="8"/>
        <v>0</v>
      </c>
      <c r="I39" s="507">
        <f t="shared" si="9"/>
        <v>0</v>
      </c>
      <c r="J39" s="507">
        <f t="shared" si="10"/>
        <v>0</v>
      </c>
      <c r="K39" s="507">
        <f t="shared" si="11"/>
        <v>0</v>
      </c>
      <c r="L39" s="509">
        <f t="shared" si="12"/>
        <v>0</v>
      </c>
      <c r="M39" s="329">
        <f>L39*D39*VPI!Q39</f>
        <v>0</v>
      </c>
    </row>
    <row r="40" spans="1:13" x14ac:dyDescent="0.25">
      <c r="A40" s="172">
        <f>Données!A40</f>
        <v>5472</v>
      </c>
      <c r="B40" s="27" t="str">
        <f>Données!B40</f>
        <v>Bournens</v>
      </c>
      <c r="C40" s="384">
        <f>VPI!R40</f>
        <v>22175.50986111111</v>
      </c>
      <c r="D40" s="27">
        <f>Données!Z40</f>
        <v>507</v>
      </c>
      <c r="E40" s="117">
        <f t="shared" si="5"/>
        <v>43.738678227043607</v>
      </c>
      <c r="F40" s="205">
        <f t="shared" si="6"/>
        <v>0.91249934746386951</v>
      </c>
      <c r="G40" s="507">
        <f t="shared" si="7"/>
        <v>0</v>
      </c>
      <c r="H40" s="507">
        <f t="shared" si="8"/>
        <v>0</v>
      </c>
      <c r="I40" s="507">
        <f t="shared" si="9"/>
        <v>0</v>
      </c>
      <c r="J40" s="507">
        <f t="shared" si="10"/>
        <v>0</v>
      </c>
      <c r="K40" s="507">
        <f t="shared" si="11"/>
        <v>0</v>
      </c>
      <c r="L40" s="509">
        <f t="shared" si="12"/>
        <v>0</v>
      </c>
      <c r="M40" s="329">
        <f>L40*D40*VPI!Q40</f>
        <v>0</v>
      </c>
    </row>
    <row r="41" spans="1:13" x14ac:dyDescent="0.25">
      <c r="A41" s="172">
        <f>Données!A41</f>
        <v>5473</v>
      </c>
      <c r="B41" s="27" t="str">
        <f>Données!B41</f>
        <v>Boussens</v>
      </c>
      <c r="C41" s="384">
        <f>VPI!R41</f>
        <v>37058.091851851859</v>
      </c>
      <c r="D41" s="27">
        <f>Données!Z41</f>
        <v>1001</v>
      </c>
      <c r="E41" s="117">
        <f t="shared" si="5"/>
        <v>37.02107078107079</v>
      </c>
      <c r="F41" s="205">
        <f t="shared" si="6"/>
        <v>0.77235308197433383</v>
      </c>
      <c r="G41" s="507">
        <f t="shared" si="7"/>
        <v>0</v>
      </c>
      <c r="H41" s="507">
        <f t="shared" si="8"/>
        <v>0</v>
      </c>
      <c r="I41" s="507">
        <f t="shared" si="9"/>
        <v>0</v>
      </c>
      <c r="J41" s="507">
        <f t="shared" si="10"/>
        <v>0</v>
      </c>
      <c r="K41" s="507">
        <f t="shared" si="11"/>
        <v>0</v>
      </c>
      <c r="L41" s="509">
        <f t="shared" si="12"/>
        <v>0</v>
      </c>
      <c r="M41" s="329">
        <f>L41*D41*VPI!Q41</f>
        <v>0</v>
      </c>
    </row>
    <row r="42" spans="1:13" x14ac:dyDescent="0.25">
      <c r="A42" s="172">
        <f>Données!A42</f>
        <v>5474</v>
      </c>
      <c r="B42" s="27" t="str">
        <f>Données!B42</f>
        <v>La Chaux (Cossonay)</v>
      </c>
      <c r="C42" s="384">
        <f>VPI!R42</f>
        <v>12904.367324561405</v>
      </c>
      <c r="D42" s="27">
        <f>Données!Z42</f>
        <v>398</v>
      </c>
      <c r="E42" s="117">
        <f t="shared" si="5"/>
        <v>32.4230334787975</v>
      </c>
      <c r="F42" s="205">
        <f t="shared" si="6"/>
        <v>0.67642640544882549</v>
      </c>
      <c r="G42" s="507">
        <f t="shared" si="7"/>
        <v>0</v>
      </c>
      <c r="H42" s="507">
        <f t="shared" si="8"/>
        <v>0</v>
      </c>
      <c r="I42" s="507">
        <f t="shared" si="9"/>
        <v>0</v>
      </c>
      <c r="J42" s="507">
        <f t="shared" si="10"/>
        <v>0</v>
      </c>
      <c r="K42" s="507">
        <f t="shared" si="11"/>
        <v>0</v>
      </c>
      <c r="L42" s="509">
        <f t="shared" si="12"/>
        <v>0</v>
      </c>
      <c r="M42" s="329">
        <f>L42*D42*VPI!Q42</f>
        <v>0</v>
      </c>
    </row>
    <row r="43" spans="1:13" x14ac:dyDescent="0.25">
      <c r="A43" s="172">
        <f>Données!A43</f>
        <v>5475</v>
      </c>
      <c r="B43" s="27" t="str">
        <f>Données!B43</f>
        <v>Chavannes-le-Veyron</v>
      </c>
      <c r="C43" s="384">
        <f>VPI!R43</f>
        <v>4277.2565333333332</v>
      </c>
      <c r="D43" s="27">
        <f>Données!Z43</f>
        <v>155</v>
      </c>
      <c r="E43" s="117">
        <f t="shared" si="5"/>
        <v>27.595203440860214</v>
      </c>
      <c r="F43" s="205">
        <f t="shared" si="6"/>
        <v>0.57570567181311194</v>
      </c>
      <c r="G43" s="507">
        <f t="shared" si="7"/>
        <v>0</v>
      </c>
      <c r="H43" s="507">
        <f t="shared" si="8"/>
        <v>0</v>
      </c>
      <c r="I43" s="507">
        <f t="shared" si="9"/>
        <v>0</v>
      </c>
      <c r="J43" s="507">
        <f t="shared" si="10"/>
        <v>0</v>
      </c>
      <c r="K43" s="507">
        <f t="shared" si="11"/>
        <v>0</v>
      </c>
      <c r="L43" s="509">
        <f t="shared" si="12"/>
        <v>0</v>
      </c>
      <c r="M43" s="329">
        <f>L43*D43*VPI!Q43</f>
        <v>0</v>
      </c>
    </row>
    <row r="44" spans="1:13" x14ac:dyDescent="0.25">
      <c r="A44" s="172">
        <f>Données!A44</f>
        <v>5476</v>
      </c>
      <c r="B44" s="27" t="str">
        <f>Données!B44</f>
        <v>Chevilly</v>
      </c>
      <c r="C44" s="384">
        <f>VPI!R44</f>
        <v>12081.593793103451</v>
      </c>
      <c r="D44" s="27">
        <f>Données!Z44</f>
        <v>322</v>
      </c>
      <c r="E44" s="117">
        <f t="shared" si="5"/>
        <v>37.5204776183337</v>
      </c>
      <c r="F44" s="205">
        <f t="shared" si="6"/>
        <v>0.7827719705094619</v>
      </c>
      <c r="G44" s="507">
        <f t="shared" si="7"/>
        <v>0</v>
      </c>
      <c r="H44" s="507">
        <f t="shared" si="8"/>
        <v>0</v>
      </c>
      <c r="I44" s="507">
        <f t="shared" si="9"/>
        <v>0</v>
      </c>
      <c r="J44" s="507">
        <f t="shared" si="10"/>
        <v>0</v>
      </c>
      <c r="K44" s="507">
        <f t="shared" si="11"/>
        <v>0</v>
      </c>
      <c r="L44" s="509">
        <f t="shared" si="12"/>
        <v>0</v>
      </c>
      <c r="M44" s="329">
        <f>L44*D44*VPI!Q44</f>
        <v>0</v>
      </c>
    </row>
    <row r="45" spans="1:13" x14ac:dyDescent="0.25">
      <c r="A45" s="172">
        <f>Données!A45</f>
        <v>5477</v>
      </c>
      <c r="B45" s="27" t="str">
        <f>Données!B45</f>
        <v>Cossonay</v>
      </c>
      <c r="C45" s="384">
        <f>VPI!R45</f>
        <v>142576.66388489207</v>
      </c>
      <c r="D45" s="27">
        <f>Données!Z45</f>
        <v>4326</v>
      </c>
      <c r="E45" s="117">
        <f t="shared" si="5"/>
        <v>32.95808226650302</v>
      </c>
      <c r="F45" s="205">
        <f t="shared" si="6"/>
        <v>0.68758887513088252</v>
      </c>
      <c r="G45" s="507">
        <f t="shared" si="7"/>
        <v>0</v>
      </c>
      <c r="H45" s="507">
        <f t="shared" si="8"/>
        <v>0</v>
      </c>
      <c r="I45" s="507">
        <f t="shared" si="9"/>
        <v>0</v>
      </c>
      <c r="J45" s="507">
        <f t="shared" si="10"/>
        <v>0</v>
      </c>
      <c r="K45" s="507">
        <f t="shared" si="11"/>
        <v>0</v>
      </c>
      <c r="L45" s="509">
        <f t="shared" si="12"/>
        <v>0</v>
      </c>
      <c r="M45" s="329">
        <f>L45*D45*VPI!Q45</f>
        <v>0</v>
      </c>
    </row>
    <row r="46" spans="1:13" x14ac:dyDescent="0.25">
      <c r="A46" s="172">
        <f>Données!A46</f>
        <v>5479</v>
      </c>
      <c r="B46" s="27" t="str">
        <f>Données!B46</f>
        <v>Cuarnens</v>
      </c>
      <c r="C46" s="384">
        <f>VPI!R46</f>
        <v>17984.468961038958</v>
      </c>
      <c r="D46" s="27">
        <f>Données!Z46</f>
        <v>531</v>
      </c>
      <c r="E46" s="117">
        <f t="shared" si="5"/>
        <v>33.869056423802178</v>
      </c>
      <c r="F46" s="205">
        <f t="shared" si="6"/>
        <v>0.70659409791738093</v>
      </c>
      <c r="G46" s="507">
        <f t="shared" si="7"/>
        <v>0</v>
      </c>
      <c r="H46" s="507">
        <f t="shared" si="8"/>
        <v>0</v>
      </c>
      <c r="I46" s="507">
        <f t="shared" si="9"/>
        <v>0</v>
      </c>
      <c r="J46" s="507">
        <f t="shared" si="10"/>
        <v>0</v>
      </c>
      <c r="K46" s="507">
        <f t="shared" si="11"/>
        <v>0</v>
      </c>
      <c r="L46" s="509">
        <f t="shared" si="12"/>
        <v>0</v>
      </c>
      <c r="M46" s="329">
        <f>L46*D46*VPI!Q46</f>
        <v>0</v>
      </c>
    </row>
    <row r="47" spans="1:13" x14ac:dyDescent="0.25">
      <c r="A47" s="172">
        <f>Données!A47</f>
        <v>5480</v>
      </c>
      <c r="B47" s="27" t="str">
        <f>Données!B47</f>
        <v>Daillens</v>
      </c>
      <c r="C47" s="384">
        <f>VPI!R47</f>
        <v>41328.998989898995</v>
      </c>
      <c r="D47" s="27">
        <f>Données!Z47</f>
        <v>1051</v>
      </c>
      <c r="E47" s="117">
        <f t="shared" si="5"/>
        <v>39.323500466126539</v>
      </c>
      <c r="F47" s="205">
        <f t="shared" si="6"/>
        <v>0.82038758302369996</v>
      </c>
      <c r="G47" s="507">
        <f t="shared" si="7"/>
        <v>0</v>
      </c>
      <c r="H47" s="507">
        <f t="shared" si="8"/>
        <v>0</v>
      </c>
      <c r="I47" s="507">
        <f t="shared" si="9"/>
        <v>0</v>
      </c>
      <c r="J47" s="507">
        <f t="shared" si="10"/>
        <v>0</v>
      </c>
      <c r="K47" s="507">
        <f t="shared" si="11"/>
        <v>0</v>
      </c>
      <c r="L47" s="509">
        <f t="shared" si="12"/>
        <v>0</v>
      </c>
      <c r="M47" s="329">
        <f>L47*D47*VPI!Q47</f>
        <v>0</v>
      </c>
    </row>
    <row r="48" spans="1:13" x14ac:dyDescent="0.25">
      <c r="A48" s="172">
        <f>Données!A48</f>
        <v>5481</v>
      </c>
      <c r="B48" s="27" t="str">
        <f>Données!B48</f>
        <v>Dizy</v>
      </c>
      <c r="C48" s="384">
        <f>VPI!R48</f>
        <v>8120.2678666666679</v>
      </c>
      <c r="D48" s="27">
        <f>Données!Z48</f>
        <v>225</v>
      </c>
      <c r="E48" s="117">
        <f t="shared" si="5"/>
        <v>36.090079407407416</v>
      </c>
      <c r="F48" s="205">
        <f t="shared" si="6"/>
        <v>0.75293024947462983</v>
      </c>
      <c r="G48" s="507">
        <f t="shared" si="7"/>
        <v>0</v>
      </c>
      <c r="H48" s="507">
        <f t="shared" si="8"/>
        <v>0</v>
      </c>
      <c r="I48" s="507">
        <f t="shared" si="9"/>
        <v>0</v>
      </c>
      <c r="J48" s="507">
        <f t="shared" si="10"/>
        <v>0</v>
      </c>
      <c r="K48" s="507">
        <f t="shared" si="11"/>
        <v>0</v>
      </c>
      <c r="L48" s="509">
        <f t="shared" si="12"/>
        <v>0</v>
      </c>
      <c r="M48" s="329">
        <f>L48*D48*VPI!Q48</f>
        <v>0</v>
      </c>
    </row>
    <row r="49" spans="1:13" x14ac:dyDescent="0.25">
      <c r="A49" s="172">
        <f>Données!A49</f>
        <v>5482</v>
      </c>
      <c r="B49" s="27" t="str">
        <f>Données!B49</f>
        <v>Eclépens</v>
      </c>
      <c r="C49" s="384">
        <f>VPI!R49</f>
        <v>54169.31369565217</v>
      </c>
      <c r="D49" s="27">
        <f>Données!Z49</f>
        <v>1198</v>
      </c>
      <c r="E49" s="117">
        <f t="shared" si="5"/>
        <v>45.21645550555273</v>
      </c>
      <c r="F49" s="205">
        <f t="shared" si="6"/>
        <v>0.94332951556672617</v>
      </c>
      <c r="G49" s="507">
        <f t="shared" si="7"/>
        <v>0</v>
      </c>
      <c r="H49" s="507">
        <f t="shared" si="8"/>
        <v>0</v>
      </c>
      <c r="I49" s="507">
        <f t="shared" si="9"/>
        <v>0</v>
      </c>
      <c r="J49" s="507">
        <f t="shared" si="10"/>
        <v>0</v>
      </c>
      <c r="K49" s="507">
        <f t="shared" si="11"/>
        <v>0</v>
      </c>
      <c r="L49" s="509">
        <f t="shared" si="12"/>
        <v>0</v>
      </c>
      <c r="M49" s="329">
        <f>L49*D49*VPI!Q49</f>
        <v>0</v>
      </c>
    </row>
    <row r="50" spans="1:13" x14ac:dyDescent="0.25">
      <c r="A50" s="172">
        <f>Données!A50</f>
        <v>5483</v>
      </c>
      <c r="B50" s="27" t="str">
        <f>Données!B50</f>
        <v>Ferreyres</v>
      </c>
      <c r="C50" s="384">
        <f>VPI!R50</f>
        <v>10537.013684210528</v>
      </c>
      <c r="D50" s="27">
        <f>Données!Z50</f>
        <v>319</v>
      </c>
      <c r="E50" s="117">
        <f t="shared" si="5"/>
        <v>33.031390859594133</v>
      </c>
      <c r="F50" s="205">
        <f t="shared" si="6"/>
        <v>0.68911827762018252</v>
      </c>
      <c r="G50" s="507">
        <f t="shared" si="7"/>
        <v>0</v>
      </c>
      <c r="H50" s="507">
        <f t="shared" si="8"/>
        <v>0</v>
      </c>
      <c r="I50" s="507">
        <f t="shared" si="9"/>
        <v>0</v>
      </c>
      <c r="J50" s="507">
        <f t="shared" si="10"/>
        <v>0</v>
      </c>
      <c r="K50" s="507">
        <f t="shared" si="11"/>
        <v>0</v>
      </c>
      <c r="L50" s="509">
        <f t="shared" si="12"/>
        <v>0</v>
      </c>
      <c r="M50" s="329">
        <f>L50*D50*VPI!Q50</f>
        <v>0</v>
      </c>
    </row>
    <row r="51" spans="1:13" x14ac:dyDescent="0.25">
      <c r="A51" s="172">
        <f>Données!A51</f>
        <v>5484</v>
      </c>
      <c r="B51" s="27" t="str">
        <f>Données!B51</f>
        <v>Gollion</v>
      </c>
      <c r="C51" s="384">
        <f>VPI!R51</f>
        <v>35949.064324324332</v>
      </c>
      <c r="D51" s="27">
        <f>Données!Z51</f>
        <v>1018</v>
      </c>
      <c r="E51" s="117">
        <f t="shared" si="5"/>
        <v>35.313422715446301</v>
      </c>
      <c r="F51" s="205">
        <f t="shared" si="6"/>
        <v>0.73672722841077476</v>
      </c>
      <c r="G51" s="507">
        <f t="shared" si="7"/>
        <v>0</v>
      </c>
      <c r="H51" s="507">
        <f t="shared" si="8"/>
        <v>0</v>
      </c>
      <c r="I51" s="507">
        <f t="shared" si="9"/>
        <v>0</v>
      </c>
      <c r="J51" s="507">
        <f t="shared" si="10"/>
        <v>0</v>
      </c>
      <c r="K51" s="507">
        <f t="shared" si="11"/>
        <v>0</v>
      </c>
      <c r="L51" s="509">
        <f t="shared" si="12"/>
        <v>0</v>
      </c>
      <c r="M51" s="329">
        <f>L51*D51*VPI!Q51</f>
        <v>0</v>
      </c>
    </row>
    <row r="52" spans="1:13" x14ac:dyDescent="0.25">
      <c r="A52" s="172">
        <f>Données!A52</f>
        <v>5485</v>
      </c>
      <c r="B52" s="27" t="str">
        <f>Données!B52</f>
        <v>Grancy</v>
      </c>
      <c r="C52" s="384">
        <f>VPI!R52</f>
        <v>24486.752</v>
      </c>
      <c r="D52" s="27">
        <f>Données!Z52</f>
        <v>445</v>
      </c>
      <c r="E52" s="117">
        <f t="shared" si="5"/>
        <v>55.026408988764047</v>
      </c>
      <c r="F52" s="205">
        <f t="shared" si="6"/>
        <v>1.1479899331864447</v>
      </c>
      <c r="G52" s="507">
        <f t="shared" si="7"/>
        <v>7.0935766545738659</v>
      </c>
      <c r="H52" s="507">
        <f t="shared" si="8"/>
        <v>0</v>
      </c>
      <c r="I52" s="507">
        <f t="shared" si="9"/>
        <v>0</v>
      </c>
      <c r="J52" s="507">
        <f t="shared" si="10"/>
        <v>0</v>
      </c>
      <c r="K52" s="507">
        <f t="shared" si="11"/>
        <v>0</v>
      </c>
      <c r="L52" s="509">
        <f t="shared" si="12"/>
        <v>1.4187153309147733</v>
      </c>
      <c r="M52" s="329">
        <f>L52*D52*VPI!Q52</f>
        <v>44192.982557995187</v>
      </c>
    </row>
    <row r="53" spans="1:13" x14ac:dyDescent="0.25">
      <c r="A53" s="172">
        <f>Données!A53</f>
        <v>5486</v>
      </c>
      <c r="B53" s="27" t="str">
        <f>Données!B53</f>
        <v>L'Isle</v>
      </c>
      <c r="C53" s="384">
        <f>VPI!R53</f>
        <v>29228.321066666667</v>
      </c>
      <c r="D53" s="27">
        <f>Données!Z53</f>
        <v>1079</v>
      </c>
      <c r="E53" s="117">
        <f t="shared" si="5"/>
        <v>27.088342045103492</v>
      </c>
      <c r="F53" s="205">
        <f t="shared" si="6"/>
        <v>0.5651312623514958</v>
      </c>
      <c r="G53" s="507">
        <f t="shared" si="7"/>
        <v>0</v>
      </c>
      <c r="H53" s="507">
        <f t="shared" si="8"/>
        <v>0</v>
      </c>
      <c r="I53" s="507">
        <f t="shared" si="9"/>
        <v>0</v>
      </c>
      <c r="J53" s="507">
        <f t="shared" si="10"/>
        <v>0</v>
      </c>
      <c r="K53" s="507">
        <f t="shared" si="11"/>
        <v>0</v>
      </c>
      <c r="L53" s="509">
        <f t="shared" si="12"/>
        <v>0</v>
      </c>
      <c r="M53" s="329">
        <f>L53*D53*VPI!Q53</f>
        <v>0</v>
      </c>
    </row>
    <row r="54" spans="1:13" x14ac:dyDescent="0.25">
      <c r="A54" s="172">
        <f>Données!A54</f>
        <v>5487</v>
      </c>
      <c r="B54" s="27" t="str">
        <f>Données!B54</f>
        <v>Lussery-Villars</v>
      </c>
      <c r="C54" s="384">
        <f>VPI!R54</f>
        <v>16622.186533333337</v>
      </c>
      <c r="D54" s="27">
        <f>Données!Z54</f>
        <v>475</v>
      </c>
      <c r="E54" s="117">
        <f t="shared" si="5"/>
        <v>34.994076912280711</v>
      </c>
      <c r="F54" s="205">
        <f t="shared" si="6"/>
        <v>0.73006486802824844</v>
      </c>
      <c r="G54" s="507">
        <f t="shared" si="7"/>
        <v>0</v>
      </c>
      <c r="H54" s="507">
        <f t="shared" si="8"/>
        <v>0</v>
      </c>
      <c r="I54" s="507">
        <f t="shared" si="9"/>
        <v>0</v>
      </c>
      <c r="J54" s="507">
        <f t="shared" si="10"/>
        <v>0</v>
      </c>
      <c r="K54" s="507">
        <f t="shared" si="11"/>
        <v>0</v>
      </c>
      <c r="L54" s="509">
        <f t="shared" si="12"/>
        <v>0</v>
      </c>
      <c r="M54" s="329">
        <f>L54*D54*VPI!Q54</f>
        <v>0</v>
      </c>
    </row>
    <row r="55" spans="1:13" x14ac:dyDescent="0.25">
      <c r="A55" s="172">
        <f>Données!A55</f>
        <v>5488</v>
      </c>
      <c r="B55" s="27" t="str">
        <f>Données!B55</f>
        <v>Mauraz</v>
      </c>
      <c r="C55" s="384">
        <f>VPI!R55</f>
        <v>1729.1580519480517</v>
      </c>
      <c r="D55" s="27">
        <f>Données!Z55</f>
        <v>60</v>
      </c>
      <c r="E55" s="117">
        <f t="shared" si="5"/>
        <v>28.819300865800862</v>
      </c>
      <c r="F55" s="205">
        <f t="shared" si="6"/>
        <v>0.60124343716789375</v>
      </c>
      <c r="G55" s="507">
        <f t="shared" si="7"/>
        <v>0</v>
      </c>
      <c r="H55" s="507">
        <f t="shared" si="8"/>
        <v>0</v>
      </c>
      <c r="I55" s="507">
        <f t="shared" si="9"/>
        <v>0</v>
      </c>
      <c r="J55" s="507">
        <f t="shared" si="10"/>
        <v>0</v>
      </c>
      <c r="K55" s="507">
        <f t="shared" si="11"/>
        <v>0</v>
      </c>
      <c r="L55" s="509">
        <f t="shared" si="12"/>
        <v>0</v>
      </c>
      <c r="M55" s="329">
        <f>L55*D55*VPI!Q55</f>
        <v>0</v>
      </c>
    </row>
    <row r="56" spans="1:13" x14ac:dyDescent="0.25">
      <c r="A56" s="172">
        <f>Données!A56</f>
        <v>5489</v>
      </c>
      <c r="B56" s="27" t="str">
        <f>Données!B56</f>
        <v>Mex</v>
      </c>
      <c r="C56" s="384">
        <f>VPI!R56</f>
        <v>50433.121512605037</v>
      </c>
      <c r="D56" s="27">
        <f>Données!Z56</f>
        <v>795</v>
      </c>
      <c r="E56" s="117">
        <f t="shared" si="5"/>
        <v>63.437888695100675</v>
      </c>
      <c r="F56" s="205">
        <f t="shared" si="6"/>
        <v>1.323474654132859</v>
      </c>
      <c r="G56" s="507">
        <f t="shared" si="7"/>
        <v>15.505056360910494</v>
      </c>
      <c r="H56" s="507">
        <f t="shared" si="8"/>
        <v>5.918489894072458</v>
      </c>
      <c r="I56" s="507">
        <f t="shared" si="9"/>
        <v>0</v>
      </c>
      <c r="J56" s="507">
        <f t="shared" si="10"/>
        <v>0</v>
      </c>
      <c r="K56" s="507">
        <f t="shared" si="11"/>
        <v>0</v>
      </c>
      <c r="L56" s="509">
        <f t="shared" si="12"/>
        <v>3.6928602615893444</v>
      </c>
      <c r="M56" s="329">
        <f>L56*D56*VPI!Q56</f>
        <v>174681.52252382995</v>
      </c>
    </row>
    <row r="57" spans="1:13" x14ac:dyDescent="0.25">
      <c r="A57" s="172">
        <f>Données!A57</f>
        <v>5490</v>
      </c>
      <c r="B57" s="27" t="str">
        <f>Données!B57</f>
        <v>Moiry</v>
      </c>
      <c r="C57" s="384">
        <f>VPI!R57</f>
        <v>9056.7353548387091</v>
      </c>
      <c r="D57" s="27">
        <f>Données!Z57</f>
        <v>301</v>
      </c>
      <c r="E57" s="117">
        <f t="shared" si="5"/>
        <v>30.088821776872788</v>
      </c>
      <c r="F57" s="205">
        <f t="shared" si="6"/>
        <v>0.62772885122022348</v>
      </c>
      <c r="G57" s="507">
        <f t="shared" si="7"/>
        <v>0</v>
      </c>
      <c r="H57" s="507">
        <f t="shared" si="8"/>
        <v>0</v>
      </c>
      <c r="I57" s="507">
        <f t="shared" si="9"/>
        <v>0</v>
      </c>
      <c r="J57" s="507">
        <f t="shared" si="10"/>
        <v>0</v>
      </c>
      <c r="K57" s="507">
        <f t="shared" si="11"/>
        <v>0</v>
      </c>
      <c r="L57" s="509">
        <f t="shared" si="12"/>
        <v>0</v>
      </c>
      <c r="M57" s="329">
        <f>L57*D57*VPI!Q57</f>
        <v>0</v>
      </c>
    </row>
    <row r="58" spans="1:13" x14ac:dyDescent="0.25">
      <c r="A58" s="172">
        <f>Données!A58</f>
        <v>5491</v>
      </c>
      <c r="B58" s="27" t="str">
        <f>Données!B58</f>
        <v>Mont-la-Ville</v>
      </c>
      <c r="C58" s="384">
        <f>VPI!R58</f>
        <v>13648.672236842105</v>
      </c>
      <c r="D58" s="27">
        <f>Données!Z58</f>
        <v>508</v>
      </c>
      <c r="E58" s="117">
        <f t="shared" si="5"/>
        <v>26.867465033153749</v>
      </c>
      <c r="F58" s="205">
        <f t="shared" si="6"/>
        <v>0.56052320976637471</v>
      </c>
      <c r="G58" s="507">
        <f t="shared" si="7"/>
        <v>0</v>
      </c>
      <c r="H58" s="507">
        <f t="shared" si="8"/>
        <v>0</v>
      </c>
      <c r="I58" s="507">
        <f t="shared" si="9"/>
        <v>0</v>
      </c>
      <c r="J58" s="507">
        <f t="shared" si="10"/>
        <v>0</v>
      </c>
      <c r="K58" s="507">
        <f t="shared" si="11"/>
        <v>0</v>
      </c>
      <c r="L58" s="509">
        <f t="shared" si="12"/>
        <v>0</v>
      </c>
      <c r="M58" s="329">
        <f>L58*D58*VPI!Q58</f>
        <v>0</v>
      </c>
    </row>
    <row r="59" spans="1:13" x14ac:dyDescent="0.25">
      <c r="A59" s="172">
        <f>Données!A59</f>
        <v>5492</v>
      </c>
      <c r="B59" s="27" t="str">
        <f>Données!B59</f>
        <v>Montricher</v>
      </c>
      <c r="C59" s="384">
        <f>VPI!R59</f>
        <v>175265.155</v>
      </c>
      <c r="D59" s="27">
        <f>Données!Z59</f>
        <v>981</v>
      </c>
      <c r="E59" s="117">
        <f t="shared" si="5"/>
        <v>178.65968909276248</v>
      </c>
      <c r="F59" s="205">
        <f t="shared" si="6"/>
        <v>3.7272925548638125</v>
      </c>
      <c r="G59" s="507">
        <f t="shared" si="7"/>
        <v>130.7268567585723</v>
      </c>
      <c r="H59" s="507">
        <f t="shared" si="8"/>
        <v>121.14029029173426</v>
      </c>
      <c r="I59" s="507">
        <f t="shared" si="9"/>
        <v>106.76044059147721</v>
      </c>
      <c r="J59" s="507">
        <f t="shared" si="10"/>
        <v>82.794024424382116</v>
      </c>
      <c r="K59" s="507">
        <f t="shared" si="11"/>
        <v>34.861192090191935</v>
      </c>
      <c r="L59" s="509">
        <f t="shared" si="12"/>
        <v>60.700966091493015</v>
      </c>
      <c r="M59" s="329">
        <f>L59*D59*VPI!Q59</f>
        <v>3811049.4550882974</v>
      </c>
    </row>
    <row r="60" spans="1:13" x14ac:dyDescent="0.25">
      <c r="A60" s="172">
        <f>Données!A60</f>
        <v>5493</v>
      </c>
      <c r="B60" s="27" t="str">
        <f>Données!B60</f>
        <v>Orny</v>
      </c>
      <c r="C60" s="384">
        <f>VPI!R60</f>
        <v>13489.645489989463</v>
      </c>
      <c r="D60" s="27">
        <f>Données!Z60</f>
        <v>480</v>
      </c>
      <c r="E60" s="117">
        <f t="shared" si="5"/>
        <v>28.103428104144715</v>
      </c>
      <c r="F60" s="205">
        <f t="shared" si="6"/>
        <v>0.58630852248008558</v>
      </c>
      <c r="G60" s="507">
        <f t="shared" si="7"/>
        <v>0</v>
      </c>
      <c r="H60" s="507">
        <f t="shared" si="8"/>
        <v>0</v>
      </c>
      <c r="I60" s="507">
        <f t="shared" si="9"/>
        <v>0</v>
      </c>
      <c r="J60" s="507">
        <f t="shared" si="10"/>
        <v>0</v>
      </c>
      <c r="K60" s="507">
        <f t="shared" si="11"/>
        <v>0</v>
      </c>
      <c r="L60" s="509">
        <f t="shared" si="12"/>
        <v>0</v>
      </c>
      <c r="M60" s="329">
        <f>L60*D60*VPI!Q60</f>
        <v>0</v>
      </c>
    </row>
    <row r="61" spans="1:13" x14ac:dyDescent="0.25">
      <c r="A61" s="172">
        <f>Données!A61</f>
        <v>5495</v>
      </c>
      <c r="B61" s="27" t="str">
        <f>Données!B61</f>
        <v>Penthalaz</v>
      </c>
      <c r="C61" s="384">
        <f>VPI!R61</f>
        <v>95307.914324324302</v>
      </c>
      <c r="D61" s="27">
        <f>Données!Z61</f>
        <v>3210</v>
      </c>
      <c r="E61" s="117">
        <f t="shared" si="5"/>
        <v>29.690939041845578</v>
      </c>
      <c r="F61" s="205">
        <f t="shared" si="6"/>
        <v>0.6194280119905875</v>
      </c>
      <c r="G61" s="507">
        <f t="shared" si="7"/>
        <v>0</v>
      </c>
      <c r="H61" s="507">
        <f t="shared" si="8"/>
        <v>0</v>
      </c>
      <c r="I61" s="507">
        <f t="shared" si="9"/>
        <v>0</v>
      </c>
      <c r="J61" s="507">
        <f t="shared" si="10"/>
        <v>0</v>
      </c>
      <c r="K61" s="507">
        <f t="shared" si="11"/>
        <v>0</v>
      </c>
      <c r="L61" s="509">
        <f t="shared" si="12"/>
        <v>0</v>
      </c>
      <c r="M61" s="329">
        <f>L61*D61*VPI!Q61</f>
        <v>0</v>
      </c>
    </row>
    <row r="62" spans="1:13" x14ac:dyDescent="0.25">
      <c r="A62" s="172">
        <f>Données!A62</f>
        <v>5496</v>
      </c>
      <c r="B62" s="27" t="str">
        <f>Données!B62</f>
        <v>Penthaz</v>
      </c>
      <c r="C62" s="384">
        <f>VPI!R62</f>
        <v>56262.398705035986</v>
      </c>
      <c r="D62" s="27">
        <f>Données!Z62</f>
        <v>1890</v>
      </c>
      <c r="E62" s="117">
        <f t="shared" si="5"/>
        <v>29.768464923299465</v>
      </c>
      <c r="F62" s="205">
        <f t="shared" si="6"/>
        <v>0.62104539777145218</v>
      </c>
      <c r="G62" s="507">
        <f t="shared" si="7"/>
        <v>0</v>
      </c>
      <c r="H62" s="507">
        <f t="shared" si="8"/>
        <v>0</v>
      </c>
      <c r="I62" s="507">
        <f t="shared" si="9"/>
        <v>0</v>
      </c>
      <c r="J62" s="507">
        <f t="shared" si="10"/>
        <v>0</v>
      </c>
      <c r="K62" s="507">
        <f t="shared" si="11"/>
        <v>0</v>
      </c>
      <c r="L62" s="509">
        <f t="shared" si="12"/>
        <v>0</v>
      </c>
      <c r="M62" s="329">
        <f>L62*D62*VPI!Q62</f>
        <v>0</v>
      </c>
    </row>
    <row r="63" spans="1:13" x14ac:dyDescent="0.25">
      <c r="A63" s="172">
        <f>Données!A63</f>
        <v>5497</v>
      </c>
      <c r="B63" s="27" t="str">
        <f>Données!B63</f>
        <v>Pompaples</v>
      </c>
      <c r="C63" s="384">
        <f>VPI!R63</f>
        <v>22253.218787878792</v>
      </c>
      <c r="D63" s="27">
        <f>Données!Z63</f>
        <v>849</v>
      </c>
      <c r="E63" s="117">
        <f t="shared" si="5"/>
        <v>26.211093978655821</v>
      </c>
      <c r="F63" s="205">
        <f t="shared" si="6"/>
        <v>0.54682965103982839</v>
      </c>
      <c r="G63" s="507">
        <f t="shared" si="7"/>
        <v>0</v>
      </c>
      <c r="H63" s="507">
        <f t="shared" si="8"/>
        <v>0</v>
      </c>
      <c r="I63" s="507">
        <f t="shared" si="9"/>
        <v>0</v>
      </c>
      <c r="J63" s="507">
        <f t="shared" si="10"/>
        <v>0</v>
      </c>
      <c r="K63" s="507">
        <f t="shared" si="11"/>
        <v>0</v>
      </c>
      <c r="L63" s="509">
        <f t="shared" si="12"/>
        <v>0</v>
      </c>
      <c r="M63" s="329">
        <f>L63*D63*VPI!Q63</f>
        <v>0</v>
      </c>
    </row>
    <row r="64" spans="1:13" x14ac:dyDescent="0.25">
      <c r="A64" s="172">
        <f>Données!A64</f>
        <v>5498</v>
      </c>
      <c r="B64" s="27" t="str">
        <f>Données!B64</f>
        <v>La Sarraz</v>
      </c>
      <c r="C64" s="384">
        <f>VPI!R64</f>
        <v>74676.731060606064</v>
      </c>
      <c r="D64" s="27">
        <f>Données!Z64</f>
        <v>2620</v>
      </c>
      <c r="E64" s="117">
        <f t="shared" si="5"/>
        <v>28.50256910710155</v>
      </c>
      <c r="F64" s="205">
        <f t="shared" si="6"/>
        <v>0.59463561235814666</v>
      </c>
      <c r="G64" s="507">
        <f t="shared" si="7"/>
        <v>0</v>
      </c>
      <c r="H64" s="507">
        <f t="shared" si="8"/>
        <v>0</v>
      </c>
      <c r="I64" s="507">
        <f t="shared" si="9"/>
        <v>0</v>
      </c>
      <c r="J64" s="507">
        <f t="shared" si="10"/>
        <v>0</v>
      </c>
      <c r="K64" s="507">
        <f t="shared" si="11"/>
        <v>0</v>
      </c>
      <c r="L64" s="509">
        <f t="shared" si="12"/>
        <v>0</v>
      </c>
      <c r="M64" s="329">
        <f>L64*D64*VPI!Q64</f>
        <v>0</v>
      </c>
    </row>
    <row r="65" spans="1:13" x14ac:dyDescent="0.25">
      <c r="A65" s="172">
        <f>Données!A65</f>
        <v>5499</v>
      </c>
      <c r="B65" s="27" t="str">
        <f>Données!B65</f>
        <v>Senarclens</v>
      </c>
      <c r="C65" s="384">
        <f>VPI!R65</f>
        <v>18237.495182481751</v>
      </c>
      <c r="D65" s="27">
        <f>Données!Z65</f>
        <v>491</v>
      </c>
      <c r="E65" s="117">
        <f t="shared" si="5"/>
        <v>37.1435747097388</v>
      </c>
      <c r="F65" s="205">
        <f t="shared" si="6"/>
        <v>0.77490882347139178</v>
      </c>
      <c r="G65" s="507">
        <f t="shared" si="7"/>
        <v>0</v>
      </c>
      <c r="H65" s="507">
        <f t="shared" si="8"/>
        <v>0</v>
      </c>
      <c r="I65" s="507">
        <f t="shared" si="9"/>
        <v>0</v>
      </c>
      <c r="J65" s="507">
        <f t="shared" si="10"/>
        <v>0</v>
      </c>
      <c r="K65" s="507">
        <f t="shared" si="11"/>
        <v>0</v>
      </c>
      <c r="L65" s="509">
        <f t="shared" si="12"/>
        <v>0</v>
      </c>
      <c r="M65" s="329">
        <f>L65*D65*VPI!Q65</f>
        <v>0</v>
      </c>
    </row>
    <row r="66" spans="1:13" x14ac:dyDescent="0.25">
      <c r="A66" s="172">
        <f>Données!A66</f>
        <v>5501</v>
      </c>
      <c r="B66" s="27" t="str">
        <f>Données!B66</f>
        <v>Sullens</v>
      </c>
      <c r="C66" s="384">
        <f>VPI!R66</f>
        <v>43189.9197080292</v>
      </c>
      <c r="D66" s="27">
        <f>Données!Z66</f>
        <v>1143</v>
      </c>
      <c r="E66" s="117">
        <f t="shared" si="5"/>
        <v>37.786456437470868</v>
      </c>
      <c r="F66" s="205">
        <f t="shared" si="6"/>
        <v>0.78832096075653835</v>
      </c>
      <c r="G66" s="507">
        <f t="shared" si="7"/>
        <v>0</v>
      </c>
      <c r="H66" s="507">
        <f t="shared" si="8"/>
        <v>0</v>
      </c>
      <c r="I66" s="507">
        <f t="shared" si="9"/>
        <v>0</v>
      </c>
      <c r="J66" s="507">
        <f t="shared" si="10"/>
        <v>0</v>
      </c>
      <c r="K66" s="507">
        <f t="shared" si="11"/>
        <v>0</v>
      </c>
      <c r="L66" s="509">
        <f t="shared" si="12"/>
        <v>0</v>
      </c>
      <c r="M66" s="329">
        <f>L66*D66*VPI!Q66</f>
        <v>0</v>
      </c>
    </row>
    <row r="67" spans="1:13" x14ac:dyDescent="0.25">
      <c r="A67" s="172">
        <f>Données!A67</f>
        <v>5503</v>
      </c>
      <c r="B67" s="27" t="str">
        <f>Données!B67</f>
        <v>Vufflens-la-Ville</v>
      </c>
      <c r="C67" s="384">
        <f>VPI!R67</f>
        <v>79644.71771144279</v>
      </c>
      <c r="D67" s="27">
        <f>Données!Z67</f>
        <v>1346</v>
      </c>
      <c r="E67" s="117">
        <f t="shared" si="5"/>
        <v>59.171409889630603</v>
      </c>
      <c r="F67" s="205">
        <f t="shared" si="6"/>
        <v>1.2344651256384034</v>
      </c>
      <c r="G67" s="507">
        <f t="shared" si="7"/>
        <v>11.238577555440422</v>
      </c>
      <c r="H67" s="507">
        <f t="shared" si="8"/>
        <v>1.6520110886023858</v>
      </c>
      <c r="I67" s="507">
        <f t="shared" si="9"/>
        <v>0</v>
      </c>
      <c r="J67" s="507">
        <f t="shared" si="10"/>
        <v>0</v>
      </c>
      <c r="K67" s="507">
        <f t="shared" si="11"/>
        <v>0</v>
      </c>
      <c r="L67" s="509">
        <f t="shared" si="12"/>
        <v>2.412916619948323</v>
      </c>
      <c r="M67" s="329">
        <f>L67*D67*VPI!Q67</f>
        <v>217601.64662017967</v>
      </c>
    </row>
    <row r="68" spans="1:13" x14ac:dyDescent="0.25">
      <c r="A68" s="172">
        <f>Données!A68</f>
        <v>5511</v>
      </c>
      <c r="B68" s="27" t="str">
        <f>Données!B68</f>
        <v>Assens</v>
      </c>
      <c r="C68" s="384">
        <f>VPI!R68</f>
        <v>70063.08636788046</v>
      </c>
      <c r="D68" s="27">
        <f>Données!Z68</f>
        <v>1669</v>
      </c>
      <c r="E68" s="117">
        <f t="shared" si="5"/>
        <v>41.979081107178224</v>
      </c>
      <c r="F68" s="205">
        <f t="shared" si="6"/>
        <v>0.87578970536307776</v>
      </c>
      <c r="G68" s="507">
        <f t="shared" si="7"/>
        <v>0</v>
      </c>
      <c r="H68" s="507">
        <f t="shared" si="8"/>
        <v>0</v>
      </c>
      <c r="I68" s="507">
        <f t="shared" si="9"/>
        <v>0</v>
      </c>
      <c r="J68" s="507">
        <f t="shared" si="10"/>
        <v>0</v>
      </c>
      <c r="K68" s="507">
        <f t="shared" si="11"/>
        <v>0</v>
      </c>
      <c r="L68" s="509">
        <f t="shared" si="12"/>
        <v>0</v>
      </c>
      <c r="M68" s="329">
        <f>L68*D68*VPI!Q68</f>
        <v>0</v>
      </c>
    </row>
    <row r="69" spans="1:13" x14ac:dyDescent="0.25">
      <c r="A69" s="172">
        <f>Données!A69</f>
        <v>5512</v>
      </c>
      <c r="B69" s="27" t="str">
        <f>Données!B69</f>
        <v>Bercher</v>
      </c>
      <c r="C69" s="384">
        <f>VPI!R69</f>
        <v>40760.724050632911</v>
      </c>
      <c r="D69" s="27">
        <f>Données!Z69</f>
        <v>1320</v>
      </c>
      <c r="E69" s="117">
        <f t="shared" si="5"/>
        <v>30.879336401994628</v>
      </c>
      <c r="F69" s="205">
        <f t="shared" si="6"/>
        <v>0.64422098378627624</v>
      </c>
      <c r="G69" s="507">
        <f t="shared" si="7"/>
        <v>0</v>
      </c>
      <c r="H69" s="507">
        <f t="shared" si="8"/>
        <v>0</v>
      </c>
      <c r="I69" s="507">
        <f t="shared" si="9"/>
        <v>0</v>
      </c>
      <c r="J69" s="507">
        <f t="shared" si="10"/>
        <v>0</v>
      </c>
      <c r="K69" s="507">
        <f t="shared" si="11"/>
        <v>0</v>
      </c>
      <c r="L69" s="509">
        <f t="shared" si="12"/>
        <v>0</v>
      </c>
      <c r="M69" s="329">
        <f>L69*D69*VPI!Q69</f>
        <v>0</v>
      </c>
    </row>
    <row r="70" spans="1:13" x14ac:dyDescent="0.25">
      <c r="A70" s="172">
        <f>Données!A70</f>
        <v>5514</v>
      </c>
      <c r="B70" s="27" t="str">
        <f>Données!B70</f>
        <v>Bottens</v>
      </c>
      <c r="C70" s="384">
        <f>VPI!R70</f>
        <v>44222.939448275865</v>
      </c>
      <c r="D70" s="27">
        <f>Données!Z70</f>
        <v>1357</v>
      </c>
      <c r="E70" s="117">
        <f t="shared" si="5"/>
        <v>32.588754199171603</v>
      </c>
      <c r="F70" s="205">
        <f t="shared" si="6"/>
        <v>0.67988375842180837</v>
      </c>
      <c r="G70" s="507">
        <f t="shared" si="7"/>
        <v>0</v>
      </c>
      <c r="H70" s="507">
        <f t="shared" si="8"/>
        <v>0</v>
      </c>
      <c r="I70" s="507">
        <f t="shared" si="9"/>
        <v>0</v>
      </c>
      <c r="J70" s="507">
        <f t="shared" si="10"/>
        <v>0</v>
      </c>
      <c r="K70" s="507">
        <f t="shared" si="11"/>
        <v>0</v>
      </c>
      <c r="L70" s="509">
        <f t="shared" si="12"/>
        <v>0</v>
      </c>
      <c r="M70" s="329">
        <f>L70*D70*VPI!Q70</f>
        <v>0</v>
      </c>
    </row>
    <row r="71" spans="1:13" x14ac:dyDescent="0.25">
      <c r="A71" s="172">
        <f>Données!A71</f>
        <v>5515</v>
      </c>
      <c r="B71" s="27" t="str">
        <f>Données!B71</f>
        <v>Bretigny-sur-Morrens</v>
      </c>
      <c r="C71" s="384">
        <f>VPI!R71</f>
        <v>32347.747307692302</v>
      </c>
      <c r="D71" s="27">
        <f>Données!Z71</f>
        <v>882</v>
      </c>
      <c r="E71" s="117">
        <f t="shared" ref="E71:E134" si="13">C71/D71</f>
        <v>36.675450462236171</v>
      </c>
      <c r="F71" s="205">
        <f t="shared" ref="F71:F134" si="14">E71/$E$306</f>
        <v>0.7651425688040514</v>
      </c>
      <c r="G71" s="507">
        <f t="shared" ref="G71:G134" si="15">IF(E71-$G$3&lt;0,0,E71-$G$3)</f>
        <v>0</v>
      </c>
      <c r="H71" s="507">
        <f t="shared" ref="H71:H134" si="16">IF(E71-$H$3&lt;0,0,E71-$H$3)</f>
        <v>0</v>
      </c>
      <c r="I71" s="507">
        <f t="shared" ref="I71:I134" si="17">IF(E71-$I$3&lt;0,0,E71-$I$3)</f>
        <v>0</v>
      </c>
      <c r="J71" s="507">
        <f t="shared" ref="J71:J134" si="18">IF(E71-$J$3&lt;0,0,E71-$J$3)</f>
        <v>0</v>
      </c>
      <c r="K71" s="507">
        <f t="shared" ref="K71:K134" si="19">IF(E71-$K$3&lt;0,0,E71-$K$3)</f>
        <v>0</v>
      </c>
      <c r="L71" s="509">
        <f t="shared" ref="L71:L134" si="20">(G71-H71)*$G$4+(H71-I71)*$H$4+(I71-J71)*$I$4+(J71-K71)*$J$4+(K71*$K$4)</f>
        <v>0</v>
      </c>
      <c r="M71" s="329">
        <f>L71*D71*VPI!Q71</f>
        <v>0</v>
      </c>
    </row>
    <row r="72" spans="1:13" x14ac:dyDescent="0.25">
      <c r="A72" s="172">
        <f>Données!A72</f>
        <v>5516</v>
      </c>
      <c r="B72" s="27" t="str">
        <f>Données!B72</f>
        <v>Cugy</v>
      </c>
      <c r="C72" s="384">
        <f>VPI!R72</f>
        <v>111596.10185897433</v>
      </c>
      <c r="D72" s="27">
        <f>Données!Z72</f>
        <v>2733</v>
      </c>
      <c r="E72" s="117">
        <f t="shared" si="13"/>
        <v>40.832821755936457</v>
      </c>
      <c r="F72" s="205">
        <f t="shared" si="14"/>
        <v>0.85187583890824392</v>
      </c>
      <c r="G72" s="507">
        <f t="shared" si="15"/>
        <v>0</v>
      </c>
      <c r="H72" s="507">
        <f t="shared" si="16"/>
        <v>0</v>
      </c>
      <c r="I72" s="507">
        <f t="shared" si="17"/>
        <v>0</v>
      </c>
      <c r="J72" s="507">
        <f t="shared" si="18"/>
        <v>0</v>
      </c>
      <c r="K72" s="507">
        <f t="shared" si="19"/>
        <v>0</v>
      </c>
      <c r="L72" s="509">
        <f t="shared" si="20"/>
        <v>0</v>
      </c>
      <c r="M72" s="329">
        <f>L72*D72*VPI!Q72</f>
        <v>0</v>
      </c>
    </row>
    <row r="73" spans="1:13" x14ac:dyDescent="0.25">
      <c r="A73" s="172">
        <f>Données!A73</f>
        <v>5518</v>
      </c>
      <c r="B73" s="27" t="str">
        <f>Données!B73</f>
        <v>Echallens</v>
      </c>
      <c r="C73" s="384">
        <f>VPI!R73</f>
        <v>183008.89172413788</v>
      </c>
      <c r="D73" s="27">
        <f>Données!Z73</f>
        <v>5739</v>
      </c>
      <c r="E73" s="117">
        <f t="shared" si="13"/>
        <v>31.888637693698882</v>
      </c>
      <c r="F73" s="205">
        <f t="shared" si="14"/>
        <v>0.6652775590511667</v>
      </c>
      <c r="G73" s="507">
        <f t="shared" si="15"/>
        <v>0</v>
      </c>
      <c r="H73" s="507">
        <f t="shared" si="16"/>
        <v>0</v>
      </c>
      <c r="I73" s="507">
        <f t="shared" si="17"/>
        <v>0</v>
      </c>
      <c r="J73" s="507">
        <f t="shared" si="18"/>
        <v>0</v>
      </c>
      <c r="K73" s="507">
        <f t="shared" si="19"/>
        <v>0</v>
      </c>
      <c r="L73" s="509">
        <f t="shared" si="20"/>
        <v>0</v>
      </c>
      <c r="M73" s="329">
        <f>L73*D73*VPI!Q73</f>
        <v>0</v>
      </c>
    </row>
    <row r="74" spans="1:13" x14ac:dyDescent="0.25">
      <c r="A74" s="172">
        <f>Données!A74</f>
        <v>5520</v>
      </c>
      <c r="B74" s="27" t="str">
        <f>Données!B74</f>
        <v>Essertines-sur-Yverdon</v>
      </c>
      <c r="C74" s="384">
        <f>VPI!R74</f>
        <v>31695.423698630133</v>
      </c>
      <c r="D74" s="27">
        <f>Données!Z74</f>
        <v>1059</v>
      </c>
      <c r="E74" s="117">
        <f t="shared" si="13"/>
        <v>29.929578563390116</v>
      </c>
      <c r="F74" s="205">
        <f t="shared" si="14"/>
        <v>0.62440663540847219</v>
      </c>
      <c r="G74" s="507">
        <f t="shared" si="15"/>
        <v>0</v>
      </c>
      <c r="H74" s="507">
        <f t="shared" si="16"/>
        <v>0</v>
      </c>
      <c r="I74" s="507">
        <f t="shared" si="17"/>
        <v>0</v>
      </c>
      <c r="J74" s="507">
        <f t="shared" si="18"/>
        <v>0</v>
      </c>
      <c r="K74" s="507">
        <f t="shared" si="19"/>
        <v>0</v>
      </c>
      <c r="L74" s="509">
        <f t="shared" si="20"/>
        <v>0</v>
      </c>
      <c r="M74" s="329">
        <f>L74*D74*VPI!Q74</f>
        <v>0</v>
      </c>
    </row>
    <row r="75" spans="1:13" x14ac:dyDescent="0.25">
      <c r="A75" s="172">
        <f>Données!A75</f>
        <v>5521</v>
      </c>
      <c r="B75" s="27" t="str">
        <f>Données!B75</f>
        <v>Etagnières</v>
      </c>
      <c r="C75" s="384">
        <f>VPI!R75</f>
        <v>42637.34945205479</v>
      </c>
      <c r="D75" s="27">
        <f>Données!Z75</f>
        <v>1148</v>
      </c>
      <c r="E75" s="117">
        <f t="shared" si="13"/>
        <v>37.140548303183614</v>
      </c>
      <c r="F75" s="205">
        <f t="shared" si="14"/>
        <v>0.77484568498347428</v>
      </c>
      <c r="G75" s="507">
        <f t="shared" si="15"/>
        <v>0</v>
      </c>
      <c r="H75" s="507">
        <f t="shared" si="16"/>
        <v>0</v>
      </c>
      <c r="I75" s="507">
        <f t="shared" si="17"/>
        <v>0</v>
      </c>
      <c r="J75" s="507">
        <f t="shared" si="18"/>
        <v>0</v>
      </c>
      <c r="K75" s="507">
        <f t="shared" si="19"/>
        <v>0</v>
      </c>
      <c r="L75" s="509">
        <f t="shared" si="20"/>
        <v>0</v>
      </c>
      <c r="M75" s="329">
        <f>L75*D75*VPI!Q75</f>
        <v>0</v>
      </c>
    </row>
    <row r="76" spans="1:13" x14ac:dyDescent="0.25">
      <c r="A76" s="172">
        <f>Données!A76</f>
        <v>5522</v>
      </c>
      <c r="B76" s="27" t="str">
        <f>Données!B76</f>
        <v>Fey</v>
      </c>
      <c r="C76" s="384">
        <f>VPI!R76</f>
        <v>23923.447333333334</v>
      </c>
      <c r="D76" s="27">
        <f>Données!Z76</f>
        <v>754</v>
      </c>
      <c r="E76" s="117">
        <f t="shared" si="13"/>
        <v>31.728709991158269</v>
      </c>
      <c r="F76" s="205">
        <f t="shared" si="14"/>
        <v>0.66194106306808798</v>
      </c>
      <c r="G76" s="507">
        <f t="shared" si="15"/>
        <v>0</v>
      </c>
      <c r="H76" s="507">
        <f t="shared" si="16"/>
        <v>0</v>
      </c>
      <c r="I76" s="507">
        <f t="shared" si="17"/>
        <v>0</v>
      </c>
      <c r="J76" s="507">
        <f t="shared" si="18"/>
        <v>0</v>
      </c>
      <c r="K76" s="507">
        <f t="shared" si="19"/>
        <v>0</v>
      </c>
      <c r="L76" s="509">
        <f t="shared" si="20"/>
        <v>0</v>
      </c>
      <c r="M76" s="329">
        <f>L76*D76*VPI!Q76</f>
        <v>0</v>
      </c>
    </row>
    <row r="77" spans="1:13" x14ac:dyDescent="0.25">
      <c r="A77" s="172">
        <f>Données!A77</f>
        <v>5523</v>
      </c>
      <c r="B77" s="27" t="str">
        <f>Données!B77</f>
        <v>Froideville</v>
      </c>
      <c r="C77" s="384">
        <f>VPI!R77</f>
        <v>93735.809027777781</v>
      </c>
      <c r="D77" s="27">
        <f>Données!Z77</f>
        <v>2673</v>
      </c>
      <c r="E77" s="117">
        <f t="shared" si="13"/>
        <v>35.067642733923599</v>
      </c>
      <c r="F77" s="205">
        <f t="shared" si="14"/>
        <v>0.73159963695510799</v>
      </c>
      <c r="G77" s="507">
        <f t="shared" si="15"/>
        <v>0</v>
      </c>
      <c r="H77" s="507">
        <f t="shared" si="16"/>
        <v>0</v>
      </c>
      <c r="I77" s="507">
        <f t="shared" si="17"/>
        <v>0</v>
      </c>
      <c r="J77" s="507">
        <f t="shared" si="18"/>
        <v>0</v>
      </c>
      <c r="K77" s="507">
        <f t="shared" si="19"/>
        <v>0</v>
      </c>
      <c r="L77" s="509">
        <f t="shared" si="20"/>
        <v>0</v>
      </c>
      <c r="M77" s="329">
        <f>L77*D77*VPI!Q77</f>
        <v>0</v>
      </c>
    </row>
    <row r="78" spans="1:13" x14ac:dyDescent="0.25">
      <c r="A78" s="172">
        <f>Données!A78</f>
        <v>5527</v>
      </c>
      <c r="B78" s="27" t="str">
        <f>Données!B78</f>
        <v>Morrens</v>
      </c>
      <c r="C78" s="384">
        <f>VPI!R78</f>
        <v>39310.034189189188</v>
      </c>
      <c r="D78" s="27">
        <f>Données!Z78</f>
        <v>1156</v>
      </c>
      <c r="E78" s="117">
        <f t="shared" si="13"/>
        <v>34.005219886841857</v>
      </c>
      <c r="F78" s="205">
        <f t="shared" si="14"/>
        <v>0.7094348118165793</v>
      </c>
      <c r="G78" s="507">
        <f t="shared" si="15"/>
        <v>0</v>
      </c>
      <c r="H78" s="507">
        <f t="shared" si="16"/>
        <v>0</v>
      </c>
      <c r="I78" s="507">
        <f t="shared" si="17"/>
        <v>0</v>
      </c>
      <c r="J78" s="507">
        <f t="shared" si="18"/>
        <v>0</v>
      </c>
      <c r="K78" s="507">
        <f t="shared" si="19"/>
        <v>0</v>
      </c>
      <c r="L78" s="509">
        <f t="shared" si="20"/>
        <v>0</v>
      </c>
      <c r="M78" s="329">
        <f>L78*D78*VPI!Q78</f>
        <v>0</v>
      </c>
    </row>
    <row r="79" spans="1:13" x14ac:dyDescent="0.25">
      <c r="A79" s="172">
        <f>Données!A79</f>
        <v>5529</v>
      </c>
      <c r="B79" s="27" t="str">
        <f>Données!B79</f>
        <v>Oulens-sous-Echallens</v>
      </c>
      <c r="C79" s="384">
        <f>VPI!R79</f>
        <v>21162.073571428573</v>
      </c>
      <c r="D79" s="27">
        <f>Données!Z79</f>
        <v>619</v>
      </c>
      <c r="E79" s="117">
        <f t="shared" si="13"/>
        <v>34.187517885991234</v>
      </c>
      <c r="F79" s="205">
        <f t="shared" si="14"/>
        <v>0.71323800871256882</v>
      </c>
      <c r="G79" s="507">
        <f t="shared" si="15"/>
        <v>0</v>
      </c>
      <c r="H79" s="507">
        <f t="shared" si="16"/>
        <v>0</v>
      </c>
      <c r="I79" s="507">
        <f t="shared" si="17"/>
        <v>0</v>
      </c>
      <c r="J79" s="507">
        <f t="shared" si="18"/>
        <v>0</v>
      </c>
      <c r="K79" s="507">
        <f t="shared" si="19"/>
        <v>0</v>
      </c>
      <c r="L79" s="509">
        <f t="shared" si="20"/>
        <v>0</v>
      </c>
      <c r="M79" s="329">
        <f>L79*D79*VPI!Q79</f>
        <v>0</v>
      </c>
    </row>
    <row r="80" spans="1:13" x14ac:dyDescent="0.25">
      <c r="A80" s="172">
        <f>Données!A80</f>
        <v>5530</v>
      </c>
      <c r="B80" s="27" t="str">
        <f>Données!B80</f>
        <v>Pailly</v>
      </c>
      <c r="C80" s="384">
        <f>VPI!R80</f>
        <v>19308.365285087715</v>
      </c>
      <c r="D80" s="27">
        <f>Données!Z80</f>
        <v>575</v>
      </c>
      <c r="E80" s="117">
        <f t="shared" si="13"/>
        <v>33.579765713196025</v>
      </c>
      <c r="F80" s="205">
        <f t="shared" si="14"/>
        <v>0.70055876270937145</v>
      </c>
      <c r="G80" s="507">
        <f t="shared" si="15"/>
        <v>0</v>
      </c>
      <c r="H80" s="507">
        <f t="shared" si="16"/>
        <v>0</v>
      </c>
      <c r="I80" s="507">
        <f t="shared" si="17"/>
        <v>0</v>
      </c>
      <c r="J80" s="507">
        <f t="shared" si="18"/>
        <v>0</v>
      </c>
      <c r="K80" s="507">
        <f t="shared" si="19"/>
        <v>0</v>
      </c>
      <c r="L80" s="509">
        <f t="shared" si="20"/>
        <v>0</v>
      </c>
      <c r="M80" s="329">
        <f>L80*D80*VPI!Q80</f>
        <v>0</v>
      </c>
    </row>
    <row r="81" spans="1:13" x14ac:dyDescent="0.25">
      <c r="A81" s="172">
        <f>Données!A81</f>
        <v>5531</v>
      </c>
      <c r="B81" s="27" t="str">
        <f>Données!B81</f>
        <v>Penthéréaz</v>
      </c>
      <c r="C81" s="384">
        <f>VPI!R81</f>
        <v>14300.520945945947</v>
      </c>
      <c r="D81" s="27">
        <f>Données!Z81</f>
        <v>417</v>
      </c>
      <c r="E81" s="117">
        <f t="shared" si="13"/>
        <v>34.293815218095794</v>
      </c>
      <c r="F81" s="205">
        <f t="shared" si="14"/>
        <v>0.715455639654205</v>
      </c>
      <c r="G81" s="507">
        <f t="shared" si="15"/>
        <v>0</v>
      </c>
      <c r="H81" s="507">
        <f t="shared" si="16"/>
        <v>0</v>
      </c>
      <c r="I81" s="507">
        <f t="shared" si="17"/>
        <v>0</v>
      </c>
      <c r="J81" s="507">
        <f t="shared" si="18"/>
        <v>0</v>
      </c>
      <c r="K81" s="507">
        <f t="shared" si="19"/>
        <v>0</v>
      </c>
      <c r="L81" s="509">
        <f t="shared" si="20"/>
        <v>0</v>
      </c>
      <c r="M81" s="329">
        <f>L81*D81*VPI!Q81</f>
        <v>0</v>
      </c>
    </row>
    <row r="82" spans="1:13" x14ac:dyDescent="0.25">
      <c r="A82" s="172">
        <f>Données!A82</f>
        <v>5533</v>
      </c>
      <c r="B82" s="27" t="str">
        <f>Données!B82</f>
        <v>Poliez-Pittet</v>
      </c>
      <c r="C82" s="384">
        <f>VPI!R82</f>
        <v>27495.737397260269</v>
      </c>
      <c r="D82" s="27">
        <f>Données!Z82</f>
        <v>833</v>
      </c>
      <c r="E82" s="117">
        <f t="shared" si="13"/>
        <v>33.008088111957107</v>
      </c>
      <c r="F82" s="205">
        <f t="shared" si="14"/>
        <v>0.68863212342268898</v>
      </c>
      <c r="G82" s="507">
        <f t="shared" si="15"/>
        <v>0</v>
      </c>
      <c r="H82" s="507">
        <f t="shared" si="16"/>
        <v>0</v>
      </c>
      <c r="I82" s="507">
        <f t="shared" si="17"/>
        <v>0</v>
      </c>
      <c r="J82" s="507">
        <f t="shared" si="18"/>
        <v>0</v>
      </c>
      <c r="K82" s="507">
        <f t="shared" si="19"/>
        <v>0</v>
      </c>
      <c r="L82" s="509">
        <f t="shared" si="20"/>
        <v>0</v>
      </c>
      <c r="M82" s="329">
        <f>L82*D82*VPI!Q82</f>
        <v>0</v>
      </c>
    </row>
    <row r="83" spans="1:13" x14ac:dyDescent="0.25">
      <c r="A83" s="172">
        <f>Données!A83</f>
        <v>5534</v>
      </c>
      <c r="B83" s="27" t="str">
        <f>Données!B83</f>
        <v>Rueyres</v>
      </c>
      <c r="C83" s="384">
        <f>VPI!R83</f>
        <v>13098.988310502282</v>
      </c>
      <c r="D83" s="27">
        <f>Données!Z83</f>
        <v>304</v>
      </c>
      <c r="E83" s="117">
        <f t="shared" si="13"/>
        <v>43.088777337178556</v>
      </c>
      <c r="F83" s="205">
        <f t="shared" si="14"/>
        <v>0.89894077272048889</v>
      </c>
      <c r="G83" s="507">
        <f t="shared" si="15"/>
        <v>0</v>
      </c>
      <c r="H83" s="507">
        <f t="shared" si="16"/>
        <v>0</v>
      </c>
      <c r="I83" s="507">
        <f t="shared" si="17"/>
        <v>0</v>
      </c>
      <c r="J83" s="507">
        <f t="shared" si="18"/>
        <v>0</v>
      </c>
      <c r="K83" s="507">
        <f t="shared" si="19"/>
        <v>0</v>
      </c>
      <c r="L83" s="509">
        <f t="shared" si="20"/>
        <v>0</v>
      </c>
      <c r="M83" s="329">
        <f>L83*D83*VPI!Q83</f>
        <v>0</v>
      </c>
    </row>
    <row r="84" spans="1:13" x14ac:dyDescent="0.25">
      <c r="A84" s="172">
        <f>Données!A84</f>
        <v>5535</v>
      </c>
      <c r="B84" s="27" t="str">
        <f>Données!B84</f>
        <v>Saint-Barthélemy</v>
      </c>
      <c r="C84" s="384">
        <f>VPI!R84</f>
        <v>25080.037866666662</v>
      </c>
      <c r="D84" s="27">
        <f>Données!Z84</f>
        <v>809</v>
      </c>
      <c r="E84" s="117">
        <f t="shared" si="13"/>
        <v>31.001282900700449</v>
      </c>
      <c r="F84" s="205">
        <f t="shared" si="14"/>
        <v>0.64676509588579922</v>
      </c>
      <c r="G84" s="507">
        <f t="shared" si="15"/>
        <v>0</v>
      </c>
      <c r="H84" s="507">
        <f t="shared" si="16"/>
        <v>0</v>
      </c>
      <c r="I84" s="507">
        <f t="shared" si="17"/>
        <v>0</v>
      </c>
      <c r="J84" s="507">
        <f t="shared" si="18"/>
        <v>0</v>
      </c>
      <c r="K84" s="507">
        <f t="shared" si="19"/>
        <v>0</v>
      </c>
      <c r="L84" s="509">
        <f t="shared" si="20"/>
        <v>0</v>
      </c>
      <c r="M84" s="329">
        <f>L84*D84*VPI!Q84</f>
        <v>0</v>
      </c>
    </row>
    <row r="85" spans="1:13" x14ac:dyDescent="0.25">
      <c r="A85" s="172">
        <f>Données!A85</f>
        <v>5537</v>
      </c>
      <c r="B85" s="27" t="str">
        <f>Données!B85</f>
        <v>Villars-le-Terroir</v>
      </c>
      <c r="C85" s="384">
        <f>VPI!R85</f>
        <v>42917.111184210531</v>
      </c>
      <c r="D85" s="27">
        <f>Données!Z85</f>
        <v>1316</v>
      </c>
      <c r="E85" s="117">
        <f t="shared" si="13"/>
        <v>32.611786614141742</v>
      </c>
      <c r="F85" s="205">
        <f t="shared" si="14"/>
        <v>0.68036427279678957</v>
      </c>
      <c r="G85" s="507">
        <f t="shared" si="15"/>
        <v>0</v>
      </c>
      <c r="H85" s="507">
        <f t="shared" si="16"/>
        <v>0</v>
      </c>
      <c r="I85" s="507">
        <f t="shared" si="17"/>
        <v>0</v>
      </c>
      <c r="J85" s="507">
        <f t="shared" si="18"/>
        <v>0</v>
      </c>
      <c r="K85" s="507">
        <f t="shared" si="19"/>
        <v>0</v>
      </c>
      <c r="L85" s="509">
        <f t="shared" si="20"/>
        <v>0</v>
      </c>
      <c r="M85" s="329">
        <f>L85*D85*VPI!Q85</f>
        <v>0</v>
      </c>
    </row>
    <row r="86" spans="1:13" x14ac:dyDescent="0.25">
      <c r="A86" s="172">
        <f>Données!A86</f>
        <v>5539</v>
      </c>
      <c r="B86" s="27" t="str">
        <f>Données!B86</f>
        <v>Vuarrens</v>
      </c>
      <c r="C86" s="384">
        <f>VPI!R86</f>
        <v>34556.836734693868</v>
      </c>
      <c r="D86" s="27">
        <f>Données!Z86</f>
        <v>1097</v>
      </c>
      <c r="E86" s="117">
        <f t="shared" si="13"/>
        <v>31.501218536639808</v>
      </c>
      <c r="F86" s="205">
        <f t="shared" si="14"/>
        <v>0.65719501649749568</v>
      </c>
      <c r="G86" s="507">
        <f t="shared" si="15"/>
        <v>0</v>
      </c>
      <c r="H86" s="507">
        <f t="shared" si="16"/>
        <v>0</v>
      </c>
      <c r="I86" s="507">
        <f t="shared" si="17"/>
        <v>0</v>
      </c>
      <c r="J86" s="507">
        <f t="shared" si="18"/>
        <v>0</v>
      </c>
      <c r="K86" s="507">
        <f t="shared" si="19"/>
        <v>0</v>
      </c>
      <c r="L86" s="509">
        <f t="shared" si="20"/>
        <v>0</v>
      </c>
      <c r="M86" s="329">
        <f>L86*D86*VPI!Q86</f>
        <v>0</v>
      </c>
    </row>
    <row r="87" spans="1:13" x14ac:dyDescent="0.25">
      <c r="A87" s="172">
        <f>Données!A87</f>
        <v>5540</v>
      </c>
      <c r="B87" s="27" t="str">
        <f>Données!B87</f>
        <v>Montilliez</v>
      </c>
      <c r="C87" s="384">
        <f>VPI!R87</f>
        <v>63309.453137931036</v>
      </c>
      <c r="D87" s="27">
        <f>Données!Z87</f>
        <v>1883</v>
      </c>
      <c r="E87" s="117">
        <f t="shared" si="13"/>
        <v>33.621589558115261</v>
      </c>
      <c r="F87" s="205">
        <f t="shared" si="14"/>
        <v>0.70143131379560053</v>
      </c>
      <c r="G87" s="507">
        <f t="shared" si="15"/>
        <v>0</v>
      </c>
      <c r="H87" s="507">
        <f t="shared" si="16"/>
        <v>0</v>
      </c>
      <c r="I87" s="507">
        <f t="shared" si="17"/>
        <v>0</v>
      </c>
      <c r="J87" s="507">
        <f t="shared" si="18"/>
        <v>0</v>
      </c>
      <c r="K87" s="507">
        <f t="shared" si="19"/>
        <v>0</v>
      </c>
      <c r="L87" s="509">
        <f t="shared" si="20"/>
        <v>0</v>
      </c>
      <c r="M87" s="329">
        <f>L87*D87*VPI!Q87</f>
        <v>0</v>
      </c>
    </row>
    <row r="88" spans="1:13" x14ac:dyDescent="0.25">
      <c r="A88" s="172">
        <f>Données!A88</f>
        <v>5541</v>
      </c>
      <c r="B88" s="27" t="str">
        <f>Données!B88</f>
        <v>Goumoëns</v>
      </c>
      <c r="C88" s="384">
        <f>VPI!R88</f>
        <v>41276.409536423838</v>
      </c>
      <c r="D88" s="27">
        <f>Données!Z88</f>
        <v>1166</v>
      </c>
      <c r="E88" s="117">
        <f t="shared" si="13"/>
        <v>35.40000817875115</v>
      </c>
      <c r="F88" s="205">
        <f t="shared" si="14"/>
        <v>0.73853361996095845</v>
      </c>
      <c r="G88" s="507">
        <f t="shared" si="15"/>
        <v>0</v>
      </c>
      <c r="H88" s="507">
        <f t="shared" si="16"/>
        <v>0</v>
      </c>
      <c r="I88" s="507">
        <f t="shared" si="17"/>
        <v>0</v>
      </c>
      <c r="J88" s="507">
        <f t="shared" si="18"/>
        <v>0</v>
      </c>
      <c r="K88" s="507">
        <f t="shared" si="19"/>
        <v>0</v>
      </c>
      <c r="L88" s="509">
        <f t="shared" si="20"/>
        <v>0</v>
      </c>
      <c r="M88" s="329">
        <f>L88*D88*VPI!Q88</f>
        <v>0</v>
      </c>
    </row>
    <row r="89" spans="1:13" x14ac:dyDescent="0.25">
      <c r="A89" s="172">
        <f>Données!A89</f>
        <v>5551</v>
      </c>
      <c r="B89" s="27" t="str">
        <f>Données!B89</f>
        <v>Bonvillars</v>
      </c>
      <c r="C89" s="384">
        <f>VPI!R89</f>
        <v>18704.487454545451</v>
      </c>
      <c r="D89" s="27">
        <f>Données!Z89</f>
        <v>481</v>
      </c>
      <c r="E89" s="117">
        <f t="shared" si="13"/>
        <v>38.886668304668298</v>
      </c>
      <c r="F89" s="205">
        <f t="shared" si="14"/>
        <v>0.81127416034062916</v>
      </c>
      <c r="G89" s="507">
        <f t="shared" si="15"/>
        <v>0</v>
      </c>
      <c r="H89" s="507">
        <f t="shared" si="16"/>
        <v>0</v>
      </c>
      <c r="I89" s="507">
        <f t="shared" si="17"/>
        <v>0</v>
      </c>
      <c r="J89" s="507">
        <f t="shared" si="18"/>
        <v>0</v>
      </c>
      <c r="K89" s="507">
        <f t="shared" si="19"/>
        <v>0</v>
      </c>
      <c r="L89" s="509">
        <f t="shared" si="20"/>
        <v>0</v>
      </c>
      <c r="M89" s="329">
        <f>L89*D89*VPI!Q89</f>
        <v>0</v>
      </c>
    </row>
    <row r="90" spans="1:13" x14ac:dyDescent="0.25">
      <c r="A90" s="172">
        <f>Données!A90</f>
        <v>5552</v>
      </c>
      <c r="B90" s="27" t="str">
        <f>Données!B90</f>
        <v>Bullet</v>
      </c>
      <c r="C90" s="384">
        <f>VPI!R90</f>
        <v>19598.576923076926</v>
      </c>
      <c r="D90" s="27">
        <f>Données!Z90</f>
        <v>657</v>
      </c>
      <c r="E90" s="117">
        <f t="shared" si="13"/>
        <v>29.830406275611757</v>
      </c>
      <c r="F90" s="205">
        <f t="shared" si="14"/>
        <v>0.62233765089516568</v>
      </c>
      <c r="G90" s="507">
        <f t="shared" si="15"/>
        <v>0</v>
      </c>
      <c r="H90" s="507">
        <f t="shared" si="16"/>
        <v>0</v>
      </c>
      <c r="I90" s="507">
        <f t="shared" si="17"/>
        <v>0</v>
      </c>
      <c r="J90" s="507">
        <f t="shared" si="18"/>
        <v>0</v>
      </c>
      <c r="K90" s="507">
        <f t="shared" si="19"/>
        <v>0</v>
      </c>
      <c r="L90" s="509">
        <f t="shared" si="20"/>
        <v>0</v>
      </c>
      <c r="M90" s="329">
        <f>L90*D90*VPI!Q90</f>
        <v>0</v>
      </c>
    </row>
    <row r="91" spans="1:13" x14ac:dyDescent="0.25">
      <c r="A91" s="172">
        <f>Données!A91</f>
        <v>5553</v>
      </c>
      <c r="B91" s="27" t="str">
        <f>Données!B91</f>
        <v>Champagne</v>
      </c>
      <c r="C91" s="384">
        <f>VPI!R91</f>
        <v>40077.283076923086</v>
      </c>
      <c r="D91" s="27">
        <f>Données!Z91</f>
        <v>1085</v>
      </c>
      <c r="E91" s="117">
        <f t="shared" si="13"/>
        <v>36.937588089330035</v>
      </c>
      <c r="F91" s="205">
        <f t="shared" si="14"/>
        <v>0.77061142207911404</v>
      </c>
      <c r="G91" s="507">
        <f t="shared" si="15"/>
        <v>0</v>
      </c>
      <c r="H91" s="507">
        <f t="shared" si="16"/>
        <v>0</v>
      </c>
      <c r="I91" s="507">
        <f t="shared" si="17"/>
        <v>0</v>
      </c>
      <c r="J91" s="507">
        <f t="shared" si="18"/>
        <v>0</v>
      </c>
      <c r="K91" s="507">
        <f t="shared" si="19"/>
        <v>0</v>
      </c>
      <c r="L91" s="509">
        <f t="shared" si="20"/>
        <v>0</v>
      </c>
      <c r="M91" s="329">
        <f>L91*D91*VPI!Q91</f>
        <v>0</v>
      </c>
    </row>
    <row r="92" spans="1:13" x14ac:dyDescent="0.25">
      <c r="A92" s="172">
        <f>Données!A92</f>
        <v>5554</v>
      </c>
      <c r="B92" s="27" t="str">
        <f>Données!B92</f>
        <v>Concise</v>
      </c>
      <c r="C92" s="384">
        <f>VPI!R92</f>
        <v>31499.25106666666</v>
      </c>
      <c r="D92" s="27">
        <f>Données!Z92</f>
        <v>1004</v>
      </c>
      <c r="E92" s="117">
        <f t="shared" si="13"/>
        <v>31.373756042496673</v>
      </c>
      <c r="F92" s="205">
        <f t="shared" si="14"/>
        <v>0.6545358267952377</v>
      </c>
      <c r="G92" s="507">
        <f t="shared" si="15"/>
        <v>0</v>
      </c>
      <c r="H92" s="507">
        <f t="shared" si="16"/>
        <v>0</v>
      </c>
      <c r="I92" s="507">
        <f t="shared" si="17"/>
        <v>0</v>
      </c>
      <c r="J92" s="507">
        <f t="shared" si="18"/>
        <v>0</v>
      </c>
      <c r="K92" s="507">
        <f t="shared" si="19"/>
        <v>0</v>
      </c>
      <c r="L92" s="509">
        <f t="shared" si="20"/>
        <v>0</v>
      </c>
      <c r="M92" s="329">
        <f>L92*D92*VPI!Q92</f>
        <v>0</v>
      </c>
    </row>
    <row r="93" spans="1:13" x14ac:dyDescent="0.25">
      <c r="A93" s="172">
        <f>Données!A93</f>
        <v>5555</v>
      </c>
      <c r="B93" s="27" t="str">
        <f>Données!B93</f>
        <v>Corcelles-près-Concise</v>
      </c>
      <c r="C93" s="384">
        <f>VPI!R93</f>
        <v>13877.681159420288</v>
      </c>
      <c r="D93" s="27">
        <f>Données!Z93</f>
        <v>417</v>
      </c>
      <c r="E93" s="117">
        <f t="shared" si="13"/>
        <v>33.279810933861604</v>
      </c>
      <c r="F93" s="205">
        <f t="shared" si="14"/>
        <v>0.69430094808153719</v>
      </c>
      <c r="G93" s="507">
        <f t="shared" si="15"/>
        <v>0</v>
      </c>
      <c r="H93" s="507">
        <f t="shared" si="16"/>
        <v>0</v>
      </c>
      <c r="I93" s="507">
        <f t="shared" si="17"/>
        <v>0</v>
      </c>
      <c r="J93" s="507">
        <f t="shared" si="18"/>
        <v>0</v>
      </c>
      <c r="K93" s="507">
        <f t="shared" si="19"/>
        <v>0</v>
      </c>
      <c r="L93" s="509">
        <f t="shared" si="20"/>
        <v>0</v>
      </c>
      <c r="M93" s="329">
        <f>L93*D93*VPI!Q93</f>
        <v>0</v>
      </c>
    </row>
    <row r="94" spans="1:13" x14ac:dyDescent="0.25">
      <c r="A94" s="172">
        <f>Données!A94</f>
        <v>5556</v>
      </c>
      <c r="B94" s="27" t="str">
        <f>Données!B94</f>
        <v>Fiez</v>
      </c>
      <c r="C94" s="384">
        <f>VPI!R94</f>
        <v>14574.59084541063</v>
      </c>
      <c r="D94" s="27">
        <f>Données!Z94</f>
        <v>442</v>
      </c>
      <c r="E94" s="117">
        <f t="shared" si="13"/>
        <v>32.974187433055725</v>
      </c>
      <c r="F94" s="205">
        <f t="shared" si="14"/>
        <v>0.687924869599985</v>
      </c>
      <c r="G94" s="507">
        <f t="shared" si="15"/>
        <v>0</v>
      </c>
      <c r="H94" s="507">
        <f t="shared" si="16"/>
        <v>0</v>
      </c>
      <c r="I94" s="507">
        <f t="shared" si="17"/>
        <v>0</v>
      </c>
      <c r="J94" s="507">
        <f t="shared" si="18"/>
        <v>0</v>
      </c>
      <c r="K94" s="507">
        <f t="shared" si="19"/>
        <v>0</v>
      </c>
      <c r="L94" s="509">
        <f t="shared" si="20"/>
        <v>0</v>
      </c>
      <c r="M94" s="329">
        <f>L94*D94*VPI!Q94</f>
        <v>0</v>
      </c>
    </row>
    <row r="95" spans="1:13" x14ac:dyDescent="0.25">
      <c r="A95" s="172">
        <f>Données!A95</f>
        <v>5557</v>
      </c>
      <c r="B95" s="27" t="str">
        <f>Données!B95</f>
        <v>Fontaines-sur-Grandson</v>
      </c>
      <c r="C95" s="384">
        <f>VPI!R95</f>
        <v>4232.7078260869557</v>
      </c>
      <c r="D95" s="27">
        <f>Données!Z95</f>
        <v>220</v>
      </c>
      <c r="E95" s="117">
        <f t="shared" si="13"/>
        <v>19.239581027667981</v>
      </c>
      <c r="F95" s="205">
        <f t="shared" si="14"/>
        <v>0.40138627514286301</v>
      </c>
      <c r="G95" s="507">
        <f t="shared" si="15"/>
        <v>0</v>
      </c>
      <c r="H95" s="507">
        <f t="shared" si="16"/>
        <v>0</v>
      </c>
      <c r="I95" s="507">
        <f t="shared" si="17"/>
        <v>0</v>
      </c>
      <c r="J95" s="507">
        <f t="shared" si="18"/>
        <v>0</v>
      </c>
      <c r="K95" s="507">
        <f t="shared" si="19"/>
        <v>0</v>
      </c>
      <c r="L95" s="509">
        <f t="shared" si="20"/>
        <v>0</v>
      </c>
      <c r="M95" s="329">
        <f>L95*D95*VPI!Q95</f>
        <v>0</v>
      </c>
    </row>
    <row r="96" spans="1:13" x14ac:dyDescent="0.25">
      <c r="A96" s="172">
        <f>Données!A96</f>
        <v>5559</v>
      </c>
      <c r="B96" s="27" t="str">
        <f>Données!B96</f>
        <v>Giez</v>
      </c>
      <c r="C96" s="384">
        <f>VPI!R96</f>
        <v>23427.520303030306</v>
      </c>
      <c r="D96" s="27">
        <f>Données!Z96</f>
        <v>443</v>
      </c>
      <c r="E96" s="117">
        <f t="shared" si="13"/>
        <v>52.883793009097758</v>
      </c>
      <c r="F96" s="205">
        <f t="shared" si="14"/>
        <v>1.1032895498515345</v>
      </c>
      <c r="G96" s="507">
        <f t="shared" si="15"/>
        <v>4.9509606749075772</v>
      </c>
      <c r="H96" s="507">
        <f t="shared" si="16"/>
        <v>0</v>
      </c>
      <c r="I96" s="507">
        <f t="shared" si="17"/>
        <v>0</v>
      </c>
      <c r="J96" s="507">
        <f t="shared" si="18"/>
        <v>0</v>
      </c>
      <c r="K96" s="507">
        <f t="shared" si="19"/>
        <v>0</v>
      </c>
      <c r="L96" s="509">
        <f t="shared" si="20"/>
        <v>0.99019213498151548</v>
      </c>
      <c r="M96" s="329">
        <f>L96*D96*VPI!Q96</f>
        <v>28951.237642589549</v>
      </c>
    </row>
    <row r="97" spans="1:13" x14ac:dyDescent="0.25">
      <c r="A97" s="172">
        <f>Données!A97</f>
        <v>5560</v>
      </c>
      <c r="B97" s="27" t="str">
        <f>Données!B97</f>
        <v>Grandevent</v>
      </c>
      <c r="C97" s="384">
        <f>VPI!R97</f>
        <v>7003.3020588235295</v>
      </c>
      <c r="D97" s="27">
        <f>Données!Z97</f>
        <v>238</v>
      </c>
      <c r="E97" s="117">
        <f t="shared" si="13"/>
        <v>29.425638902619873</v>
      </c>
      <c r="F97" s="205">
        <f t="shared" si="14"/>
        <v>0.61389318072136445</v>
      </c>
      <c r="G97" s="507">
        <f t="shared" si="15"/>
        <v>0</v>
      </c>
      <c r="H97" s="507">
        <f t="shared" si="16"/>
        <v>0</v>
      </c>
      <c r="I97" s="507">
        <f t="shared" si="17"/>
        <v>0</v>
      </c>
      <c r="J97" s="507">
        <f t="shared" si="18"/>
        <v>0</v>
      </c>
      <c r="K97" s="507">
        <f t="shared" si="19"/>
        <v>0</v>
      </c>
      <c r="L97" s="509">
        <f t="shared" si="20"/>
        <v>0</v>
      </c>
      <c r="M97" s="329">
        <f>L97*D97*VPI!Q97</f>
        <v>0</v>
      </c>
    </row>
    <row r="98" spans="1:13" x14ac:dyDescent="0.25">
      <c r="A98" s="172">
        <f>Données!A98</f>
        <v>5561</v>
      </c>
      <c r="B98" s="27" t="str">
        <f>Données!B98</f>
        <v>Grandson</v>
      </c>
      <c r="C98" s="384">
        <f>VPI!R98</f>
        <v>114496.59724637681</v>
      </c>
      <c r="D98" s="27">
        <f>Données!Z98</f>
        <v>3366</v>
      </c>
      <c r="E98" s="117">
        <f t="shared" si="13"/>
        <v>34.015626038733458</v>
      </c>
      <c r="F98" s="205">
        <f t="shared" si="14"/>
        <v>0.70965191043948239</v>
      </c>
      <c r="G98" s="507">
        <f t="shared" si="15"/>
        <v>0</v>
      </c>
      <c r="H98" s="507">
        <f t="shared" si="16"/>
        <v>0</v>
      </c>
      <c r="I98" s="507">
        <f t="shared" si="17"/>
        <v>0</v>
      </c>
      <c r="J98" s="507">
        <f t="shared" si="18"/>
        <v>0</v>
      </c>
      <c r="K98" s="507">
        <f t="shared" si="19"/>
        <v>0</v>
      </c>
      <c r="L98" s="509">
        <f t="shared" si="20"/>
        <v>0</v>
      </c>
      <c r="M98" s="329">
        <f>L98*D98*VPI!Q98</f>
        <v>0</v>
      </c>
    </row>
    <row r="99" spans="1:13" x14ac:dyDescent="0.25">
      <c r="A99" s="172">
        <f>Données!A99</f>
        <v>5562</v>
      </c>
      <c r="B99" s="27" t="str">
        <f>Données!B99</f>
        <v>Mauborget</v>
      </c>
      <c r="C99" s="384">
        <f>VPI!R99</f>
        <v>6099.4266904761898</v>
      </c>
      <c r="D99" s="27">
        <f>Données!Z99</f>
        <v>137</v>
      </c>
      <c r="E99" s="117">
        <f t="shared" si="13"/>
        <v>44.521362704205764</v>
      </c>
      <c r="F99" s="205">
        <f t="shared" si="14"/>
        <v>0.92882812335813014</v>
      </c>
      <c r="G99" s="507">
        <f t="shared" si="15"/>
        <v>0</v>
      </c>
      <c r="H99" s="507">
        <f t="shared" si="16"/>
        <v>0</v>
      </c>
      <c r="I99" s="507">
        <f t="shared" si="17"/>
        <v>0</v>
      </c>
      <c r="J99" s="507">
        <f t="shared" si="18"/>
        <v>0</v>
      </c>
      <c r="K99" s="507">
        <f t="shared" si="19"/>
        <v>0</v>
      </c>
      <c r="L99" s="509">
        <f t="shared" si="20"/>
        <v>0</v>
      </c>
      <c r="M99" s="329">
        <f>L99*D99*VPI!Q99</f>
        <v>0</v>
      </c>
    </row>
    <row r="100" spans="1:13" x14ac:dyDescent="0.25">
      <c r="A100" s="172">
        <f>Données!A100</f>
        <v>5563</v>
      </c>
      <c r="B100" s="27" t="str">
        <f>Données!B100</f>
        <v>Mutrux</v>
      </c>
      <c r="C100" s="384">
        <f>VPI!R100</f>
        <v>4282.2106250000006</v>
      </c>
      <c r="D100" s="27">
        <f>Données!Z100</f>
        <v>151</v>
      </c>
      <c r="E100" s="117">
        <f t="shared" si="13"/>
        <v>28.35901076158941</v>
      </c>
      <c r="F100" s="205">
        <f t="shared" si="14"/>
        <v>0.591640622525056</v>
      </c>
      <c r="G100" s="507">
        <f t="shared" si="15"/>
        <v>0</v>
      </c>
      <c r="H100" s="507">
        <f t="shared" si="16"/>
        <v>0</v>
      </c>
      <c r="I100" s="507">
        <f t="shared" si="17"/>
        <v>0</v>
      </c>
      <c r="J100" s="507">
        <f t="shared" si="18"/>
        <v>0</v>
      </c>
      <c r="K100" s="507">
        <f t="shared" si="19"/>
        <v>0</v>
      </c>
      <c r="L100" s="509">
        <f t="shared" si="20"/>
        <v>0</v>
      </c>
      <c r="M100" s="329">
        <f>L100*D100*VPI!Q100</f>
        <v>0</v>
      </c>
    </row>
    <row r="101" spans="1:13" x14ac:dyDescent="0.25">
      <c r="A101" s="172">
        <f>Données!A101</f>
        <v>5564</v>
      </c>
      <c r="B101" s="27" t="str">
        <f>Données!B101</f>
        <v>Novalles</v>
      </c>
      <c r="C101" s="384">
        <f>VPI!R101</f>
        <v>2099.5443749999999</v>
      </c>
      <c r="D101" s="27">
        <f>Données!Z101</f>
        <v>103</v>
      </c>
      <c r="E101" s="117">
        <f t="shared" si="13"/>
        <v>20.383925970873786</v>
      </c>
      <c r="F101" s="205">
        <f t="shared" si="14"/>
        <v>0.42526020220870742</v>
      </c>
      <c r="G101" s="507">
        <f t="shared" si="15"/>
        <v>0</v>
      </c>
      <c r="H101" s="507">
        <f t="shared" si="16"/>
        <v>0</v>
      </c>
      <c r="I101" s="507">
        <f t="shared" si="17"/>
        <v>0</v>
      </c>
      <c r="J101" s="507">
        <f t="shared" si="18"/>
        <v>0</v>
      </c>
      <c r="K101" s="507">
        <f t="shared" si="19"/>
        <v>0</v>
      </c>
      <c r="L101" s="509">
        <f t="shared" si="20"/>
        <v>0</v>
      </c>
      <c r="M101" s="329">
        <f>L101*D101*VPI!Q101</f>
        <v>0</v>
      </c>
    </row>
    <row r="102" spans="1:13" x14ac:dyDescent="0.25">
      <c r="A102" s="172">
        <f>Données!A102</f>
        <v>5565</v>
      </c>
      <c r="B102" s="27" t="str">
        <f>Données!B102</f>
        <v>Onnens</v>
      </c>
      <c r="C102" s="384">
        <f>VPI!R102</f>
        <v>22684.162047244088</v>
      </c>
      <c r="D102" s="27">
        <f>Données!Z102</f>
        <v>495</v>
      </c>
      <c r="E102" s="117">
        <f t="shared" si="13"/>
        <v>45.826589994432503</v>
      </c>
      <c r="F102" s="205">
        <f t="shared" si="14"/>
        <v>0.95605846270312489</v>
      </c>
      <c r="G102" s="507">
        <f t="shared" si="15"/>
        <v>0</v>
      </c>
      <c r="H102" s="507">
        <f t="shared" si="16"/>
        <v>0</v>
      </c>
      <c r="I102" s="507">
        <f t="shared" si="17"/>
        <v>0</v>
      </c>
      <c r="J102" s="507">
        <f t="shared" si="18"/>
        <v>0</v>
      </c>
      <c r="K102" s="507">
        <f t="shared" si="19"/>
        <v>0</v>
      </c>
      <c r="L102" s="509">
        <f t="shared" si="20"/>
        <v>0</v>
      </c>
      <c r="M102" s="329">
        <f>L102*D102*VPI!Q102</f>
        <v>0</v>
      </c>
    </row>
    <row r="103" spans="1:13" x14ac:dyDescent="0.25">
      <c r="A103" s="172">
        <f>Données!A103</f>
        <v>5566</v>
      </c>
      <c r="B103" s="27" t="str">
        <f>Données!B103</f>
        <v>Provence</v>
      </c>
      <c r="C103" s="384">
        <f>VPI!R103</f>
        <v>9377.2088888888902</v>
      </c>
      <c r="D103" s="27">
        <f>Données!Z103</f>
        <v>403</v>
      </c>
      <c r="E103" s="117">
        <f t="shared" si="13"/>
        <v>23.268508409153572</v>
      </c>
      <c r="F103" s="205">
        <f t="shared" si="14"/>
        <v>0.48543988068396066</v>
      </c>
      <c r="G103" s="507">
        <f t="shared" si="15"/>
        <v>0</v>
      </c>
      <c r="H103" s="507">
        <f t="shared" si="16"/>
        <v>0</v>
      </c>
      <c r="I103" s="507">
        <f t="shared" si="17"/>
        <v>0</v>
      </c>
      <c r="J103" s="507">
        <f t="shared" si="18"/>
        <v>0</v>
      </c>
      <c r="K103" s="507">
        <f t="shared" si="19"/>
        <v>0</v>
      </c>
      <c r="L103" s="509">
        <f t="shared" si="20"/>
        <v>0</v>
      </c>
      <c r="M103" s="329">
        <f>L103*D103*VPI!Q103</f>
        <v>0</v>
      </c>
    </row>
    <row r="104" spans="1:13" x14ac:dyDescent="0.25">
      <c r="A104" s="172">
        <f>Données!A104</f>
        <v>5568</v>
      </c>
      <c r="B104" s="27" t="str">
        <f>Données!B104</f>
        <v>Sainte-Croix</v>
      </c>
      <c r="C104" s="384">
        <f>VPI!R104</f>
        <v>109152.09599999999</v>
      </c>
      <c r="D104" s="27">
        <f>Données!Z104</f>
        <v>4948</v>
      </c>
      <c r="E104" s="117">
        <f t="shared" si="13"/>
        <v>22.059841552142277</v>
      </c>
      <c r="F104" s="205">
        <f t="shared" si="14"/>
        <v>0.46022403596641076</v>
      </c>
      <c r="G104" s="507">
        <f t="shared" si="15"/>
        <v>0</v>
      </c>
      <c r="H104" s="507">
        <f t="shared" si="16"/>
        <v>0</v>
      </c>
      <c r="I104" s="507">
        <f t="shared" si="17"/>
        <v>0</v>
      </c>
      <c r="J104" s="507">
        <f t="shared" si="18"/>
        <v>0</v>
      </c>
      <c r="K104" s="507">
        <f t="shared" si="19"/>
        <v>0</v>
      </c>
      <c r="L104" s="509">
        <f t="shared" si="20"/>
        <v>0</v>
      </c>
      <c r="M104" s="329">
        <f>L104*D104*VPI!Q104</f>
        <v>0</v>
      </c>
    </row>
    <row r="105" spans="1:13" x14ac:dyDescent="0.25">
      <c r="A105" s="172">
        <f>Données!A105</f>
        <v>5571</v>
      </c>
      <c r="B105" s="27" t="str">
        <f>Données!B105</f>
        <v>Tévenon</v>
      </c>
      <c r="C105" s="384">
        <f>VPI!R105</f>
        <v>25324.815594405594</v>
      </c>
      <c r="D105" s="27">
        <f>Données!Z105</f>
        <v>883</v>
      </c>
      <c r="E105" s="117">
        <f t="shared" si="13"/>
        <v>28.680425361727739</v>
      </c>
      <c r="F105" s="205">
        <f t="shared" si="14"/>
        <v>0.59834614323990565</v>
      </c>
      <c r="G105" s="507">
        <f t="shared" si="15"/>
        <v>0</v>
      </c>
      <c r="H105" s="507">
        <f t="shared" si="16"/>
        <v>0</v>
      </c>
      <c r="I105" s="507">
        <f t="shared" si="17"/>
        <v>0</v>
      </c>
      <c r="J105" s="507">
        <f t="shared" si="18"/>
        <v>0</v>
      </c>
      <c r="K105" s="507">
        <f t="shared" si="19"/>
        <v>0</v>
      </c>
      <c r="L105" s="509">
        <f t="shared" si="20"/>
        <v>0</v>
      </c>
      <c r="M105" s="329">
        <f>L105*D105*VPI!Q105</f>
        <v>0</v>
      </c>
    </row>
    <row r="106" spans="1:13" x14ac:dyDescent="0.25">
      <c r="A106" s="172">
        <f>Données!A106</f>
        <v>5581</v>
      </c>
      <c r="B106" s="27" t="str">
        <f>Données!B106</f>
        <v>Belmont-sur-Lausanne</v>
      </c>
      <c r="C106" s="384">
        <f>VPI!R106</f>
        <v>215428.66976851854</v>
      </c>
      <c r="D106" s="27">
        <f>Données!Z106</f>
        <v>3871</v>
      </c>
      <c r="E106" s="117">
        <f t="shared" si="13"/>
        <v>55.651942590679035</v>
      </c>
      <c r="F106" s="205">
        <f t="shared" si="14"/>
        <v>1.1610401447315031</v>
      </c>
      <c r="G106" s="507">
        <f t="shared" si="15"/>
        <v>7.7191102564888538</v>
      </c>
      <c r="H106" s="507">
        <f t="shared" si="16"/>
        <v>0</v>
      </c>
      <c r="I106" s="507">
        <f t="shared" si="17"/>
        <v>0</v>
      </c>
      <c r="J106" s="507">
        <f t="shared" si="18"/>
        <v>0</v>
      </c>
      <c r="K106" s="507">
        <f t="shared" si="19"/>
        <v>0</v>
      </c>
      <c r="L106" s="509">
        <f t="shared" si="20"/>
        <v>1.5438220512977709</v>
      </c>
      <c r="M106" s="329">
        <f>L106*D106*VPI!Q106</f>
        <v>430281.73156130436</v>
      </c>
    </row>
    <row r="107" spans="1:13" x14ac:dyDescent="0.25">
      <c r="A107" s="172">
        <f>Données!A107</f>
        <v>5582</v>
      </c>
      <c r="B107" s="27" t="str">
        <f>Données!B107</f>
        <v>Cheseaux-sur-Lausanne</v>
      </c>
      <c r="C107" s="384">
        <f>VPI!R107</f>
        <v>167486.36602739722</v>
      </c>
      <c r="D107" s="27">
        <f>Données!Z107</f>
        <v>4449</v>
      </c>
      <c r="E107" s="117">
        <f t="shared" si="13"/>
        <v>37.64584536466559</v>
      </c>
      <c r="F107" s="205">
        <f t="shared" si="14"/>
        <v>0.78538745847933233</v>
      </c>
      <c r="G107" s="507">
        <f t="shared" si="15"/>
        <v>0</v>
      </c>
      <c r="H107" s="507">
        <f t="shared" si="16"/>
        <v>0</v>
      </c>
      <c r="I107" s="507">
        <f t="shared" si="17"/>
        <v>0</v>
      </c>
      <c r="J107" s="507">
        <f t="shared" si="18"/>
        <v>0</v>
      </c>
      <c r="K107" s="507">
        <f t="shared" si="19"/>
        <v>0</v>
      </c>
      <c r="L107" s="509">
        <f t="shared" si="20"/>
        <v>0</v>
      </c>
      <c r="M107" s="329">
        <f>L107*D107*VPI!Q107</f>
        <v>0</v>
      </c>
    </row>
    <row r="108" spans="1:13" x14ac:dyDescent="0.25">
      <c r="A108" s="172">
        <f>Données!A108</f>
        <v>5583</v>
      </c>
      <c r="B108" s="27" t="str">
        <f>Données!B108</f>
        <v>Crissier</v>
      </c>
      <c r="C108" s="384">
        <f>VPI!R108</f>
        <v>337339.7176377952</v>
      </c>
      <c r="D108" s="27">
        <f>Données!Z108</f>
        <v>8974</v>
      </c>
      <c r="E108" s="117">
        <f t="shared" si="13"/>
        <v>37.590786453955339</v>
      </c>
      <c r="F108" s="205">
        <f t="shared" si="14"/>
        <v>0.78423879047810974</v>
      </c>
      <c r="G108" s="507">
        <f t="shared" si="15"/>
        <v>0</v>
      </c>
      <c r="H108" s="507">
        <f t="shared" si="16"/>
        <v>0</v>
      </c>
      <c r="I108" s="507">
        <f t="shared" si="17"/>
        <v>0</v>
      </c>
      <c r="J108" s="507">
        <f t="shared" si="18"/>
        <v>0</v>
      </c>
      <c r="K108" s="507">
        <f t="shared" si="19"/>
        <v>0</v>
      </c>
      <c r="L108" s="509">
        <f t="shared" si="20"/>
        <v>0</v>
      </c>
      <c r="M108" s="329">
        <f>L108*D108*VPI!Q108</f>
        <v>0</v>
      </c>
    </row>
    <row r="109" spans="1:13" x14ac:dyDescent="0.25">
      <c r="A109" s="172">
        <f>Données!A109</f>
        <v>5584</v>
      </c>
      <c r="B109" s="27" t="str">
        <f>Données!B109</f>
        <v>Epalinges</v>
      </c>
      <c r="C109" s="384">
        <f>VPI!R109</f>
        <v>516682.33689922479</v>
      </c>
      <c r="D109" s="27">
        <f>Données!Z109</f>
        <v>9813</v>
      </c>
      <c r="E109" s="117">
        <f t="shared" si="13"/>
        <v>52.652841832184322</v>
      </c>
      <c r="F109" s="205">
        <f t="shared" si="14"/>
        <v>1.0984713247296967</v>
      </c>
      <c r="G109" s="507">
        <f t="shared" si="15"/>
        <v>4.7200094979941412</v>
      </c>
      <c r="H109" s="507">
        <f t="shared" si="16"/>
        <v>0</v>
      </c>
      <c r="I109" s="507">
        <f t="shared" si="17"/>
        <v>0</v>
      </c>
      <c r="J109" s="507">
        <f t="shared" si="18"/>
        <v>0</v>
      </c>
      <c r="K109" s="507">
        <f t="shared" si="19"/>
        <v>0</v>
      </c>
      <c r="L109" s="509">
        <f t="shared" si="20"/>
        <v>0.9440018995988283</v>
      </c>
      <c r="M109" s="329">
        <f>L109*D109*VPI!Q109</f>
        <v>597495.14632923296</v>
      </c>
    </row>
    <row r="110" spans="1:13" x14ac:dyDescent="0.25">
      <c r="A110" s="172">
        <f>Données!A110</f>
        <v>5585</v>
      </c>
      <c r="B110" s="27" t="str">
        <f>Données!B110</f>
        <v>Jouxtens-Mézery</v>
      </c>
      <c r="C110" s="384">
        <f>VPI!R110</f>
        <v>191742.38983050847</v>
      </c>
      <c r="D110" s="27">
        <f>Données!Z110</f>
        <v>1460</v>
      </c>
      <c r="E110" s="117">
        <f t="shared" si="13"/>
        <v>131.33040399349895</v>
      </c>
      <c r="F110" s="205">
        <f t="shared" si="14"/>
        <v>2.7398840752379621</v>
      </c>
      <c r="G110" s="507">
        <f t="shared" si="15"/>
        <v>83.397571659308767</v>
      </c>
      <c r="H110" s="507">
        <f t="shared" si="16"/>
        <v>73.811005192470731</v>
      </c>
      <c r="I110" s="507">
        <f t="shared" si="17"/>
        <v>59.431155492213676</v>
      </c>
      <c r="J110" s="507">
        <f t="shared" si="18"/>
        <v>35.464739325118586</v>
      </c>
      <c r="K110" s="507">
        <f t="shared" si="19"/>
        <v>0</v>
      </c>
      <c r="L110" s="509">
        <f t="shared" si="20"/>
        <v>33.550204332842057</v>
      </c>
      <c r="M110" s="329">
        <f>L110*D110*VPI!Q110</f>
        <v>2890014.6012310148</v>
      </c>
    </row>
    <row r="111" spans="1:13" x14ac:dyDescent="0.25">
      <c r="A111" s="172">
        <f>Données!A111</f>
        <v>5586</v>
      </c>
      <c r="B111" s="27" t="str">
        <f>Données!B111</f>
        <v>Lausanne</v>
      </c>
      <c r="C111" s="384">
        <f>VPI!R111</f>
        <v>6457900.2123142257</v>
      </c>
      <c r="D111" s="27">
        <f>Données!Z111</f>
        <v>140824</v>
      </c>
      <c r="E111" s="117">
        <f t="shared" si="13"/>
        <v>45.857951857028816</v>
      </c>
      <c r="F111" s="205">
        <f t="shared" si="14"/>
        <v>0.95671275040258019</v>
      </c>
      <c r="G111" s="507">
        <f t="shared" si="15"/>
        <v>0</v>
      </c>
      <c r="H111" s="507">
        <f t="shared" si="16"/>
        <v>0</v>
      </c>
      <c r="I111" s="507">
        <f t="shared" si="17"/>
        <v>0</v>
      </c>
      <c r="J111" s="507">
        <f t="shared" si="18"/>
        <v>0</v>
      </c>
      <c r="K111" s="507">
        <f t="shared" si="19"/>
        <v>0</v>
      </c>
      <c r="L111" s="509">
        <f t="shared" si="20"/>
        <v>0</v>
      </c>
      <c r="M111" s="329">
        <f>L111*D111*VPI!Q111</f>
        <v>0</v>
      </c>
    </row>
    <row r="112" spans="1:13" x14ac:dyDescent="0.25">
      <c r="A112" s="172">
        <f>Données!A112</f>
        <v>5587</v>
      </c>
      <c r="B112" s="27" t="str">
        <f>Données!B112</f>
        <v>Le Mont-sur-Lausanne</v>
      </c>
      <c r="C112" s="384">
        <f>VPI!R112</f>
        <v>494912.33501133788</v>
      </c>
      <c r="D112" s="27">
        <f>Données!Z112</f>
        <v>9217</v>
      </c>
      <c r="E112" s="117">
        <f t="shared" si="13"/>
        <v>53.695598894579355</v>
      </c>
      <c r="F112" s="205">
        <f t="shared" si="14"/>
        <v>1.1202258719078162</v>
      </c>
      <c r="G112" s="507">
        <f t="shared" si="15"/>
        <v>5.7627665603891742</v>
      </c>
      <c r="H112" s="507">
        <f t="shared" si="16"/>
        <v>0</v>
      </c>
      <c r="I112" s="507">
        <f t="shared" si="17"/>
        <v>0</v>
      </c>
      <c r="J112" s="507">
        <f t="shared" si="18"/>
        <v>0</v>
      </c>
      <c r="K112" s="507">
        <f t="shared" si="19"/>
        <v>0</v>
      </c>
      <c r="L112" s="509">
        <f t="shared" si="20"/>
        <v>1.1525533120778348</v>
      </c>
      <c r="M112" s="329">
        <f>L112*D112*VPI!Q112</f>
        <v>780796.66499047319</v>
      </c>
    </row>
    <row r="113" spans="1:13" x14ac:dyDescent="0.25">
      <c r="A113" s="172">
        <f>Données!A113</f>
        <v>5588</v>
      </c>
      <c r="B113" s="27" t="str">
        <f>Données!B113</f>
        <v>Paudex</v>
      </c>
      <c r="C113" s="384">
        <f>VPI!R113</f>
        <v>140525.78356605806</v>
      </c>
      <c r="D113" s="27">
        <f>Données!Z113</f>
        <v>1545</v>
      </c>
      <c r="E113" s="117">
        <f t="shared" si="13"/>
        <v>90.955199719131429</v>
      </c>
      <c r="F113" s="205">
        <f t="shared" si="14"/>
        <v>1.897555293311004</v>
      </c>
      <c r="G113" s="507">
        <f t="shared" si="15"/>
        <v>43.022367384941248</v>
      </c>
      <c r="H113" s="507">
        <f t="shared" si="16"/>
        <v>33.435800918103212</v>
      </c>
      <c r="I113" s="507">
        <f t="shared" si="17"/>
        <v>19.055951217846157</v>
      </c>
      <c r="J113" s="507">
        <f t="shared" si="18"/>
        <v>0</v>
      </c>
      <c r="K113" s="507">
        <f t="shared" si="19"/>
        <v>0</v>
      </c>
      <c r="L113" s="509">
        <f t="shared" si="20"/>
        <v>13.853648690583187</v>
      </c>
      <c r="M113" s="329">
        <f>L113*D113*VPI!Q113</f>
        <v>1423358.5005922432</v>
      </c>
    </row>
    <row r="114" spans="1:13" x14ac:dyDescent="0.25">
      <c r="A114" s="172">
        <f>Données!A114</f>
        <v>5589</v>
      </c>
      <c r="B114" s="27" t="str">
        <f>Données!B114</f>
        <v>Prilly</v>
      </c>
      <c r="C114" s="384">
        <f>VPI!R114</f>
        <v>419337.60911405843</v>
      </c>
      <c r="D114" s="27">
        <f>Données!Z114</f>
        <v>12341</v>
      </c>
      <c r="E114" s="117">
        <f t="shared" si="13"/>
        <v>33.979224464310704</v>
      </c>
      <c r="F114" s="205">
        <f t="shared" si="14"/>
        <v>0.70889248161689666</v>
      </c>
      <c r="G114" s="507">
        <f t="shared" si="15"/>
        <v>0</v>
      </c>
      <c r="H114" s="507">
        <f t="shared" si="16"/>
        <v>0</v>
      </c>
      <c r="I114" s="507">
        <f t="shared" si="17"/>
        <v>0</v>
      </c>
      <c r="J114" s="507">
        <f t="shared" si="18"/>
        <v>0</v>
      </c>
      <c r="K114" s="507">
        <f t="shared" si="19"/>
        <v>0</v>
      </c>
      <c r="L114" s="509">
        <f t="shared" si="20"/>
        <v>0</v>
      </c>
      <c r="M114" s="329">
        <f>L114*D114*VPI!Q114</f>
        <v>0</v>
      </c>
    </row>
    <row r="115" spans="1:13" x14ac:dyDescent="0.25">
      <c r="A115" s="172">
        <f>Données!A115</f>
        <v>5590</v>
      </c>
      <c r="B115" s="27" t="str">
        <f>Données!B115</f>
        <v>Pully</v>
      </c>
      <c r="C115" s="384">
        <f>VPI!R115</f>
        <v>1602221.7514051518</v>
      </c>
      <c r="D115" s="27">
        <f>Données!Z115</f>
        <v>18946</v>
      </c>
      <c r="E115" s="117">
        <f t="shared" si="13"/>
        <v>84.567811221637911</v>
      </c>
      <c r="F115" s="205">
        <f t="shared" si="14"/>
        <v>1.7642982294896903</v>
      </c>
      <c r="G115" s="507">
        <f t="shared" si="15"/>
        <v>36.63497888744773</v>
      </c>
      <c r="H115" s="507">
        <f t="shared" si="16"/>
        <v>27.048412420609694</v>
      </c>
      <c r="I115" s="507">
        <f t="shared" si="17"/>
        <v>12.668562720352639</v>
      </c>
      <c r="J115" s="507">
        <f t="shared" si="18"/>
        <v>0</v>
      </c>
      <c r="K115" s="507">
        <f t="shared" si="19"/>
        <v>0</v>
      </c>
      <c r="L115" s="509">
        <f t="shared" si="20"/>
        <v>11.29869329158578</v>
      </c>
      <c r="M115" s="329">
        <f>L115*D115*VPI!Q115</f>
        <v>13057967.629245434</v>
      </c>
    </row>
    <row r="116" spans="1:13" x14ac:dyDescent="0.25">
      <c r="A116" s="172">
        <f>Données!A116</f>
        <v>5591</v>
      </c>
      <c r="B116" s="27" t="str">
        <f>Données!B116</f>
        <v>Renens</v>
      </c>
      <c r="C116" s="384">
        <f>VPI!R116</f>
        <v>569549.93361781072</v>
      </c>
      <c r="D116" s="27">
        <f>Données!Z116</f>
        <v>20917</v>
      </c>
      <c r="E116" s="117">
        <f t="shared" si="13"/>
        <v>27.229044969059174</v>
      </c>
      <c r="F116" s="205">
        <f t="shared" si="14"/>
        <v>0.56806668087579026</v>
      </c>
      <c r="G116" s="507">
        <f t="shared" si="15"/>
        <v>0</v>
      </c>
      <c r="H116" s="507">
        <f t="shared" si="16"/>
        <v>0</v>
      </c>
      <c r="I116" s="507">
        <f t="shared" si="17"/>
        <v>0</v>
      </c>
      <c r="J116" s="507">
        <f t="shared" si="18"/>
        <v>0</v>
      </c>
      <c r="K116" s="507">
        <f t="shared" si="19"/>
        <v>0</v>
      </c>
      <c r="L116" s="509">
        <f t="shared" si="20"/>
        <v>0</v>
      </c>
      <c r="M116" s="329">
        <f>L116*D116*VPI!Q116</f>
        <v>0</v>
      </c>
    </row>
    <row r="117" spans="1:13" x14ac:dyDescent="0.25">
      <c r="A117" s="172">
        <f>Données!A117</f>
        <v>5592</v>
      </c>
      <c r="B117" s="27" t="str">
        <f>Données!B117</f>
        <v>Romanel-sur-Lausanne</v>
      </c>
      <c r="C117" s="384">
        <f>VPI!R117</f>
        <v>121058.65858156027</v>
      </c>
      <c r="D117" s="27">
        <f>Données!Z117</f>
        <v>3482</v>
      </c>
      <c r="E117" s="117">
        <f t="shared" si="13"/>
        <v>34.766989828133333</v>
      </c>
      <c r="F117" s="205">
        <f t="shared" si="14"/>
        <v>0.72532725764536687</v>
      </c>
      <c r="G117" s="507">
        <f t="shared" si="15"/>
        <v>0</v>
      </c>
      <c r="H117" s="507">
        <f t="shared" si="16"/>
        <v>0</v>
      </c>
      <c r="I117" s="507">
        <f t="shared" si="17"/>
        <v>0</v>
      </c>
      <c r="J117" s="507">
        <f t="shared" si="18"/>
        <v>0</v>
      </c>
      <c r="K117" s="507">
        <f t="shared" si="19"/>
        <v>0</v>
      </c>
      <c r="L117" s="509">
        <f t="shared" si="20"/>
        <v>0</v>
      </c>
      <c r="M117" s="329">
        <f>L117*D117*VPI!Q117</f>
        <v>0</v>
      </c>
    </row>
    <row r="118" spans="1:13" x14ac:dyDescent="0.25">
      <c r="A118" s="172">
        <f>Données!A118</f>
        <v>5601</v>
      </c>
      <c r="B118" s="27" t="str">
        <f>Données!B118</f>
        <v>Chexbres</v>
      </c>
      <c r="C118" s="384">
        <f>VPI!R118</f>
        <v>105964.39288888889</v>
      </c>
      <c r="D118" s="27">
        <f>Données!Z118</f>
        <v>2229</v>
      </c>
      <c r="E118" s="117">
        <f t="shared" si="13"/>
        <v>47.538982902148447</v>
      </c>
      <c r="F118" s="205">
        <f t="shared" si="14"/>
        <v>0.99178330566206074</v>
      </c>
      <c r="G118" s="507">
        <f t="shared" si="15"/>
        <v>0</v>
      </c>
      <c r="H118" s="507">
        <f t="shared" si="16"/>
        <v>0</v>
      </c>
      <c r="I118" s="507">
        <f t="shared" si="17"/>
        <v>0</v>
      </c>
      <c r="J118" s="507">
        <f t="shared" si="18"/>
        <v>0</v>
      </c>
      <c r="K118" s="507">
        <f t="shared" si="19"/>
        <v>0</v>
      </c>
      <c r="L118" s="509">
        <f t="shared" si="20"/>
        <v>0</v>
      </c>
      <c r="M118" s="329">
        <f>L118*D118*VPI!Q118</f>
        <v>0</v>
      </c>
    </row>
    <row r="119" spans="1:13" x14ac:dyDescent="0.25">
      <c r="A119" s="172">
        <f>Données!A119</f>
        <v>5604</v>
      </c>
      <c r="B119" s="27" t="str">
        <f>Données!B119</f>
        <v>Forel (Lavaux)</v>
      </c>
      <c r="C119" s="384">
        <f>VPI!R119</f>
        <v>75806.642898550723</v>
      </c>
      <c r="D119" s="27">
        <f>Données!Z119</f>
        <v>2110</v>
      </c>
      <c r="E119" s="117">
        <f t="shared" si="13"/>
        <v>35.927318909265743</v>
      </c>
      <c r="F119" s="205">
        <f t="shared" si="14"/>
        <v>0.7495346542173561</v>
      </c>
      <c r="G119" s="507">
        <f t="shared" si="15"/>
        <v>0</v>
      </c>
      <c r="H119" s="507">
        <f t="shared" si="16"/>
        <v>0</v>
      </c>
      <c r="I119" s="507">
        <f t="shared" si="17"/>
        <v>0</v>
      </c>
      <c r="J119" s="507">
        <f t="shared" si="18"/>
        <v>0</v>
      </c>
      <c r="K119" s="507">
        <f t="shared" si="19"/>
        <v>0</v>
      </c>
      <c r="L119" s="509">
        <f t="shared" si="20"/>
        <v>0</v>
      </c>
      <c r="M119" s="329">
        <f>L119*D119*VPI!Q119</f>
        <v>0</v>
      </c>
    </row>
    <row r="120" spans="1:13" x14ac:dyDescent="0.25">
      <c r="A120" s="172">
        <f>Données!A120</f>
        <v>5606</v>
      </c>
      <c r="B120" s="27" t="str">
        <f>Données!B120</f>
        <v>Lutry</v>
      </c>
      <c r="C120" s="384">
        <f>VPI!R120</f>
        <v>959386.53714285709</v>
      </c>
      <c r="D120" s="27">
        <f>Données!Z120</f>
        <v>10704</v>
      </c>
      <c r="E120" s="117">
        <f t="shared" si="13"/>
        <v>89.628787102284861</v>
      </c>
      <c r="F120" s="205">
        <f t="shared" si="14"/>
        <v>1.8698829745212704</v>
      </c>
      <c r="G120" s="507">
        <f t="shared" si="15"/>
        <v>41.69595476809468</v>
      </c>
      <c r="H120" s="507">
        <f t="shared" si="16"/>
        <v>32.109388301256644</v>
      </c>
      <c r="I120" s="507">
        <f t="shared" si="17"/>
        <v>17.729538600999589</v>
      </c>
      <c r="J120" s="507">
        <f t="shared" si="18"/>
        <v>0</v>
      </c>
      <c r="K120" s="507">
        <f t="shared" si="19"/>
        <v>0</v>
      </c>
      <c r="L120" s="509">
        <f t="shared" si="20"/>
        <v>13.323083643844559</v>
      </c>
      <c r="M120" s="329">
        <f>L120*D120*VPI!Q120</f>
        <v>7700955.5154804569</v>
      </c>
    </row>
    <row r="121" spans="1:13" x14ac:dyDescent="0.25">
      <c r="A121" s="172">
        <f>Données!A121</f>
        <v>5607</v>
      </c>
      <c r="B121" s="27" t="str">
        <f>Données!B121</f>
        <v>Puidoux</v>
      </c>
      <c r="C121" s="384">
        <f>VPI!R121</f>
        <v>111538.40092668995</v>
      </c>
      <c r="D121" s="27">
        <f>Données!Z121</f>
        <v>2924</v>
      </c>
      <c r="E121" s="117">
        <f t="shared" si="13"/>
        <v>38.145827950304358</v>
      </c>
      <c r="F121" s="205">
        <f t="shared" si="14"/>
        <v>0.79581835858039174</v>
      </c>
      <c r="G121" s="507">
        <f t="shared" si="15"/>
        <v>0</v>
      </c>
      <c r="H121" s="507">
        <f t="shared" si="16"/>
        <v>0</v>
      </c>
      <c r="I121" s="507">
        <f t="shared" si="17"/>
        <v>0</v>
      </c>
      <c r="J121" s="507">
        <f t="shared" si="18"/>
        <v>0</v>
      </c>
      <c r="K121" s="507">
        <f t="shared" si="19"/>
        <v>0</v>
      </c>
      <c r="L121" s="509">
        <f t="shared" si="20"/>
        <v>0</v>
      </c>
      <c r="M121" s="329">
        <f>L121*D121*VPI!Q121</f>
        <v>0</v>
      </c>
    </row>
    <row r="122" spans="1:13" x14ac:dyDescent="0.25">
      <c r="A122" s="172">
        <f>Données!A122</f>
        <v>5609</v>
      </c>
      <c r="B122" s="27" t="str">
        <f>Données!B122</f>
        <v>Rivaz</v>
      </c>
      <c r="C122" s="384">
        <f>VPI!R122</f>
        <v>14895.889354838711</v>
      </c>
      <c r="D122" s="27">
        <f>Données!Z122</f>
        <v>331</v>
      </c>
      <c r="E122" s="117">
        <f t="shared" si="13"/>
        <v>45.002686872624508</v>
      </c>
      <c r="F122" s="205">
        <f t="shared" si="14"/>
        <v>0.93886976172956882</v>
      </c>
      <c r="G122" s="507">
        <f t="shared" si="15"/>
        <v>0</v>
      </c>
      <c r="H122" s="507">
        <f t="shared" si="16"/>
        <v>0</v>
      </c>
      <c r="I122" s="507">
        <f t="shared" si="17"/>
        <v>0</v>
      </c>
      <c r="J122" s="507">
        <f t="shared" si="18"/>
        <v>0</v>
      </c>
      <c r="K122" s="507">
        <f t="shared" si="19"/>
        <v>0</v>
      </c>
      <c r="L122" s="509">
        <f t="shared" si="20"/>
        <v>0</v>
      </c>
      <c r="M122" s="329">
        <f>L122*D122*VPI!Q122</f>
        <v>0</v>
      </c>
    </row>
    <row r="123" spans="1:13" x14ac:dyDescent="0.25">
      <c r="A123" s="172">
        <f>Données!A123</f>
        <v>5610</v>
      </c>
      <c r="B123" s="27" t="str">
        <f>Données!B123</f>
        <v>St-Saphorin (Lavaux)</v>
      </c>
      <c r="C123" s="384">
        <f>VPI!R123</f>
        <v>23447.805208333331</v>
      </c>
      <c r="D123" s="27">
        <f>Données!Z123</f>
        <v>396</v>
      </c>
      <c r="E123" s="117">
        <f t="shared" si="13"/>
        <v>59.211629313973056</v>
      </c>
      <c r="F123" s="205">
        <f t="shared" si="14"/>
        <v>1.235304204457323</v>
      </c>
      <c r="G123" s="507">
        <f t="shared" si="15"/>
        <v>11.278796979782875</v>
      </c>
      <c r="H123" s="507">
        <f t="shared" si="16"/>
        <v>1.6922305129448389</v>
      </c>
      <c r="I123" s="507">
        <f t="shared" si="17"/>
        <v>0</v>
      </c>
      <c r="J123" s="507">
        <f t="shared" si="18"/>
        <v>0</v>
      </c>
      <c r="K123" s="507">
        <f t="shared" si="19"/>
        <v>0</v>
      </c>
      <c r="L123" s="509">
        <f t="shared" si="20"/>
        <v>2.4249824472510593</v>
      </c>
      <c r="M123" s="329">
        <f>L123*D123*VPI!Q123</f>
        <v>69141.0995360222</v>
      </c>
    </row>
    <row r="124" spans="1:13" x14ac:dyDescent="0.25">
      <c r="A124" s="172">
        <f>Données!A124</f>
        <v>5611</v>
      </c>
      <c r="B124" s="27" t="str">
        <f>Données!B124</f>
        <v>Savigny</v>
      </c>
      <c r="C124" s="384">
        <f>VPI!R124</f>
        <v>140961.75301932363</v>
      </c>
      <c r="D124" s="27">
        <f>Données!Z124</f>
        <v>3370</v>
      </c>
      <c r="E124" s="117">
        <f t="shared" si="13"/>
        <v>41.828413358849744</v>
      </c>
      <c r="F124" s="205">
        <f t="shared" si="14"/>
        <v>0.87264639542307632</v>
      </c>
      <c r="G124" s="507">
        <f t="shared" si="15"/>
        <v>0</v>
      </c>
      <c r="H124" s="507">
        <f t="shared" si="16"/>
        <v>0</v>
      </c>
      <c r="I124" s="507">
        <f t="shared" si="17"/>
        <v>0</v>
      </c>
      <c r="J124" s="507">
        <f t="shared" si="18"/>
        <v>0</v>
      </c>
      <c r="K124" s="507">
        <f t="shared" si="19"/>
        <v>0</v>
      </c>
      <c r="L124" s="509">
        <f t="shared" si="20"/>
        <v>0</v>
      </c>
      <c r="M124" s="329">
        <f>L124*D124*VPI!Q124</f>
        <v>0</v>
      </c>
    </row>
    <row r="125" spans="1:13" x14ac:dyDescent="0.25">
      <c r="A125" s="172">
        <f>Données!A125</f>
        <v>5613</v>
      </c>
      <c r="B125" s="27" t="str">
        <f>Données!B125</f>
        <v>Bourg-en-Lavaux</v>
      </c>
      <c r="C125" s="384">
        <f>VPI!R125</f>
        <v>357200.5696533334</v>
      </c>
      <c r="D125" s="27">
        <f>Données!Z125</f>
        <v>5367</v>
      </c>
      <c r="E125" s="117">
        <f t="shared" si="13"/>
        <v>66.55497850816721</v>
      </c>
      <c r="F125" s="205">
        <f t="shared" si="14"/>
        <v>1.3885050239498151</v>
      </c>
      <c r="G125" s="507">
        <f t="shared" si="15"/>
        <v>18.622146173977029</v>
      </c>
      <c r="H125" s="507">
        <f t="shared" si="16"/>
        <v>9.0355797071389929</v>
      </c>
      <c r="I125" s="507">
        <f t="shared" si="17"/>
        <v>0</v>
      </c>
      <c r="J125" s="507">
        <f t="shared" si="18"/>
        <v>0</v>
      </c>
      <c r="K125" s="507">
        <f t="shared" si="19"/>
        <v>0</v>
      </c>
      <c r="L125" s="509">
        <f t="shared" si="20"/>
        <v>4.6279872055093048</v>
      </c>
      <c r="M125" s="329">
        <f>L125*D125*VPI!Q125</f>
        <v>1552400.4582480274</v>
      </c>
    </row>
    <row r="126" spans="1:13" x14ac:dyDescent="0.25">
      <c r="A126" s="172">
        <f>Données!A126</f>
        <v>5621</v>
      </c>
      <c r="B126" s="27" t="str">
        <f>Données!B126</f>
        <v>Aclens</v>
      </c>
      <c r="C126" s="384">
        <f>VPI!R126</f>
        <v>32245.149105571847</v>
      </c>
      <c r="D126" s="27">
        <f>Données!Z126</f>
        <v>517</v>
      </c>
      <c r="E126" s="117">
        <f t="shared" si="13"/>
        <v>62.369727476928141</v>
      </c>
      <c r="F126" s="205">
        <f t="shared" si="14"/>
        <v>1.3011901120735612</v>
      </c>
      <c r="G126" s="507">
        <f t="shared" si="15"/>
        <v>14.43689514273796</v>
      </c>
      <c r="H126" s="507">
        <f t="shared" si="16"/>
        <v>4.8503286758999238</v>
      </c>
      <c r="I126" s="507">
        <f t="shared" si="17"/>
        <v>0</v>
      </c>
      <c r="J126" s="507">
        <f t="shared" si="18"/>
        <v>0</v>
      </c>
      <c r="K126" s="507">
        <f t="shared" si="19"/>
        <v>0</v>
      </c>
      <c r="L126" s="509">
        <f t="shared" si="20"/>
        <v>3.3724118961375842</v>
      </c>
      <c r="M126" s="329">
        <f>L126*D126*VPI!Q126</f>
        <v>108099.29091879413</v>
      </c>
    </row>
    <row r="127" spans="1:13" x14ac:dyDescent="0.25">
      <c r="A127" s="172">
        <f>Données!A127</f>
        <v>5622</v>
      </c>
      <c r="B127" s="27" t="str">
        <f>Données!B127</f>
        <v>Bremblens</v>
      </c>
      <c r="C127" s="384">
        <f>VPI!R127</f>
        <v>28642.58897058824</v>
      </c>
      <c r="D127" s="27">
        <f>Données!Z127</f>
        <v>607</v>
      </c>
      <c r="E127" s="117">
        <f t="shared" si="13"/>
        <v>47.187131747262342</v>
      </c>
      <c r="F127" s="205">
        <f t="shared" si="14"/>
        <v>0.98444280150756003</v>
      </c>
      <c r="G127" s="507">
        <f t="shared" si="15"/>
        <v>0</v>
      </c>
      <c r="H127" s="507">
        <f t="shared" si="16"/>
        <v>0</v>
      </c>
      <c r="I127" s="507">
        <f t="shared" si="17"/>
        <v>0</v>
      </c>
      <c r="J127" s="507">
        <f t="shared" si="18"/>
        <v>0</v>
      </c>
      <c r="K127" s="507">
        <f t="shared" si="19"/>
        <v>0</v>
      </c>
      <c r="L127" s="509">
        <f t="shared" si="20"/>
        <v>0</v>
      </c>
      <c r="M127" s="329">
        <f>L127*D127*VPI!Q127</f>
        <v>0</v>
      </c>
    </row>
    <row r="128" spans="1:13" x14ac:dyDescent="0.25">
      <c r="A128" s="172">
        <f>Données!A128</f>
        <v>5623</v>
      </c>
      <c r="B128" s="27" t="str">
        <f>Données!B128</f>
        <v>Buchillon</v>
      </c>
      <c r="C128" s="384">
        <f>VPI!R128</f>
        <v>89223.972115384619</v>
      </c>
      <c r="D128" s="27">
        <f>Données!Z128</f>
        <v>669</v>
      </c>
      <c r="E128" s="117">
        <f t="shared" si="13"/>
        <v>133.36916609175577</v>
      </c>
      <c r="F128" s="205">
        <f t="shared" si="14"/>
        <v>2.7824178041868892</v>
      </c>
      <c r="G128" s="507">
        <f t="shared" si="15"/>
        <v>85.436333757565592</v>
      </c>
      <c r="H128" s="507">
        <f t="shared" si="16"/>
        <v>75.849767290727556</v>
      </c>
      <c r="I128" s="507">
        <f t="shared" si="17"/>
        <v>61.469917590470502</v>
      </c>
      <c r="J128" s="507">
        <f t="shared" si="18"/>
        <v>37.503501423375411</v>
      </c>
      <c r="K128" s="507">
        <f t="shared" si="19"/>
        <v>0</v>
      </c>
      <c r="L128" s="509">
        <f t="shared" si="20"/>
        <v>34.569585381970469</v>
      </c>
      <c r="M128" s="329">
        <f>L128*D128*VPI!Q128</f>
        <v>1202606.7362679888</v>
      </c>
    </row>
    <row r="129" spans="1:13" x14ac:dyDescent="0.25">
      <c r="A129" s="172">
        <f>Données!A129</f>
        <v>5624</v>
      </c>
      <c r="B129" s="27" t="str">
        <f>Données!B129</f>
        <v>Bussigny</v>
      </c>
      <c r="C129" s="384">
        <f>VPI!R129</f>
        <v>441652.56160000002</v>
      </c>
      <c r="D129" s="27">
        <f>Données!Z129</f>
        <v>10253</v>
      </c>
      <c r="E129" s="117">
        <f t="shared" si="13"/>
        <v>43.075447342241297</v>
      </c>
      <c r="F129" s="205">
        <f t="shared" si="14"/>
        <v>0.8986626753436362</v>
      </c>
      <c r="G129" s="507">
        <f t="shared" si="15"/>
        <v>0</v>
      </c>
      <c r="H129" s="507">
        <f t="shared" si="16"/>
        <v>0</v>
      </c>
      <c r="I129" s="507">
        <f t="shared" si="17"/>
        <v>0</v>
      </c>
      <c r="J129" s="507">
        <f t="shared" si="18"/>
        <v>0</v>
      </c>
      <c r="K129" s="507">
        <f t="shared" si="19"/>
        <v>0</v>
      </c>
      <c r="L129" s="509">
        <f t="shared" si="20"/>
        <v>0</v>
      </c>
      <c r="M129" s="329">
        <f>L129*D129*VPI!Q129</f>
        <v>0</v>
      </c>
    </row>
    <row r="130" spans="1:13" x14ac:dyDescent="0.25">
      <c r="A130" s="172">
        <f>Données!A130</f>
        <v>5627</v>
      </c>
      <c r="B130" s="27" t="str">
        <f>Données!B130</f>
        <v>Chavannes-près-Renens</v>
      </c>
      <c r="C130" s="384">
        <f>VPI!R130</f>
        <v>194013.68774193546</v>
      </c>
      <c r="D130" s="27">
        <f>Données!Z130</f>
        <v>8767</v>
      </c>
      <c r="E130" s="117">
        <f t="shared" si="13"/>
        <v>22.12999746115381</v>
      </c>
      <c r="F130" s="205">
        <f t="shared" si="14"/>
        <v>0.46168766549955415</v>
      </c>
      <c r="G130" s="507">
        <f t="shared" si="15"/>
        <v>0</v>
      </c>
      <c r="H130" s="507">
        <f t="shared" si="16"/>
        <v>0</v>
      </c>
      <c r="I130" s="507">
        <f t="shared" si="17"/>
        <v>0</v>
      </c>
      <c r="J130" s="507">
        <f t="shared" si="18"/>
        <v>0</v>
      </c>
      <c r="K130" s="507">
        <f t="shared" si="19"/>
        <v>0</v>
      </c>
      <c r="L130" s="509">
        <f t="shared" si="20"/>
        <v>0</v>
      </c>
      <c r="M130" s="329">
        <f>L130*D130*VPI!Q130</f>
        <v>0</v>
      </c>
    </row>
    <row r="131" spans="1:13" x14ac:dyDescent="0.25">
      <c r="A131" s="172">
        <f>Données!A131</f>
        <v>5628</v>
      </c>
      <c r="B131" s="27" t="str">
        <f>Données!B131</f>
        <v>Chigny</v>
      </c>
      <c r="C131" s="384">
        <f>VPI!R131</f>
        <v>25790.655967741935</v>
      </c>
      <c r="D131" s="27">
        <f>Données!Z131</f>
        <v>405</v>
      </c>
      <c r="E131" s="117">
        <f t="shared" si="13"/>
        <v>63.68063201911589</v>
      </c>
      <c r="F131" s="205">
        <f t="shared" si="14"/>
        <v>1.328538893239841</v>
      </c>
      <c r="G131" s="507">
        <f t="shared" si="15"/>
        <v>15.74779968492571</v>
      </c>
      <c r="H131" s="507">
        <f t="shared" si="16"/>
        <v>6.1612332180876734</v>
      </c>
      <c r="I131" s="507">
        <f t="shared" si="17"/>
        <v>0</v>
      </c>
      <c r="J131" s="507">
        <f t="shared" si="18"/>
        <v>0</v>
      </c>
      <c r="K131" s="507">
        <f t="shared" si="19"/>
        <v>0</v>
      </c>
      <c r="L131" s="509">
        <f t="shared" si="20"/>
        <v>3.7656832587939091</v>
      </c>
      <c r="M131" s="329">
        <f>L131*D131*VPI!Q131</f>
        <v>94556.306628315069</v>
      </c>
    </row>
    <row r="132" spans="1:13" x14ac:dyDescent="0.25">
      <c r="A132" s="172">
        <f>Données!A132</f>
        <v>5629</v>
      </c>
      <c r="B132" s="27" t="str">
        <f>Données!B132</f>
        <v>Clarmont</v>
      </c>
      <c r="C132" s="384">
        <f>VPI!R132</f>
        <v>9947.9383673469401</v>
      </c>
      <c r="D132" s="27">
        <f>Données!Z132</f>
        <v>211</v>
      </c>
      <c r="E132" s="117">
        <f t="shared" si="13"/>
        <v>47.146627333397824</v>
      </c>
      <c r="F132" s="205">
        <f t="shared" si="14"/>
        <v>0.98359777708709351</v>
      </c>
      <c r="G132" s="507">
        <f t="shared" si="15"/>
        <v>0</v>
      </c>
      <c r="H132" s="507">
        <f t="shared" si="16"/>
        <v>0</v>
      </c>
      <c r="I132" s="507">
        <f t="shared" si="17"/>
        <v>0</v>
      </c>
      <c r="J132" s="507">
        <f t="shared" si="18"/>
        <v>0</v>
      </c>
      <c r="K132" s="507">
        <f t="shared" si="19"/>
        <v>0</v>
      </c>
      <c r="L132" s="509">
        <f t="shared" si="20"/>
        <v>0</v>
      </c>
      <c r="M132" s="329">
        <f>L132*D132*VPI!Q132</f>
        <v>0</v>
      </c>
    </row>
    <row r="133" spans="1:13" x14ac:dyDescent="0.25">
      <c r="A133" s="172">
        <f>Données!A133</f>
        <v>5631</v>
      </c>
      <c r="B133" s="27" t="str">
        <f>Données!B133</f>
        <v>Denens</v>
      </c>
      <c r="C133" s="384">
        <f>VPI!R133</f>
        <v>43289.846911764696</v>
      </c>
      <c r="D133" s="27">
        <f>Données!Z133</f>
        <v>733</v>
      </c>
      <c r="E133" s="117">
        <f t="shared" si="13"/>
        <v>59.058454177032331</v>
      </c>
      <c r="F133" s="205">
        <f t="shared" si="14"/>
        <v>1.2321085840551576</v>
      </c>
      <c r="G133" s="507">
        <f t="shared" si="15"/>
        <v>11.12562184284215</v>
      </c>
      <c r="H133" s="507">
        <f t="shared" si="16"/>
        <v>1.5390553760041144</v>
      </c>
      <c r="I133" s="507">
        <f t="shared" si="17"/>
        <v>0</v>
      </c>
      <c r="J133" s="507">
        <f t="shared" si="18"/>
        <v>0</v>
      </c>
      <c r="K133" s="507">
        <f t="shared" si="19"/>
        <v>0</v>
      </c>
      <c r="L133" s="509">
        <f t="shared" si="20"/>
        <v>2.3790299061688418</v>
      </c>
      <c r="M133" s="329">
        <f>L133*D133*VPI!Q133</f>
        <v>118580.36664307975</v>
      </c>
    </row>
    <row r="134" spans="1:13" x14ac:dyDescent="0.25">
      <c r="A134" s="172">
        <f>Données!A134</f>
        <v>5632</v>
      </c>
      <c r="B134" s="27" t="str">
        <f>Données!B134</f>
        <v>Denges</v>
      </c>
      <c r="C134" s="384">
        <f>VPI!R134</f>
        <v>80504.673548387087</v>
      </c>
      <c r="D134" s="27">
        <f>Données!Z134</f>
        <v>1744</v>
      </c>
      <c r="E134" s="117">
        <f t="shared" si="13"/>
        <v>46.160936667653147</v>
      </c>
      <c r="F134" s="205">
        <f t="shared" si="14"/>
        <v>0.96303377913945731</v>
      </c>
      <c r="G134" s="507">
        <f t="shared" si="15"/>
        <v>0</v>
      </c>
      <c r="H134" s="507">
        <f t="shared" si="16"/>
        <v>0</v>
      </c>
      <c r="I134" s="507">
        <f t="shared" si="17"/>
        <v>0</v>
      </c>
      <c r="J134" s="507">
        <f t="shared" si="18"/>
        <v>0</v>
      </c>
      <c r="K134" s="507">
        <f t="shared" si="19"/>
        <v>0</v>
      </c>
      <c r="L134" s="509">
        <f t="shared" si="20"/>
        <v>0</v>
      </c>
      <c r="M134" s="329">
        <f>L134*D134*VPI!Q134</f>
        <v>0</v>
      </c>
    </row>
    <row r="135" spans="1:13" x14ac:dyDescent="0.25">
      <c r="A135" s="172">
        <f>Données!A135</f>
        <v>5633</v>
      </c>
      <c r="B135" s="27" t="str">
        <f>Données!B135</f>
        <v>Echandens</v>
      </c>
      <c r="C135" s="384">
        <f>VPI!R135</f>
        <v>168819.8966942149</v>
      </c>
      <c r="D135" s="27">
        <f>Données!Z135</f>
        <v>2775</v>
      </c>
      <c r="E135" s="117">
        <f t="shared" ref="E135:E198" si="21">C135/D135</f>
        <v>60.835998808726089</v>
      </c>
      <c r="F135" s="205">
        <f t="shared" ref="F135:F198" si="22">E135/$E$306</f>
        <v>1.269192656602772</v>
      </c>
      <c r="G135" s="507">
        <f t="shared" ref="G135:G198" si="23">IF(E135-$G$3&lt;0,0,E135-$G$3)</f>
        <v>12.903166474535908</v>
      </c>
      <c r="H135" s="507">
        <f t="shared" ref="H135:H198" si="24">IF(E135-$H$3&lt;0,0,E135-$H$3)</f>
        <v>3.3166000076978719</v>
      </c>
      <c r="I135" s="507">
        <f t="shared" ref="I135:I198" si="25">IF(E135-$I$3&lt;0,0,E135-$I$3)</f>
        <v>0</v>
      </c>
      <c r="J135" s="507">
        <f t="shared" ref="J135:J198" si="26">IF(E135-$J$3&lt;0,0,E135-$J$3)</f>
        <v>0</v>
      </c>
      <c r="K135" s="507">
        <f t="shared" ref="K135:K198" si="27">IF(E135-$K$3&lt;0,0,E135-$K$3)</f>
        <v>0</v>
      </c>
      <c r="L135" s="509">
        <f t="shared" ref="L135:L198" si="28">(G135-H135)*$G$4+(H135-I135)*$H$4+(I135-J135)*$I$4+(J135-K135)*$J$4+(K135*$K$4)</f>
        <v>2.9122932956769692</v>
      </c>
      <c r="M135" s="329">
        <f>L135*D135*VPI!Q135</f>
        <v>488937.64067796717</v>
      </c>
    </row>
    <row r="136" spans="1:13" x14ac:dyDescent="0.25">
      <c r="A136" s="172">
        <f>Données!A136</f>
        <v>5634</v>
      </c>
      <c r="B136" s="27" t="str">
        <f>Données!B136</f>
        <v>Echichens</v>
      </c>
      <c r="C136" s="384">
        <f>VPI!R136</f>
        <v>152560.86727272728</v>
      </c>
      <c r="D136" s="27">
        <f>Données!Z136</f>
        <v>3142</v>
      </c>
      <c r="E136" s="117">
        <f t="shared" si="21"/>
        <v>48.555336496730519</v>
      </c>
      <c r="F136" s="205">
        <f t="shared" si="22"/>
        <v>1.0129870097848632</v>
      </c>
      <c r="G136" s="507">
        <f t="shared" si="23"/>
        <v>0.6225041625403378</v>
      </c>
      <c r="H136" s="507">
        <f t="shared" si="24"/>
        <v>0</v>
      </c>
      <c r="I136" s="507">
        <f t="shared" si="25"/>
        <v>0</v>
      </c>
      <c r="J136" s="507">
        <f t="shared" si="26"/>
        <v>0</v>
      </c>
      <c r="K136" s="507">
        <f t="shared" si="27"/>
        <v>0</v>
      </c>
      <c r="L136" s="509">
        <f t="shared" si="28"/>
        <v>0.12450083250806757</v>
      </c>
      <c r="M136" s="329">
        <f>L136*D136*VPI!Q136</f>
        <v>25817.986638862989</v>
      </c>
    </row>
    <row r="137" spans="1:13" x14ac:dyDescent="0.25">
      <c r="A137" s="172">
        <f>Données!A137</f>
        <v>5635</v>
      </c>
      <c r="B137" s="27" t="str">
        <f>Données!B137</f>
        <v>Ecublens</v>
      </c>
      <c r="C137" s="384">
        <f>VPI!R137</f>
        <v>655936.21421333333</v>
      </c>
      <c r="D137" s="27">
        <f>Données!Z137</f>
        <v>13214</v>
      </c>
      <c r="E137" s="117">
        <f t="shared" si="21"/>
        <v>49.639489496998131</v>
      </c>
      <c r="F137" s="205">
        <f t="shared" si="22"/>
        <v>1.0356051808269757</v>
      </c>
      <c r="G137" s="507">
        <f t="shared" si="23"/>
        <v>1.7066571628079501</v>
      </c>
      <c r="H137" s="507">
        <f t="shared" si="24"/>
        <v>0</v>
      </c>
      <c r="I137" s="507">
        <f t="shared" si="25"/>
        <v>0</v>
      </c>
      <c r="J137" s="507">
        <f t="shared" si="26"/>
        <v>0</v>
      </c>
      <c r="K137" s="507">
        <f t="shared" si="27"/>
        <v>0</v>
      </c>
      <c r="L137" s="509">
        <f t="shared" si="28"/>
        <v>0.34133143256159004</v>
      </c>
      <c r="M137" s="329">
        <f>L137*D137*VPI!Q137</f>
        <v>281897.09686680319</v>
      </c>
    </row>
    <row r="138" spans="1:13" x14ac:dyDescent="0.25">
      <c r="A138" s="172">
        <f>Données!A138</f>
        <v>5636</v>
      </c>
      <c r="B138" s="27" t="str">
        <f>Données!B138</f>
        <v>Etoy</v>
      </c>
      <c r="C138" s="384">
        <f>VPI!R138</f>
        <v>186941.23816666668</v>
      </c>
      <c r="D138" s="27">
        <f>Données!Z138</f>
        <v>2918</v>
      </c>
      <c r="E138" s="117">
        <f t="shared" si="21"/>
        <v>64.064852010509483</v>
      </c>
      <c r="F138" s="205">
        <f t="shared" si="22"/>
        <v>1.3365546931140231</v>
      </c>
      <c r="G138" s="507">
        <f t="shared" si="23"/>
        <v>16.132019676319302</v>
      </c>
      <c r="H138" s="507">
        <f t="shared" si="24"/>
        <v>6.5454532094812663</v>
      </c>
      <c r="I138" s="507">
        <f t="shared" si="25"/>
        <v>0</v>
      </c>
      <c r="J138" s="507">
        <f t="shared" si="26"/>
        <v>0</v>
      </c>
      <c r="K138" s="507">
        <f t="shared" si="27"/>
        <v>0</v>
      </c>
      <c r="L138" s="509">
        <f t="shared" si="28"/>
        <v>3.8809492562119869</v>
      </c>
      <c r="M138" s="329">
        <f>L138*D138*VPI!Q138</f>
        <v>679476.59577759472</v>
      </c>
    </row>
    <row r="139" spans="1:13" x14ac:dyDescent="0.25">
      <c r="A139" s="172">
        <f>Données!A139</f>
        <v>5637</v>
      </c>
      <c r="B139" s="27" t="str">
        <f>Données!B139</f>
        <v>Lavigny</v>
      </c>
      <c r="C139" s="384">
        <f>VPI!R139</f>
        <v>37899.400821917814</v>
      </c>
      <c r="D139" s="27">
        <f>Données!Z139</f>
        <v>1026</v>
      </c>
      <c r="E139" s="117">
        <f t="shared" si="21"/>
        <v>36.938987155865313</v>
      </c>
      <c r="F139" s="205">
        <f t="shared" si="22"/>
        <v>0.7706406101422254</v>
      </c>
      <c r="G139" s="507">
        <f t="shared" si="23"/>
        <v>0</v>
      </c>
      <c r="H139" s="507">
        <f t="shared" si="24"/>
        <v>0</v>
      </c>
      <c r="I139" s="507">
        <f t="shared" si="25"/>
        <v>0</v>
      </c>
      <c r="J139" s="507">
        <f t="shared" si="26"/>
        <v>0</v>
      </c>
      <c r="K139" s="507">
        <f t="shared" si="27"/>
        <v>0</v>
      </c>
      <c r="L139" s="509">
        <f t="shared" si="28"/>
        <v>0</v>
      </c>
      <c r="M139" s="329">
        <f>L139*D139*VPI!Q139</f>
        <v>0</v>
      </c>
    </row>
    <row r="140" spans="1:13" x14ac:dyDescent="0.25">
      <c r="A140" s="172">
        <f>Données!A140</f>
        <v>5638</v>
      </c>
      <c r="B140" s="27" t="str">
        <f>Données!B140</f>
        <v>Lonay</v>
      </c>
      <c r="C140" s="384">
        <f>VPI!R140</f>
        <v>174116.12454545454</v>
      </c>
      <c r="D140" s="27">
        <f>Données!Z140</f>
        <v>2751</v>
      </c>
      <c r="E140" s="117">
        <f t="shared" si="21"/>
        <v>63.291939129572718</v>
      </c>
      <c r="F140" s="205">
        <f t="shared" si="22"/>
        <v>1.3204297774080624</v>
      </c>
      <c r="G140" s="507">
        <f t="shared" si="23"/>
        <v>15.359106795382537</v>
      </c>
      <c r="H140" s="507">
        <f t="shared" si="24"/>
        <v>5.7725403285445012</v>
      </c>
      <c r="I140" s="507">
        <f t="shared" si="25"/>
        <v>0</v>
      </c>
      <c r="J140" s="507">
        <f t="shared" si="26"/>
        <v>0</v>
      </c>
      <c r="K140" s="507">
        <f t="shared" si="27"/>
        <v>0</v>
      </c>
      <c r="L140" s="509">
        <f t="shared" si="28"/>
        <v>3.6490753919309578</v>
      </c>
      <c r="M140" s="329">
        <f>L140*D140*VPI!Q140</f>
        <v>552123.35217611352</v>
      </c>
    </row>
    <row r="141" spans="1:13" x14ac:dyDescent="0.25">
      <c r="A141" s="172">
        <f>Données!A141</f>
        <v>5639</v>
      </c>
      <c r="B141" s="27" t="str">
        <f>Données!B141</f>
        <v>Lully</v>
      </c>
      <c r="C141" s="384">
        <f>VPI!R141</f>
        <v>53706.334426229514</v>
      </c>
      <c r="D141" s="27">
        <f>Données!Z141</f>
        <v>828</v>
      </c>
      <c r="E141" s="117">
        <f t="shared" si="21"/>
        <v>64.862722736992168</v>
      </c>
      <c r="F141" s="205">
        <f t="shared" si="22"/>
        <v>1.353200292541987</v>
      </c>
      <c r="G141" s="507">
        <f t="shared" si="23"/>
        <v>16.929890402801988</v>
      </c>
      <c r="H141" s="507">
        <f t="shared" si="24"/>
        <v>7.3433239359639515</v>
      </c>
      <c r="I141" s="507">
        <f t="shared" si="25"/>
        <v>0</v>
      </c>
      <c r="J141" s="507">
        <f t="shared" si="26"/>
        <v>0</v>
      </c>
      <c r="K141" s="507">
        <f t="shared" si="27"/>
        <v>0</v>
      </c>
      <c r="L141" s="509">
        <f t="shared" si="28"/>
        <v>4.1203104741567929</v>
      </c>
      <c r="M141" s="329">
        <f>L141*D141*VPI!Q141</f>
        <v>208108.6414287113</v>
      </c>
    </row>
    <row r="142" spans="1:13" x14ac:dyDescent="0.25">
      <c r="A142" s="172">
        <f>Données!A142</f>
        <v>5640</v>
      </c>
      <c r="B142" s="27" t="str">
        <f>Données!B142</f>
        <v>Lussy-sur-Morges</v>
      </c>
      <c r="C142" s="384">
        <f>VPI!R142</f>
        <v>70525.081395348854</v>
      </c>
      <c r="D142" s="27">
        <f>Données!Z142</f>
        <v>740</v>
      </c>
      <c r="E142" s="117">
        <f t="shared" si="21"/>
        <v>95.304164047768722</v>
      </c>
      <c r="F142" s="205">
        <f t="shared" si="22"/>
        <v>1.988285678244573</v>
      </c>
      <c r="G142" s="507">
        <f t="shared" si="23"/>
        <v>47.371331713578542</v>
      </c>
      <c r="H142" s="507">
        <f t="shared" si="24"/>
        <v>37.784765246740506</v>
      </c>
      <c r="I142" s="507">
        <f t="shared" si="25"/>
        <v>23.404915546483451</v>
      </c>
      <c r="J142" s="507">
        <f t="shared" si="26"/>
        <v>0</v>
      </c>
      <c r="K142" s="507">
        <f t="shared" si="27"/>
        <v>0</v>
      </c>
      <c r="L142" s="509">
        <f t="shared" si="28"/>
        <v>15.593234422038105</v>
      </c>
      <c r="M142" s="329">
        <f>L142*D142*VPI!Q142</f>
        <v>744265.07896387868</v>
      </c>
    </row>
    <row r="143" spans="1:13" x14ac:dyDescent="0.25">
      <c r="A143" s="172">
        <f>Données!A143</f>
        <v>5642</v>
      </c>
      <c r="B143" s="27" t="str">
        <f>Données!B143</f>
        <v>Morges</v>
      </c>
      <c r="C143" s="384">
        <f>VPI!R143</f>
        <v>838094.10597014928</v>
      </c>
      <c r="D143" s="27">
        <f>Données!Z143</f>
        <v>16885</v>
      </c>
      <c r="E143" s="117">
        <f t="shared" si="21"/>
        <v>49.635422325741743</v>
      </c>
      <c r="F143" s="205">
        <f t="shared" si="22"/>
        <v>1.0355203293575688</v>
      </c>
      <c r="G143" s="507">
        <f t="shared" si="23"/>
        <v>1.7025899915515623</v>
      </c>
      <c r="H143" s="507">
        <f t="shared" si="24"/>
        <v>0</v>
      </c>
      <c r="I143" s="507">
        <f t="shared" si="25"/>
        <v>0</v>
      </c>
      <c r="J143" s="507">
        <f t="shared" si="26"/>
        <v>0</v>
      </c>
      <c r="K143" s="507">
        <f t="shared" si="27"/>
        <v>0</v>
      </c>
      <c r="L143" s="509">
        <f t="shared" si="28"/>
        <v>0.34051799831031249</v>
      </c>
      <c r="M143" s="329">
        <f>L143*D143*VPI!Q143</f>
        <v>385226.30889846501</v>
      </c>
    </row>
    <row r="144" spans="1:13" x14ac:dyDescent="0.25">
      <c r="A144" s="172">
        <f>Données!A144</f>
        <v>5643</v>
      </c>
      <c r="B144" s="27" t="str">
        <f>Données!B144</f>
        <v>Préverenges</v>
      </c>
      <c r="C144" s="384">
        <f>VPI!R144</f>
        <v>257720.44144</v>
      </c>
      <c r="D144" s="27">
        <f>Données!Z144</f>
        <v>5208</v>
      </c>
      <c r="E144" s="117">
        <f t="shared" si="21"/>
        <v>49.485491827956992</v>
      </c>
      <c r="F144" s="205">
        <f t="shared" si="22"/>
        <v>1.032392400326807</v>
      </c>
      <c r="G144" s="507">
        <f t="shared" si="23"/>
        <v>1.5526594937668108</v>
      </c>
      <c r="H144" s="507">
        <f t="shared" si="24"/>
        <v>0</v>
      </c>
      <c r="I144" s="507">
        <f t="shared" si="25"/>
        <v>0</v>
      </c>
      <c r="J144" s="507">
        <f t="shared" si="26"/>
        <v>0</v>
      </c>
      <c r="K144" s="507">
        <f t="shared" si="27"/>
        <v>0</v>
      </c>
      <c r="L144" s="509">
        <f t="shared" si="28"/>
        <v>0.31053189875336218</v>
      </c>
      <c r="M144" s="329">
        <f>L144*D144*VPI!Q144</f>
        <v>101078.13304421939</v>
      </c>
    </row>
    <row r="145" spans="1:13" x14ac:dyDescent="0.25">
      <c r="A145" s="172">
        <f>Données!A145</f>
        <v>5645</v>
      </c>
      <c r="B145" s="27" t="str">
        <f>Données!B145</f>
        <v>Romanel-sur-Morges</v>
      </c>
      <c r="C145" s="384">
        <f>VPI!R145</f>
        <v>26576.594107142857</v>
      </c>
      <c r="D145" s="27">
        <f>Données!Z145</f>
        <v>466</v>
      </c>
      <c r="E145" s="117">
        <f t="shared" si="21"/>
        <v>57.03131782648682</v>
      </c>
      <c r="F145" s="205">
        <f t="shared" si="22"/>
        <v>1.1898173975796282</v>
      </c>
      <c r="G145" s="507">
        <f t="shared" si="23"/>
        <v>9.0984854922966392</v>
      </c>
      <c r="H145" s="507">
        <f t="shared" si="24"/>
        <v>0</v>
      </c>
      <c r="I145" s="507">
        <f t="shared" si="25"/>
        <v>0</v>
      </c>
      <c r="J145" s="507">
        <f t="shared" si="26"/>
        <v>0</v>
      </c>
      <c r="K145" s="507">
        <f t="shared" si="27"/>
        <v>0</v>
      </c>
      <c r="L145" s="509">
        <f t="shared" si="28"/>
        <v>1.8196970984593279</v>
      </c>
      <c r="M145" s="329">
        <f>L145*D145*VPI!Q145</f>
        <v>47486.815481394624</v>
      </c>
    </row>
    <row r="146" spans="1:13" x14ac:dyDescent="0.25">
      <c r="A146" s="172">
        <f>Données!A146</f>
        <v>5646</v>
      </c>
      <c r="B146" s="27" t="str">
        <f>Données!B146</f>
        <v>Saint-Prex</v>
      </c>
      <c r="C146" s="384">
        <f>VPI!R146</f>
        <v>527362.62542372884</v>
      </c>
      <c r="D146" s="27">
        <f>Données!Z146</f>
        <v>5866</v>
      </c>
      <c r="E146" s="117">
        <f t="shared" si="21"/>
        <v>89.901572694123573</v>
      </c>
      <c r="F146" s="205">
        <f t="shared" si="22"/>
        <v>1.8755739712463717</v>
      </c>
      <c r="G146" s="507">
        <f t="shared" si="23"/>
        <v>41.968740359933392</v>
      </c>
      <c r="H146" s="507">
        <f t="shared" si="24"/>
        <v>32.382173893095356</v>
      </c>
      <c r="I146" s="507">
        <f t="shared" si="25"/>
        <v>18.002324192838302</v>
      </c>
      <c r="J146" s="507">
        <f t="shared" si="26"/>
        <v>0</v>
      </c>
      <c r="K146" s="507">
        <f t="shared" si="27"/>
        <v>0</v>
      </c>
      <c r="L146" s="509">
        <f t="shared" si="28"/>
        <v>13.432197880580045</v>
      </c>
      <c r="M146" s="329">
        <f>L146*D146*VPI!Q146</f>
        <v>4648803.0932814702</v>
      </c>
    </row>
    <row r="147" spans="1:13" x14ac:dyDescent="0.25">
      <c r="A147" s="172">
        <f>Données!A147</f>
        <v>5648</v>
      </c>
      <c r="B147" s="27" t="str">
        <f>Données!B147</f>
        <v>Saint-Sulpice</v>
      </c>
      <c r="C147" s="384">
        <f>VPI!R147</f>
        <v>394357.66704545449</v>
      </c>
      <c r="D147" s="27">
        <f>Données!Z147</f>
        <v>4932</v>
      </c>
      <c r="E147" s="117">
        <f t="shared" si="21"/>
        <v>79.958975475558489</v>
      </c>
      <c r="F147" s="205">
        <f t="shared" si="22"/>
        <v>1.6681462701406915</v>
      </c>
      <c r="G147" s="507">
        <f t="shared" si="23"/>
        <v>32.026143141368308</v>
      </c>
      <c r="H147" s="507">
        <f t="shared" si="24"/>
        <v>22.439576674530272</v>
      </c>
      <c r="I147" s="507">
        <f t="shared" si="25"/>
        <v>8.059726974273218</v>
      </c>
      <c r="J147" s="507">
        <f t="shared" si="26"/>
        <v>0</v>
      </c>
      <c r="K147" s="507">
        <f t="shared" si="27"/>
        <v>0</v>
      </c>
      <c r="L147" s="509">
        <f t="shared" si="28"/>
        <v>9.4551589931540114</v>
      </c>
      <c r="M147" s="329">
        <f>L147*D147*VPI!Q147</f>
        <v>2564806.4284829572</v>
      </c>
    </row>
    <row r="148" spans="1:13" x14ac:dyDescent="0.25">
      <c r="A148" s="172">
        <f>Données!A148</f>
        <v>5649</v>
      </c>
      <c r="B148" s="27" t="str">
        <f>Données!B148</f>
        <v>Tolochenaz</v>
      </c>
      <c r="C148" s="384">
        <f>VPI!R148</f>
        <v>155562.29718749996</v>
      </c>
      <c r="D148" s="27">
        <f>Données!Z148</f>
        <v>1886</v>
      </c>
      <c r="E148" s="117">
        <f t="shared" si="21"/>
        <v>82.482660226670177</v>
      </c>
      <c r="F148" s="205">
        <f t="shared" si="22"/>
        <v>1.7207967109391078</v>
      </c>
      <c r="G148" s="507">
        <f t="shared" si="23"/>
        <v>34.549827892479996</v>
      </c>
      <c r="H148" s="507">
        <f t="shared" si="24"/>
        <v>24.96326142564196</v>
      </c>
      <c r="I148" s="507">
        <f t="shared" si="25"/>
        <v>10.583411725384906</v>
      </c>
      <c r="J148" s="507">
        <f t="shared" si="26"/>
        <v>0</v>
      </c>
      <c r="K148" s="507">
        <f t="shared" si="27"/>
        <v>0</v>
      </c>
      <c r="L148" s="509">
        <f t="shared" si="28"/>
        <v>10.464632893598687</v>
      </c>
      <c r="M148" s="329">
        <f>L148*D148*VPI!Q148</f>
        <v>1263123.0487889359</v>
      </c>
    </row>
    <row r="149" spans="1:13" x14ac:dyDescent="0.25">
      <c r="A149" s="172">
        <f>Données!A149</f>
        <v>5650</v>
      </c>
      <c r="B149" s="27" t="str">
        <f>Données!B149</f>
        <v>Vaux-sur-Morges</v>
      </c>
      <c r="C149" s="384">
        <f>VPI!R149</f>
        <v>83125.210178571419</v>
      </c>
      <c r="D149" s="27">
        <f>Données!Z149</f>
        <v>196</v>
      </c>
      <c r="E149" s="117">
        <f t="shared" si="21"/>
        <v>424.10821519679297</v>
      </c>
      <c r="F149" s="205">
        <f t="shared" si="22"/>
        <v>8.8479690129698287</v>
      </c>
      <c r="G149" s="507">
        <f t="shared" si="23"/>
        <v>376.17538286260276</v>
      </c>
      <c r="H149" s="507">
        <f t="shared" si="24"/>
        <v>366.58881639576475</v>
      </c>
      <c r="I149" s="507">
        <f t="shared" si="25"/>
        <v>352.20896669550768</v>
      </c>
      <c r="J149" s="507">
        <f t="shared" si="26"/>
        <v>328.24255052841261</v>
      </c>
      <c r="K149" s="507">
        <f t="shared" si="27"/>
        <v>280.30971819422246</v>
      </c>
      <c r="L149" s="509">
        <f t="shared" si="28"/>
        <v>207.9700817539113</v>
      </c>
      <c r="M149" s="329">
        <f>L149*D149*VPI!Q149</f>
        <v>2282679.6173309307</v>
      </c>
    </row>
    <row r="150" spans="1:13" x14ac:dyDescent="0.25">
      <c r="A150" s="172">
        <f>Données!A150</f>
        <v>5651</v>
      </c>
      <c r="B150" s="27" t="str">
        <f>Données!B150</f>
        <v>Villars-Sainte-Croix</v>
      </c>
      <c r="C150" s="384">
        <f>VPI!R150</f>
        <v>57448.170743801653</v>
      </c>
      <c r="D150" s="27">
        <f>Données!Z150</f>
        <v>958</v>
      </c>
      <c r="E150" s="117">
        <f t="shared" si="21"/>
        <v>59.966775306682308</v>
      </c>
      <c r="F150" s="205">
        <f t="shared" si="22"/>
        <v>1.2510584579811779</v>
      </c>
      <c r="G150" s="507">
        <f t="shared" si="23"/>
        <v>12.033942972492127</v>
      </c>
      <c r="H150" s="507">
        <f t="shared" si="24"/>
        <v>2.4473765056540913</v>
      </c>
      <c r="I150" s="507">
        <f t="shared" si="25"/>
        <v>0</v>
      </c>
      <c r="J150" s="507">
        <f t="shared" si="26"/>
        <v>0</v>
      </c>
      <c r="K150" s="507">
        <f t="shared" si="27"/>
        <v>0</v>
      </c>
      <c r="L150" s="509">
        <f t="shared" si="28"/>
        <v>2.6515262450638346</v>
      </c>
      <c r="M150" s="329">
        <f>L150*D150*VPI!Q150</f>
        <v>153679.80963765478</v>
      </c>
    </row>
    <row r="151" spans="1:13" x14ac:dyDescent="0.25">
      <c r="A151" s="172">
        <f>Données!A151</f>
        <v>5652</v>
      </c>
      <c r="B151" s="27" t="str">
        <f>Données!B151</f>
        <v>Villars-sous-Yens</v>
      </c>
      <c r="C151" s="384">
        <f>VPI!R151</f>
        <v>25907.601491228066</v>
      </c>
      <c r="D151" s="27">
        <f>Données!Z151</f>
        <v>626</v>
      </c>
      <c r="E151" s="117">
        <f t="shared" si="21"/>
        <v>41.385944874166242</v>
      </c>
      <c r="F151" s="205">
        <f t="shared" si="22"/>
        <v>0.86341538479556768</v>
      </c>
      <c r="G151" s="507">
        <f t="shared" si="23"/>
        <v>0</v>
      </c>
      <c r="H151" s="507">
        <f t="shared" si="24"/>
        <v>0</v>
      </c>
      <c r="I151" s="507">
        <f t="shared" si="25"/>
        <v>0</v>
      </c>
      <c r="J151" s="507">
        <f t="shared" si="26"/>
        <v>0</v>
      </c>
      <c r="K151" s="507">
        <f t="shared" si="27"/>
        <v>0</v>
      </c>
      <c r="L151" s="509">
        <f t="shared" si="28"/>
        <v>0</v>
      </c>
      <c r="M151" s="329">
        <f>L151*D151*VPI!Q151</f>
        <v>0</v>
      </c>
    </row>
    <row r="152" spans="1:13" x14ac:dyDescent="0.25">
      <c r="A152" s="172">
        <f>Données!A152</f>
        <v>5653</v>
      </c>
      <c r="B152" s="27" t="str">
        <f>Données!B152</f>
        <v>Vufflens-le-Château</v>
      </c>
      <c r="C152" s="384">
        <f>VPI!R152</f>
        <v>67686.262735042736</v>
      </c>
      <c r="D152" s="27">
        <f>Données!Z152</f>
        <v>894</v>
      </c>
      <c r="E152" s="117">
        <f t="shared" si="21"/>
        <v>75.711703283045566</v>
      </c>
      <c r="F152" s="205">
        <f t="shared" si="22"/>
        <v>1.5795374401241233</v>
      </c>
      <c r="G152" s="507">
        <f t="shared" si="23"/>
        <v>27.778870948855385</v>
      </c>
      <c r="H152" s="507">
        <f t="shared" si="24"/>
        <v>18.192304482017349</v>
      </c>
      <c r="I152" s="507">
        <f t="shared" si="25"/>
        <v>3.8124547817602945</v>
      </c>
      <c r="J152" s="507">
        <f t="shared" si="26"/>
        <v>0</v>
      </c>
      <c r="K152" s="507">
        <f t="shared" si="27"/>
        <v>0</v>
      </c>
      <c r="L152" s="509">
        <f t="shared" si="28"/>
        <v>7.7562501161488413</v>
      </c>
      <c r="M152" s="329">
        <f>L152*D152*VPI!Q152</f>
        <v>405644.12482446828</v>
      </c>
    </row>
    <row r="153" spans="1:13" x14ac:dyDescent="0.25">
      <c r="A153" s="172">
        <f>Données!A153</f>
        <v>5654</v>
      </c>
      <c r="B153" s="27" t="str">
        <f>Données!B153</f>
        <v>Vullierens</v>
      </c>
      <c r="C153" s="384">
        <f>VPI!R153</f>
        <v>20663.918947368424</v>
      </c>
      <c r="D153" s="27">
        <f>Données!Z153</f>
        <v>560</v>
      </c>
      <c r="E153" s="117">
        <f t="shared" si="21"/>
        <v>36.899855263157896</v>
      </c>
      <c r="F153" s="205">
        <f t="shared" si="22"/>
        <v>0.7698242199812062</v>
      </c>
      <c r="G153" s="507">
        <f t="shared" si="23"/>
        <v>0</v>
      </c>
      <c r="H153" s="507">
        <f t="shared" si="24"/>
        <v>0</v>
      </c>
      <c r="I153" s="507">
        <f t="shared" si="25"/>
        <v>0</v>
      </c>
      <c r="J153" s="507">
        <f t="shared" si="26"/>
        <v>0</v>
      </c>
      <c r="K153" s="507">
        <f t="shared" si="27"/>
        <v>0</v>
      </c>
      <c r="L153" s="509">
        <f t="shared" si="28"/>
        <v>0</v>
      </c>
      <c r="M153" s="329">
        <f>L153*D153*VPI!Q153</f>
        <v>0</v>
      </c>
    </row>
    <row r="154" spans="1:13" x14ac:dyDescent="0.25">
      <c r="A154" s="172">
        <f>Données!A154</f>
        <v>5655</v>
      </c>
      <c r="B154" s="27" t="str">
        <f>Données!B154</f>
        <v>Yens</v>
      </c>
      <c r="C154" s="384">
        <f>VPI!R154</f>
        <v>73733.325734265731</v>
      </c>
      <c r="D154" s="27">
        <f>Données!Z154</f>
        <v>1499</v>
      </c>
      <c r="E154" s="117">
        <f t="shared" si="21"/>
        <v>49.188342717989144</v>
      </c>
      <c r="F154" s="205">
        <f t="shared" si="22"/>
        <v>1.0261931190513733</v>
      </c>
      <c r="G154" s="507">
        <f t="shared" si="23"/>
        <v>1.2555103837989634</v>
      </c>
      <c r="H154" s="507">
        <f t="shared" si="24"/>
        <v>0</v>
      </c>
      <c r="I154" s="507">
        <f t="shared" si="25"/>
        <v>0</v>
      </c>
      <c r="J154" s="507">
        <f t="shared" si="26"/>
        <v>0</v>
      </c>
      <c r="K154" s="507">
        <f t="shared" si="27"/>
        <v>0</v>
      </c>
      <c r="L154" s="509">
        <f t="shared" si="28"/>
        <v>0.25110207675979268</v>
      </c>
      <c r="M154" s="329">
        <f>L154*D154*VPI!Q154</f>
        <v>26912.743933999438</v>
      </c>
    </row>
    <row r="155" spans="1:13" x14ac:dyDescent="0.25">
      <c r="A155" s="172">
        <f>Données!A155</f>
        <v>5656</v>
      </c>
      <c r="B155" s="27" t="str">
        <f>Données!B155</f>
        <v>Hautemorges</v>
      </c>
      <c r="C155" s="384">
        <f>VPI!R155</f>
        <v>172159.8076957982</v>
      </c>
      <c r="D155" s="27">
        <f>Données!Z155</f>
        <v>4173</v>
      </c>
      <c r="E155" s="117">
        <f t="shared" si="21"/>
        <v>41.25564526618696</v>
      </c>
      <c r="F155" s="205">
        <f t="shared" si="22"/>
        <v>0.86069700572981944</v>
      </c>
      <c r="G155" s="507">
        <f t="shared" si="23"/>
        <v>0</v>
      </c>
      <c r="H155" s="507">
        <f t="shared" si="24"/>
        <v>0</v>
      </c>
      <c r="I155" s="507">
        <f t="shared" si="25"/>
        <v>0</v>
      </c>
      <c r="J155" s="507">
        <f t="shared" si="26"/>
        <v>0</v>
      </c>
      <c r="K155" s="507">
        <f t="shared" si="27"/>
        <v>0</v>
      </c>
      <c r="L155" s="509">
        <f t="shared" si="28"/>
        <v>0</v>
      </c>
      <c r="M155" s="329">
        <f>L155*D155*VPI!Q155</f>
        <v>0</v>
      </c>
    </row>
    <row r="156" spans="1:13" x14ac:dyDescent="0.25">
      <c r="A156" s="172">
        <f>Données!A156</f>
        <v>5661</v>
      </c>
      <c r="B156" s="27" t="str">
        <f>Données!B156</f>
        <v>Boulens</v>
      </c>
      <c r="C156" s="384">
        <f>VPI!R156</f>
        <v>11226.317902097902</v>
      </c>
      <c r="D156" s="27">
        <f>Données!Z156</f>
        <v>371</v>
      </c>
      <c r="E156" s="117">
        <f t="shared" si="21"/>
        <v>30.259616986786799</v>
      </c>
      <c r="F156" s="205">
        <f t="shared" si="22"/>
        <v>0.63129207086731676</v>
      </c>
      <c r="G156" s="507">
        <f t="shared" si="23"/>
        <v>0</v>
      </c>
      <c r="H156" s="507">
        <f t="shared" si="24"/>
        <v>0</v>
      </c>
      <c r="I156" s="507">
        <f t="shared" si="25"/>
        <v>0</v>
      </c>
      <c r="J156" s="507">
        <f t="shared" si="26"/>
        <v>0</v>
      </c>
      <c r="K156" s="507">
        <f t="shared" si="27"/>
        <v>0</v>
      </c>
      <c r="L156" s="509">
        <f t="shared" si="28"/>
        <v>0</v>
      </c>
      <c r="M156" s="329">
        <f>L156*D156*VPI!Q156</f>
        <v>0</v>
      </c>
    </row>
    <row r="157" spans="1:13" x14ac:dyDescent="0.25">
      <c r="A157" s="172">
        <f>Données!A157</f>
        <v>5663</v>
      </c>
      <c r="B157" s="27" t="str">
        <f>Données!B157</f>
        <v>Bussy-sur-Moudon</v>
      </c>
      <c r="C157" s="384">
        <f>VPI!R157</f>
        <v>5263.613630573248</v>
      </c>
      <c r="D157" s="27">
        <f>Données!Z157</f>
        <v>236</v>
      </c>
      <c r="E157" s="117">
        <f t="shared" si="21"/>
        <v>22.30344758717478</v>
      </c>
      <c r="F157" s="205">
        <f t="shared" si="22"/>
        <v>0.46530627340512642</v>
      </c>
      <c r="G157" s="507">
        <f t="shared" si="23"/>
        <v>0</v>
      </c>
      <c r="H157" s="507">
        <f t="shared" si="24"/>
        <v>0</v>
      </c>
      <c r="I157" s="507">
        <f t="shared" si="25"/>
        <v>0</v>
      </c>
      <c r="J157" s="507">
        <f t="shared" si="26"/>
        <v>0</v>
      </c>
      <c r="K157" s="507">
        <f t="shared" si="27"/>
        <v>0</v>
      </c>
      <c r="L157" s="509">
        <f t="shared" si="28"/>
        <v>0</v>
      </c>
      <c r="M157" s="329">
        <f>L157*D157*VPI!Q157</f>
        <v>0</v>
      </c>
    </row>
    <row r="158" spans="1:13" x14ac:dyDescent="0.25">
      <c r="A158" s="172">
        <f>Données!A158</f>
        <v>5665</v>
      </c>
      <c r="B158" s="27" t="str">
        <f>Données!B158</f>
        <v>Chavannes-sur-Moudon</v>
      </c>
      <c r="C158" s="384">
        <f>VPI!R158</f>
        <v>4920.7560000000012</v>
      </c>
      <c r="D158" s="27">
        <f>Données!Z158</f>
        <v>222</v>
      </c>
      <c r="E158" s="117">
        <f t="shared" si="21"/>
        <v>22.165567567567575</v>
      </c>
      <c r="F158" s="205">
        <f t="shared" si="22"/>
        <v>0.46242974779850465</v>
      </c>
      <c r="G158" s="507">
        <f t="shared" si="23"/>
        <v>0</v>
      </c>
      <c r="H158" s="507">
        <f t="shared" si="24"/>
        <v>0</v>
      </c>
      <c r="I158" s="507">
        <f t="shared" si="25"/>
        <v>0</v>
      </c>
      <c r="J158" s="507">
        <f t="shared" si="26"/>
        <v>0</v>
      </c>
      <c r="K158" s="507">
        <f t="shared" si="27"/>
        <v>0</v>
      </c>
      <c r="L158" s="509">
        <f t="shared" si="28"/>
        <v>0</v>
      </c>
      <c r="M158" s="329">
        <f>L158*D158*VPI!Q158</f>
        <v>0</v>
      </c>
    </row>
    <row r="159" spans="1:13" x14ac:dyDescent="0.25">
      <c r="A159" s="172">
        <f>Données!A159</f>
        <v>5669</v>
      </c>
      <c r="B159" s="27" t="str">
        <f>Données!B159</f>
        <v>Curtilles</v>
      </c>
      <c r="C159" s="384">
        <f>VPI!R159</f>
        <v>9337.6116438356166</v>
      </c>
      <c r="D159" s="27">
        <f>Données!Z159</f>
        <v>296</v>
      </c>
      <c r="E159" s="117">
        <f t="shared" si="21"/>
        <v>31.545985283228436</v>
      </c>
      <c r="F159" s="205">
        <f t="shared" si="22"/>
        <v>0.658128963948723</v>
      </c>
      <c r="G159" s="507">
        <f t="shared" si="23"/>
        <v>0</v>
      </c>
      <c r="H159" s="507">
        <f t="shared" si="24"/>
        <v>0</v>
      </c>
      <c r="I159" s="507">
        <f t="shared" si="25"/>
        <v>0</v>
      </c>
      <c r="J159" s="507">
        <f t="shared" si="26"/>
        <v>0</v>
      </c>
      <c r="K159" s="507">
        <f t="shared" si="27"/>
        <v>0</v>
      </c>
      <c r="L159" s="509">
        <f t="shared" si="28"/>
        <v>0</v>
      </c>
      <c r="M159" s="329">
        <f>L159*D159*VPI!Q159</f>
        <v>0</v>
      </c>
    </row>
    <row r="160" spans="1:13" x14ac:dyDescent="0.25">
      <c r="A160" s="172">
        <f>Données!A160</f>
        <v>5671</v>
      </c>
      <c r="B160" s="27" t="str">
        <f>Données!B160</f>
        <v>Dompierre</v>
      </c>
      <c r="C160" s="384">
        <f>VPI!R160</f>
        <v>6463.499743589743</v>
      </c>
      <c r="D160" s="27">
        <f>Données!Z160</f>
        <v>246</v>
      </c>
      <c r="E160" s="117">
        <f t="shared" si="21"/>
        <v>26.27438920158432</v>
      </c>
      <c r="F160" s="205">
        <f t="shared" si="22"/>
        <v>0.54815014932557959</v>
      </c>
      <c r="G160" s="507">
        <f t="shared" si="23"/>
        <v>0</v>
      </c>
      <c r="H160" s="507">
        <f t="shared" si="24"/>
        <v>0</v>
      </c>
      <c r="I160" s="507">
        <f t="shared" si="25"/>
        <v>0</v>
      </c>
      <c r="J160" s="507">
        <f t="shared" si="26"/>
        <v>0</v>
      </c>
      <c r="K160" s="507">
        <f t="shared" si="27"/>
        <v>0</v>
      </c>
      <c r="L160" s="509">
        <f t="shared" si="28"/>
        <v>0</v>
      </c>
      <c r="M160" s="329">
        <f>L160*D160*VPI!Q160</f>
        <v>0</v>
      </c>
    </row>
    <row r="161" spans="1:13" x14ac:dyDescent="0.25">
      <c r="A161" s="172">
        <f>Données!A161</f>
        <v>5673</v>
      </c>
      <c r="B161" s="27" t="str">
        <f>Données!B161</f>
        <v>Hermenches</v>
      </c>
      <c r="C161" s="384">
        <f>VPI!R161</f>
        <v>10227.21768707483</v>
      </c>
      <c r="D161" s="27">
        <f>Données!Z161</f>
        <v>371</v>
      </c>
      <c r="E161" s="117">
        <f t="shared" si="21"/>
        <v>27.566624493463152</v>
      </c>
      <c r="F161" s="205">
        <f t="shared" si="22"/>
        <v>0.57510944275663123</v>
      </c>
      <c r="G161" s="507">
        <f t="shared" si="23"/>
        <v>0</v>
      </c>
      <c r="H161" s="507">
        <f t="shared" si="24"/>
        <v>0</v>
      </c>
      <c r="I161" s="507">
        <f t="shared" si="25"/>
        <v>0</v>
      </c>
      <c r="J161" s="507">
        <f t="shared" si="26"/>
        <v>0</v>
      </c>
      <c r="K161" s="507">
        <f t="shared" si="27"/>
        <v>0</v>
      </c>
      <c r="L161" s="509">
        <f t="shared" si="28"/>
        <v>0</v>
      </c>
      <c r="M161" s="329">
        <f>L161*D161*VPI!Q161</f>
        <v>0</v>
      </c>
    </row>
    <row r="162" spans="1:13" x14ac:dyDescent="0.25">
      <c r="A162" s="172">
        <f>Données!A162</f>
        <v>5674</v>
      </c>
      <c r="B162" s="27" t="str">
        <f>Données!B162</f>
        <v>Lovatens</v>
      </c>
      <c r="C162" s="384">
        <f>VPI!R162</f>
        <v>4222.7066666666669</v>
      </c>
      <c r="D162" s="27">
        <f>Données!Z162</f>
        <v>146</v>
      </c>
      <c r="E162" s="117">
        <f t="shared" si="21"/>
        <v>28.922648401826486</v>
      </c>
      <c r="F162" s="205">
        <f t="shared" si="22"/>
        <v>0.60339952790972773</v>
      </c>
      <c r="G162" s="507">
        <f t="shared" si="23"/>
        <v>0</v>
      </c>
      <c r="H162" s="507">
        <f t="shared" si="24"/>
        <v>0</v>
      </c>
      <c r="I162" s="507">
        <f t="shared" si="25"/>
        <v>0</v>
      </c>
      <c r="J162" s="507">
        <f t="shared" si="26"/>
        <v>0</v>
      </c>
      <c r="K162" s="507">
        <f t="shared" si="27"/>
        <v>0</v>
      </c>
      <c r="L162" s="509">
        <f t="shared" si="28"/>
        <v>0</v>
      </c>
      <c r="M162" s="329">
        <f>L162*D162*VPI!Q162</f>
        <v>0</v>
      </c>
    </row>
    <row r="163" spans="1:13" x14ac:dyDescent="0.25">
      <c r="A163" s="172">
        <f>Données!A163</f>
        <v>5675</v>
      </c>
      <c r="B163" s="27" t="str">
        <f>Données!B163</f>
        <v>Lucens</v>
      </c>
      <c r="C163" s="384">
        <f>VPI!R163</f>
        <v>105149.82705723906</v>
      </c>
      <c r="D163" s="27">
        <f>Données!Z163</f>
        <v>4373</v>
      </c>
      <c r="E163" s="117">
        <f t="shared" si="21"/>
        <v>24.045238293445934</v>
      </c>
      <c r="F163" s="205">
        <f t="shared" si="22"/>
        <v>0.50164442872478909</v>
      </c>
      <c r="G163" s="507">
        <f t="shared" si="23"/>
        <v>0</v>
      </c>
      <c r="H163" s="507">
        <f t="shared" si="24"/>
        <v>0</v>
      </c>
      <c r="I163" s="507">
        <f t="shared" si="25"/>
        <v>0</v>
      </c>
      <c r="J163" s="507">
        <f t="shared" si="26"/>
        <v>0</v>
      </c>
      <c r="K163" s="507">
        <f t="shared" si="27"/>
        <v>0</v>
      </c>
      <c r="L163" s="509">
        <f t="shared" si="28"/>
        <v>0</v>
      </c>
      <c r="M163" s="329">
        <f>L163*D163*VPI!Q163</f>
        <v>0</v>
      </c>
    </row>
    <row r="164" spans="1:13" x14ac:dyDescent="0.25">
      <c r="A164" s="172">
        <f>Données!A164</f>
        <v>5678</v>
      </c>
      <c r="B164" s="27" t="str">
        <f>Données!B164</f>
        <v>Moudon</v>
      </c>
      <c r="C164" s="384">
        <f>VPI!R164</f>
        <v>124814.5703448276</v>
      </c>
      <c r="D164" s="27">
        <f>Données!Z164</f>
        <v>6120</v>
      </c>
      <c r="E164" s="117">
        <f t="shared" si="21"/>
        <v>20.394537638043726</v>
      </c>
      <c r="F164" s="205">
        <f t="shared" si="22"/>
        <v>0.42548158839961631</v>
      </c>
      <c r="G164" s="507">
        <f t="shared" si="23"/>
        <v>0</v>
      </c>
      <c r="H164" s="507">
        <f t="shared" si="24"/>
        <v>0</v>
      </c>
      <c r="I164" s="507">
        <f t="shared" si="25"/>
        <v>0</v>
      </c>
      <c r="J164" s="507">
        <f t="shared" si="26"/>
        <v>0</v>
      </c>
      <c r="K164" s="507">
        <f t="shared" si="27"/>
        <v>0</v>
      </c>
      <c r="L164" s="509">
        <f t="shared" si="28"/>
        <v>0</v>
      </c>
      <c r="M164" s="329">
        <f>L164*D164*VPI!Q164</f>
        <v>0</v>
      </c>
    </row>
    <row r="165" spans="1:13" x14ac:dyDescent="0.25">
      <c r="A165" s="172">
        <f>Données!A165</f>
        <v>5680</v>
      </c>
      <c r="B165" s="27" t="str">
        <f>Données!B165</f>
        <v>Ogens</v>
      </c>
      <c r="C165" s="384">
        <f>VPI!R165</f>
        <v>8501.7127777777787</v>
      </c>
      <c r="D165" s="27">
        <f>Données!Z165</f>
        <v>321</v>
      </c>
      <c r="E165" s="117">
        <f t="shared" si="21"/>
        <v>26.485086535133266</v>
      </c>
      <c r="F165" s="205">
        <f t="shared" si="22"/>
        <v>0.55254582809707298</v>
      </c>
      <c r="G165" s="507">
        <f t="shared" si="23"/>
        <v>0</v>
      </c>
      <c r="H165" s="507">
        <f t="shared" si="24"/>
        <v>0</v>
      </c>
      <c r="I165" s="507">
        <f t="shared" si="25"/>
        <v>0</v>
      </c>
      <c r="J165" s="507">
        <f t="shared" si="26"/>
        <v>0</v>
      </c>
      <c r="K165" s="507">
        <f t="shared" si="27"/>
        <v>0</v>
      </c>
      <c r="L165" s="509">
        <f t="shared" si="28"/>
        <v>0</v>
      </c>
      <c r="M165" s="329">
        <f>L165*D165*VPI!Q165</f>
        <v>0</v>
      </c>
    </row>
    <row r="166" spans="1:13" x14ac:dyDescent="0.25">
      <c r="A166" s="172">
        <f>Données!A166</f>
        <v>5683</v>
      </c>
      <c r="B166" s="27" t="str">
        <f>Données!B166</f>
        <v>Prévonloup</v>
      </c>
      <c r="C166" s="384">
        <f>VPI!R166</f>
        <v>5386.3598620689654</v>
      </c>
      <c r="D166" s="27">
        <f>Données!Z166</f>
        <v>215</v>
      </c>
      <c r="E166" s="117">
        <f t="shared" si="21"/>
        <v>25.052836567762629</v>
      </c>
      <c r="F166" s="205">
        <f t="shared" si="22"/>
        <v>0.52266547474376146</v>
      </c>
      <c r="G166" s="507">
        <f t="shared" si="23"/>
        <v>0</v>
      </c>
      <c r="H166" s="507">
        <f t="shared" si="24"/>
        <v>0</v>
      </c>
      <c r="I166" s="507">
        <f t="shared" si="25"/>
        <v>0</v>
      </c>
      <c r="J166" s="507">
        <f t="shared" si="26"/>
        <v>0</v>
      </c>
      <c r="K166" s="507">
        <f t="shared" si="27"/>
        <v>0</v>
      </c>
      <c r="L166" s="509">
        <f t="shared" si="28"/>
        <v>0</v>
      </c>
      <c r="M166" s="329">
        <f>L166*D166*VPI!Q166</f>
        <v>0</v>
      </c>
    </row>
    <row r="167" spans="1:13" x14ac:dyDescent="0.25">
      <c r="A167" s="172">
        <f>Données!A167</f>
        <v>5684</v>
      </c>
      <c r="B167" s="27" t="str">
        <f>Données!B167</f>
        <v>Rossenges</v>
      </c>
      <c r="C167" s="384">
        <f>VPI!R167</f>
        <v>3253.4312666666665</v>
      </c>
      <c r="D167" s="27">
        <f>Données!Z167</f>
        <v>93</v>
      </c>
      <c r="E167" s="117">
        <f t="shared" si="21"/>
        <v>34.983131899641577</v>
      </c>
      <c r="F167" s="205">
        <f t="shared" si="22"/>
        <v>0.72983652740854899</v>
      </c>
      <c r="G167" s="507">
        <f t="shared" si="23"/>
        <v>0</v>
      </c>
      <c r="H167" s="507">
        <f t="shared" si="24"/>
        <v>0</v>
      </c>
      <c r="I167" s="507">
        <f t="shared" si="25"/>
        <v>0</v>
      </c>
      <c r="J167" s="507">
        <f t="shared" si="26"/>
        <v>0</v>
      </c>
      <c r="K167" s="507">
        <f t="shared" si="27"/>
        <v>0</v>
      </c>
      <c r="L167" s="509">
        <f t="shared" si="28"/>
        <v>0</v>
      </c>
      <c r="M167" s="329">
        <f>L167*D167*VPI!Q167</f>
        <v>0</v>
      </c>
    </row>
    <row r="168" spans="1:13" x14ac:dyDescent="0.25">
      <c r="A168" s="172">
        <f>Données!A168</f>
        <v>5688</v>
      </c>
      <c r="B168" s="27" t="str">
        <f>Données!B168</f>
        <v>Syens</v>
      </c>
      <c r="C168" s="384">
        <f>VPI!R168</f>
        <v>6192.4015384615377</v>
      </c>
      <c r="D168" s="27">
        <f>Données!Z168</f>
        <v>161</v>
      </c>
      <c r="E168" s="117">
        <f t="shared" si="21"/>
        <v>38.462121356903964</v>
      </c>
      <c r="F168" s="205">
        <f t="shared" si="22"/>
        <v>0.80241703825770339</v>
      </c>
      <c r="G168" s="507">
        <f t="shared" si="23"/>
        <v>0</v>
      </c>
      <c r="H168" s="507">
        <f t="shared" si="24"/>
        <v>0</v>
      </c>
      <c r="I168" s="507">
        <f t="shared" si="25"/>
        <v>0</v>
      </c>
      <c r="J168" s="507">
        <f t="shared" si="26"/>
        <v>0</v>
      </c>
      <c r="K168" s="507">
        <f t="shared" si="27"/>
        <v>0</v>
      </c>
      <c r="L168" s="509">
        <f t="shared" si="28"/>
        <v>0</v>
      </c>
      <c r="M168" s="329">
        <f>L168*D168*VPI!Q168</f>
        <v>0</v>
      </c>
    </row>
    <row r="169" spans="1:13" x14ac:dyDescent="0.25">
      <c r="A169" s="172">
        <f>Données!A169</f>
        <v>5690</v>
      </c>
      <c r="B169" s="27" t="str">
        <f>Données!B169</f>
        <v>Villars-le-Comte</v>
      </c>
      <c r="C169" s="384">
        <f>VPI!R169</f>
        <v>3509.9673809523806</v>
      </c>
      <c r="D169" s="27">
        <f>Données!Z169</f>
        <v>133</v>
      </c>
      <c r="E169" s="117">
        <f t="shared" si="21"/>
        <v>26.390732187611885</v>
      </c>
      <c r="F169" s="205">
        <f t="shared" si="22"/>
        <v>0.55057735799158158</v>
      </c>
      <c r="G169" s="507">
        <f t="shared" si="23"/>
        <v>0</v>
      </c>
      <c r="H169" s="507">
        <f t="shared" si="24"/>
        <v>0</v>
      </c>
      <c r="I169" s="507">
        <f t="shared" si="25"/>
        <v>0</v>
      </c>
      <c r="J169" s="507">
        <f t="shared" si="26"/>
        <v>0</v>
      </c>
      <c r="K169" s="507">
        <f t="shared" si="27"/>
        <v>0</v>
      </c>
      <c r="L169" s="509">
        <f t="shared" si="28"/>
        <v>0</v>
      </c>
      <c r="M169" s="329">
        <f>L169*D169*VPI!Q169</f>
        <v>0</v>
      </c>
    </row>
    <row r="170" spans="1:13" x14ac:dyDescent="0.25">
      <c r="A170" s="172">
        <f>Données!A170</f>
        <v>5692</v>
      </c>
      <c r="B170" s="27" t="str">
        <f>Données!B170</f>
        <v>Vucherens</v>
      </c>
      <c r="C170" s="384">
        <f>VPI!R170</f>
        <v>18792.58012987013</v>
      </c>
      <c r="D170" s="27">
        <f>Données!Z170</f>
        <v>623</v>
      </c>
      <c r="E170" s="117">
        <f t="shared" si="21"/>
        <v>30.164655104125409</v>
      </c>
      <c r="F170" s="205">
        <f t="shared" si="22"/>
        <v>0.62931092604367456</v>
      </c>
      <c r="G170" s="507">
        <f t="shared" si="23"/>
        <v>0</v>
      </c>
      <c r="H170" s="507">
        <f t="shared" si="24"/>
        <v>0</v>
      </c>
      <c r="I170" s="507">
        <f t="shared" si="25"/>
        <v>0</v>
      </c>
      <c r="J170" s="507">
        <f t="shared" si="26"/>
        <v>0</v>
      </c>
      <c r="K170" s="507">
        <f t="shared" si="27"/>
        <v>0</v>
      </c>
      <c r="L170" s="509">
        <f t="shared" si="28"/>
        <v>0</v>
      </c>
      <c r="M170" s="329">
        <f>L170*D170*VPI!Q170</f>
        <v>0</v>
      </c>
    </row>
    <row r="171" spans="1:13" x14ac:dyDescent="0.25">
      <c r="A171" s="172">
        <f>Données!A171</f>
        <v>5693</v>
      </c>
      <c r="B171" s="27" t="str">
        <f>Données!B171</f>
        <v>Montanaire</v>
      </c>
      <c r="C171" s="384">
        <f>VPI!R171</f>
        <v>75687.075428571436</v>
      </c>
      <c r="D171" s="27">
        <f>Données!Z171</f>
        <v>2768</v>
      </c>
      <c r="E171" s="117">
        <f t="shared" si="21"/>
        <v>27.343596614368295</v>
      </c>
      <c r="F171" s="205">
        <f t="shared" si="22"/>
        <v>0.57045651764801475</v>
      </c>
      <c r="G171" s="507">
        <f t="shared" si="23"/>
        <v>0</v>
      </c>
      <c r="H171" s="507">
        <f t="shared" si="24"/>
        <v>0</v>
      </c>
      <c r="I171" s="507">
        <f t="shared" si="25"/>
        <v>0</v>
      </c>
      <c r="J171" s="507">
        <f t="shared" si="26"/>
        <v>0</v>
      </c>
      <c r="K171" s="507">
        <f t="shared" si="27"/>
        <v>0</v>
      </c>
      <c r="L171" s="509">
        <f t="shared" si="28"/>
        <v>0</v>
      </c>
      <c r="M171" s="329">
        <f>L171*D171*VPI!Q171</f>
        <v>0</v>
      </c>
    </row>
    <row r="172" spans="1:13" x14ac:dyDescent="0.25">
      <c r="A172" s="172">
        <f>Données!A172</f>
        <v>5701</v>
      </c>
      <c r="B172" s="27" t="str">
        <f>Données!B172</f>
        <v>Arnex-sur-Nyon</v>
      </c>
      <c r="C172" s="384">
        <f>VPI!R172</f>
        <v>14488.632285714286</v>
      </c>
      <c r="D172" s="27">
        <f>Données!Z172</f>
        <v>226</v>
      </c>
      <c r="E172" s="117">
        <f t="shared" si="21"/>
        <v>64.108992414664982</v>
      </c>
      <c r="F172" s="205">
        <f t="shared" si="22"/>
        <v>1.3374755734794426</v>
      </c>
      <c r="G172" s="507">
        <f t="shared" si="23"/>
        <v>16.176160080474801</v>
      </c>
      <c r="H172" s="507">
        <f t="shared" si="24"/>
        <v>6.5895936136367652</v>
      </c>
      <c r="I172" s="507">
        <f t="shared" si="25"/>
        <v>0</v>
      </c>
      <c r="J172" s="507">
        <f t="shared" si="26"/>
        <v>0</v>
      </c>
      <c r="K172" s="507">
        <f t="shared" si="27"/>
        <v>0</v>
      </c>
      <c r="L172" s="509">
        <f t="shared" si="28"/>
        <v>3.894191377458637</v>
      </c>
      <c r="M172" s="329">
        <f>L172*D172*VPI!Q172</f>
        <v>61606.107591395637</v>
      </c>
    </row>
    <row r="173" spans="1:13" x14ac:dyDescent="0.25">
      <c r="A173" s="172">
        <f>Données!A173</f>
        <v>5702</v>
      </c>
      <c r="B173" s="27" t="str">
        <f>Données!B173</f>
        <v>Arzier-Le Muids</v>
      </c>
      <c r="C173" s="384">
        <f>VPI!R173</f>
        <v>174855.39411458338</v>
      </c>
      <c r="D173" s="27">
        <f>Données!Z173</f>
        <v>2947</v>
      </c>
      <c r="E173" s="117">
        <f t="shared" si="21"/>
        <v>59.333353958121272</v>
      </c>
      <c r="F173" s="205">
        <f t="shared" si="22"/>
        <v>1.2378436881101886</v>
      </c>
      <c r="G173" s="507">
        <f t="shared" si="23"/>
        <v>11.400521623931091</v>
      </c>
      <c r="H173" s="507">
        <f t="shared" si="24"/>
        <v>1.813955157093055</v>
      </c>
      <c r="I173" s="507">
        <f t="shared" si="25"/>
        <v>0</v>
      </c>
      <c r="J173" s="507">
        <f t="shared" si="26"/>
        <v>0</v>
      </c>
      <c r="K173" s="507">
        <f t="shared" si="27"/>
        <v>0</v>
      </c>
      <c r="L173" s="509">
        <f t="shared" si="28"/>
        <v>2.4614998404955237</v>
      </c>
      <c r="M173" s="329">
        <f>L173*D173*VPI!Q173</f>
        <v>464258.56191617972</v>
      </c>
    </row>
    <row r="174" spans="1:13" x14ac:dyDescent="0.25">
      <c r="A174" s="172">
        <f>Données!A174</f>
        <v>5703</v>
      </c>
      <c r="B174" s="27" t="str">
        <f>Données!B174</f>
        <v>Bassins</v>
      </c>
      <c r="C174" s="384">
        <f>VPI!R174</f>
        <v>66798.778167487675</v>
      </c>
      <c r="D174" s="27">
        <f>Données!Z174</f>
        <v>1487</v>
      </c>
      <c r="E174" s="117">
        <f t="shared" si="21"/>
        <v>44.921841403824935</v>
      </c>
      <c r="F174" s="205">
        <f t="shared" si="22"/>
        <v>0.9371831209686825</v>
      </c>
      <c r="G174" s="507">
        <f t="shared" si="23"/>
        <v>0</v>
      </c>
      <c r="H174" s="507">
        <f t="shared" si="24"/>
        <v>0</v>
      </c>
      <c r="I174" s="507">
        <f t="shared" si="25"/>
        <v>0</v>
      </c>
      <c r="J174" s="507">
        <f t="shared" si="26"/>
        <v>0</v>
      </c>
      <c r="K174" s="507">
        <f t="shared" si="27"/>
        <v>0</v>
      </c>
      <c r="L174" s="509">
        <f t="shared" si="28"/>
        <v>0</v>
      </c>
      <c r="M174" s="329">
        <f>L174*D174*VPI!Q174</f>
        <v>0</v>
      </c>
    </row>
    <row r="175" spans="1:13" x14ac:dyDescent="0.25">
      <c r="A175" s="172">
        <f>Données!A175</f>
        <v>5704</v>
      </c>
      <c r="B175" s="27" t="str">
        <f>Données!B175</f>
        <v>Begnins</v>
      </c>
      <c r="C175" s="384">
        <f>VPI!R175</f>
        <v>146339.67776000002</v>
      </c>
      <c r="D175" s="27">
        <f>Données!Z175</f>
        <v>1941</v>
      </c>
      <c r="E175" s="117">
        <f t="shared" si="21"/>
        <v>75.393960721277708</v>
      </c>
      <c r="F175" s="205">
        <f t="shared" si="22"/>
        <v>1.5729085274082517</v>
      </c>
      <c r="G175" s="507">
        <f t="shared" si="23"/>
        <v>27.461128387087527</v>
      </c>
      <c r="H175" s="507">
        <f t="shared" si="24"/>
        <v>17.874561920249491</v>
      </c>
      <c r="I175" s="507">
        <f t="shared" si="25"/>
        <v>3.4947122199924365</v>
      </c>
      <c r="J175" s="507">
        <f t="shared" si="26"/>
        <v>0</v>
      </c>
      <c r="K175" s="507">
        <f t="shared" si="27"/>
        <v>0</v>
      </c>
      <c r="L175" s="509">
        <f t="shared" si="28"/>
        <v>7.6291530914416983</v>
      </c>
      <c r="M175" s="329">
        <f>L175*D175*VPI!Q175</f>
        <v>925511.63440552098</v>
      </c>
    </row>
    <row r="176" spans="1:13" x14ac:dyDescent="0.25">
      <c r="A176" s="172">
        <f>Données!A176</f>
        <v>5705</v>
      </c>
      <c r="B176" s="27" t="str">
        <f>Données!B176</f>
        <v>Bogis-Bossey</v>
      </c>
      <c r="C176" s="384">
        <f>VPI!R176</f>
        <v>51950.537852349</v>
      </c>
      <c r="D176" s="27">
        <f>Données!Z176</f>
        <v>888</v>
      </c>
      <c r="E176" s="117">
        <f t="shared" si="21"/>
        <v>58.502857941834456</v>
      </c>
      <c r="F176" s="205">
        <f t="shared" si="22"/>
        <v>1.2205174426987646</v>
      </c>
      <c r="G176" s="507">
        <f t="shared" si="23"/>
        <v>10.570025607644276</v>
      </c>
      <c r="H176" s="507">
        <f t="shared" si="24"/>
        <v>0.98345914080623942</v>
      </c>
      <c r="I176" s="507">
        <f t="shared" si="25"/>
        <v>0</v>
      </c>
      <c r="J176" s="507">
        <f t="shared" si="26"/>
        <v>0</v>
      </c>
      <c r="K176" s="507">
        <f t="shared" si="27"/>
        <v>0</v>
      </c>
      <c r="L176" s="509">
        <f t="shared" si="28"/>
        <v>2.2123510356094793</v>
      </c>
      <c r="M176" s="329">
        <f>L176*D176*VPI!Q176</f>
        <v>146360.29511178072</v>
      </c>
    </row>
    <row r="177" spans="1:13" x14ac:dyDescent="0.25">
      <c r="A177" s="172">
        <f>Données!A177</f>
        <v>5706</v>
      </c>
      <c r="B177" s="27" t="str">
        <f>Données!B177</f>
        <v>Borex</v>
      </c>
      <c r="C177" s="384">
        <f>VPI!R177</f>
        <v>71207.729649122819</v>
      </c>
      <c r="D177" s="27">
        <f>Données!Z177</f>
        <v>1165</v>
      </c>
      <c r="E177" s="117">
        <f t="shared" si="21"/>
        <v>61.122514720277096</v>
      </c>
      <c r="F177" s="205">
        <f t="shared" si="22"/>
        <v>1.2751701024910811</v>
      </c>
      <c r="G177" s="507">
        <f t="shared" si="23"/>
        <v>13.189682386086915</v>
      </c>
      <c r="H177" s="507">
        <f t="shared" si="24"/>
        <v>3.6031159192488786</v>
      </c>
      <c r="I177" s="507">
        <f t="shared" si="25"/>
        <v>0</v>
      </c>
      <c r="J177" s="507">
        <f t="shared" si="26"/>
        <v>0</v>
      </c>
      <c r="K177" s="507">
        <f t="shared" si="27"/>
        <v>0</v>
      </c>
      <c r="L177" s="509">
        <f t="shared" si="28"/>
        <v>2.9982480691422708</v>
      </c>
      <c r="M177" s="329">
        <f>L177*D177*VPI!Q177</f>
        <v>199098.6630313925</v>
      </c>
    </row>
    <row r="178" spans="1:13" x14ac:dyDescent="0.25">
      <c r="A178" s="172">
        <f>Données!A178</f>
        <v>5707</v>
      </c>
      <c r="B178" s="27" t="str">
        <f>Données!B178</f>
        <v>Chavannes-de-Bogis</v>
      </c>
      <c r="C178" s="384">
        <f>VPI!R178</f>
        <v>88004.58971264369</v>
      </c>
      <c r="D178" s="27">
        <f>Données!Z178</f>
        <v>1330</v>
      </c>
      <c r="E178" s="117">
        <f t="shared" si="21"/>
        <v>66.168864445596753</v>
      </c>
      <c r="F178" s="205">
        <f t="shared" si="22"/>
        <v>1.3804497089649119</v>
      </c>
      <c r="G178" s="507">
        <f t="shared" si="23"/>
        <v>18.236032111406573</v>
      </c>
      <c r="H178" s="507">
        <f t="shared" si="24"/>
        <v>8.6494656445685365</v>
      </c>
      <c r="I178" s="507">
        <f t="shared" si="25"/>
        <v>0</v>
      </c>
      <c r="J178" s="507">
        <f t="shared" si="26"/>
        <v>0</v>
      </c>
      <c r="K178" s="507">
        <f t="shared" si="27"/>
        <v>0</v>
      </c>
      <c r="L178" s="509">
        <f t="shared" si="28"/>
        <v>4.512152986738168</v>
      </c>
      <c r="M178" s="329">
        <f>L178*D178*VPI!Q178</f>
        <v>348067.48139698227</v>
      </c>
    </row>
    <row r="179" spans="1:13" x14ac:dyDescent="0.25">
      <c r="A179" s="172">
        <f>Données!A179</f>
        <v>5708</v>
      </c>
      <c r="B179" s="27" t="str">
        <f>Données!B179</f>
        <v>Chavannes-des-Bois</v>
      </c>
      <c r="C179" s="384">
        <f>VPI!R179</f>
        <v>66993.89235294117</v>
      </c>
      <c r="D179" s="27">
        <f>Données!Z179</f>
        <v>1005</v>
      </c>
      <c r="E179" s="117">
        <f t="shared" si="21"/>
        <v>66.660589405911608</v>
      </c>
      <c r="F179" s="205">
        <f t="shared" si="22"/>
        <v>1.3907083341362041</v>
      </c>
      <c r="G179" s="507">
        <f t="shared" si="23"/>
        <v>18.727757071721427</v>
      </c>
      <c r="H179" s="507">
        <f t="shared" si="24"/>
        <v>9.1411906048833913</v>
      </c>
      <c r="I179" s="507">
        <f t="shared" si="25"/>
        <v>0</v>
      </c>
      <c r="J179" s="507">
        <f t="shared" si="26"/>
        <v>0</v>
      </c>
      <c r="K179" s="507">
        <f t="shared" si="27"/>
        <v>0</v>
      </c>
      <c r="L179" s="509">
        <f t="shared" si="28"/>
        <v>4.659670474832625</v>
      </c>
      <c r="M179" s="329">
        <f>L179*D179*VPI!Q179</f>
        <v>318441.88025006157</v>
      </c>
    </row>
    <row r="180" spans="1:13" x14ac:dyDescent="0.25">
      <c r="A180" s="172">
        <f>Données!A180</f>
        <v>5709</v>
      </c>
      <c r="B180" s="27" t="str">
        <f>Données!B180</f>
        <v>Chéserex</v>
      </c>
      <c r="C180" s="384">
        <f>VPI!R180</f>
        <v>88341.005087719284</v>
      </c>
      <c r="D180" s="27">
        <f>Données!Z180</f>
        <v>1263</v>
      </c>
      <c r="E180" s="117">
        <f t="shared" si="21"/>
        <v>69.945372199302682</v>
      </c>
      <c r="F180" s="205">
        <f t="shared" si="22"/>
        <v>1.4592372032522496</v>
      </c>
      <c r="G180" s="507">
        <f t="shared" si="23"/>
        <v>22.012539865112501</v>
      </c>
      <c r="H180" s="507">
        <f t="shared" si="24"/>
        <v>12.425973398274465</v>
      </c>
      <c r="I180" s="507">
        <f t="shared" si="25"/>
        <v>0</v>
      </c>
      <c r="J180" s="507">
        <f t="shared" si="26"/>
        <v>0</v>
      </c>
      <c r="K180" s="507">
        <f t="shared" si="27"/>
        <v>0</v>
      </c>
      <c r="L180" s="509">
        <f t="shared" si="28"/>
        <v>5.6451053128499469</v>
      </c>
      <c r="M180" s="329">
        <f>L180*D180*VPI!Q180</f>
        <v>406396.77657738049</v>
      </c>
    </row>
    <row r="181" spans="1:13" x14ac:dyDescent="0.25">
      <c r="A181" s="172">
        <f>Données!A181</f>
        <v>5710</v>
      </c>
      <c r="B181" s="27" t="str">
        <f>Données!B181</f>
        <v>Coinsins</v>
      </c>
      <c r="C181" s="384">
        <f>VPI!R181</f>
        <v>43388.780196078442</v>
      </c>
      <c r="D181" s="27">
        <f>Données!Z181</f>
        <v>508</v>
      </c>
      <c r="E181" s="117">
        <f t="shared" si="21"/>
        <v>85.410984637949682</v>
      </c>
      <c r="F181" s="205">
        <f t="shared" si="22"/>
        <v>1.7818889574991081</v>
      </c>
      <c r="G181" s="507">
        <f t="shared" si="23"/>
        <v>37.478152303759501</v>
      </c>
      <c r="H181" s="507">
        <f t="shared" si="24"/>
        <v>27.891585836921465</v>
      </c>
      <c r="I181" s="507">
        <f t="shared" si="25"/>
        <v>13.51173613666441</v>
      </c>
      <c r="J181" s="507">
        <f t="shared" si="26"/>
        <v>0</v>
      </c>
      <c r="K181" s="507">
        <f t="shared" si="27"/>
        <v>0</v>
      </c>
      <c r="L181" s="509">
        <f t="shared" si="28"/>
        <v>11.635962658110488</v>
      </c>
      <c r="M181" s="329">
        <f>L181*D181*VPI!Q181</f>
        <v>301464.52054632653</v>
      </c>
    </row>
    <row r="182" spans="1:13" x14ac:dyDescent="0.25">
      <c r="A182" s="172">
        <f>Données!A182</f>
        <v>5711</v>
      </c>
      <c r="B182" s="27" t="str">
        <f>Données!B182</f>
        <v>Commugny</v>
      </c>
      <c r="C182" s="384">
        <f>VPI!R182</f>
        <v>286267.46263340261</v>
      </c>
      <c r="D182" s="27">
        <f>Données!Z182</f>
        <v>3001</v>
      </c>
      <c r="E182" s="117">
        <f t="shared" si="21"/>
        <v>95.390690647585004</v>
      </c>
      <c r="F182" s="205">
        <f t="shared" si="22"/>
        <v>1.9900908417536478</v>
      </c>
      <c r="G182" s="507">
        <f t="shared" si="23"/>
        <v>47.457858313394823</v>
      </c>
      <c r="H182" s="507">
        <f t="shared" si="24"/>
        <v>37.871291846556787</v>
      </c>
      <c r="I182" s="507">
        <f t="shared" si="25"/>
        <v>23.491442146299732</v>
      </c>
      <c r="J182" s="507">
        <f t="shared" si="26"/>
        <v>0</v>
      </c>
      <c r="K182" s="507">
        <f t="shared" si="27"/>
        <v>0</v>
      </c>
      <c r="L182" s="509">
        <f t="shared" si="28"/>
        <v>15.627845061964617</v>
      </c>
      <c r="M182" s="329">
        <f>L182*D182*VPI!Q182</f>
        <v>2602903.5482180477</v>
      </c>
    </row>
    <row r="183" spans="1:13" x14ac:dyDescent="0.25">
      <c r="A183" s="172">
        <f>Données!A183</f>
        <v>5712</v>
      </c>
      <c r="B183" s="27" t="str">
        <f>Données!B183</f>
        <v>Coppet</v>
      </c>
      <c r="C183" s="384">
        <f>VPI!R183</f>
        <v>333743.32396226411</v>
      </c>
      <c r="D183" s="27">
        <f>Données!Z183</f>
        <v>3211</v>
      </c>
      <c r="E183" s="117">
        <f t="shared" si="21"/>
        <v>103.93750356968674</v>
      </c>
      <c r="F183" s="205">
        <f t="shared" si="22"/>
        <v>2.1683989555432297</v>
      </c>
      <c r="G183" s="507">
        <f t="shared" si="23"/>
        <v>56.004671235496559</v>
      </c>
      <c r="H183" s="507">
        <f t="shared" si="24"/>
        <v>46.418104768658523</v>
      </c>
      <c r="I183" s="507">
        <f t="shared" si="25"/>
        <v>32.038255068401469</v>
      </c>
      <c r="J183" s="507">
        <f t="shared" si="26"/>
        <v>8.0718389013063785</v>
      </c>
      <c r="K183" s="507">
        <f t="shared" si="27"/>
        <v>0</v>
      </c>
      <c r="L183" s="509">
        <f t="shared" si="28"/>
        <v>19.85375412093595</v>
      </c>
      <c r="M183" s="329">
        <f>L183*D183*VPI!Q183</f>
        <v>3378771.4375632429</v>
      </c>
    </row>
    <row r="184" spans="1:13" x14ac:dyDescent="0.25">
      <c r="A184" s="172">
        <f>Données!A184</f>
        <v>5713</v>
      </c>
      <c r="B184" s="27" t="str">
        <f>Données!B184</f>
        <v>Crans</v>
      </c>
      <c r="C184" s="384">
        <f>VPI!R184</f>
        <v>302501.76750000002</v>
      </c>
      <c r="D184" s="27">
        <f>Données!Z184</f>
        <v>2373</v>
      </c>
      <c r="E184" s="117">
        <f t="shared" si="21"/>
        <v>127.47651390644754</v>
      </c>
      <c r="F184" s="205">
        <f t="shared" si="22"/>
        <v>2.6594821899460208</v>
      </c>
      <c r="G184" s="507">
        <f t="shared" si="23"/>
        <v>79.543681572257356</v>
      </c>
      <c r="H184" s="507">
        <f t="shared" si="24"/>
        <v>69.957115105419319</v>
      </c>
      <c r="I184" s="507">
        <f t="shared" si="25"/>
        <v>55.577265405162265</v>
      </c>
      <c r="J184" s="507">
        <f t="shared" si="26"/>
        <v>31.610849238067175</v>
      </c>
      <c r="K184" s="507">
        <f t="shared" si="27"/>
        <v>0</v>
      </c>
      <c r="L184" s="509">
        <f t="shared" si="28"/>
        <v>31.623259289316348</v>
      </c>
      <c r="M184" s="329">
        <f>L184*D184*VPI!Q184</f>
        <v>4202351.6804386703</v>
      </c>
    </row>
    <row r="185" spans="1:13" x14ac:dyDescent="0.25">
      <c r="A185" s="172">
        <f>Données!A185</f>
        <v>5714</v>
      </c>
      <c r="B185" s="27" t="str">
        <f>Données!B185</f>
        <v>Crassier</v>
      </c>
      <c r="C185" s="384">
        <f>VPI!R185</f>
        <v>62133.653235294114</v>
      </c>
      <c r="D185" s="27">
        <f>Données!Z185</f>
        <v>1228</v>
      </c>
      <c r="E185" s="117">
        <f t="shared" si="21"/>
        <v>50.597437488024525</v>
      </c>
      <c r="F185" s="205">
        <f t="shared" si="22"/>
        <v>1.0555903964793187</v>
      </c>
      <c r="G185" s="507">
        <f t="shared" si="23"/>
        <v>2.6646051538343443</v>
      </c>
      <c r="H185" s="507">
        <f t="shared" si="24"/>
        <v>0</v>
      </c>
      <c r="I185" s="507">
        <f t="shared" si="25"/>
        <v>0</v>
      </c>
      <c r="J185" s="507">
        <f t="shared" si="26"/>
        <v>0</v>
      </c>
      <c r="K185" s="507">
        <f t="shared" si="27"/>
        <v>0</v>
      </c>
      <c r="L185" s="509">
        <f t="shared" si="28"/>
        <v>0.53292103076686892</v>
      </c>
      <c r="M185" s="329">
        <f>L185*D185*VPI!Q185</f>
        <v>44501.037753156626</v>
      </c>
    </row>
    <row r="186" spans="1:13" x14ac:dyDescent="0.25">
      <c r="A186" s="172">
        <f>Données!A186</f>
        <v>5715</v>
      </c>
      <c r="B186" s="27" t="str">
        <f>Données!B186</f>
        <v>Duillier</v>
      </c>
      <c r="C186" s="384">
        <f>VPI!R186</f>
        <v>70392.808484848487</v>
      </c>
      <c r="D186" s="27">
        <f>Données!Z186</f>
        <v>1146</v>
      </c>
      <c r="E186" s="117">
        <f t="shared" si="21"/>
        <v>61.424789253794494</v>
      </c>
      <c r="F186" s="205">
        <f t="shared" si="22"/>
        <v>1.2814763130527671</v>
      </c>
      <c r="G186" s="507">
        <f t="shared" si="23"/>
        <v>13.491956919604313</v>
      </c>
      <c r="H186" s="507">
        <f t="shared" si="24"/>
        <v>3.9053904527662766</v>
      </c>
      <c r="I186" s="507">
        <f t="shared" si="25"/>
        <v>0</v>
      </c>
      <c r="J186" s="507">
        <f t="shared" si="26"/>
        <v>0</v>
      </c>
      <c r="K186" s="507">
        <f t="shared" si="27"/>
        <v>0</v>
      </c>
      <c r="L186" s="509">
        <f t="shared" si="28"/>
        <v>3.0889304291974904</v>
      </c>
      <c r="M186" s="329">
        <f>L186*D186*VPI!Q186</f>
        <v>233634.34194278138</v>
      </c>
    </row>
    <row r="187" spans="1:13" x14ac:dyDescent="0.25">
      <c r="A187" s="172">
        <f>Données!A187</f>
        <v>5716</v>
      </c>
      <c r="B187" s="27" t="str">
        <f>Données!B187</f>
        <v>Eysins</v>
      </c>
      <c r="C187" s="384">
        <f>VPI!R187</f>
        <v>203469.72924369748</v>
      </c>
      <c r="D187" s="27">
        <f>Données!Z187</f>
        <v>1736</v>
      </c>
      <c r="E187" s="117">
        <f t="shared" si="21"/>
        <v>117.20606523254463</v>
      </c>
      <c r="F187" s="205">
        <f t="shared" si="22"/>
        <v>2.4452146790612725</v>
      </c>
      <c r="G187" s="507">
        <f t="shared" si="23"/>
        <v>69.273232898354451</v>
      </c>
      <c r="H187" s="507">
        <f t="shared" si="24"/>
        <v>59.686666431516414</v>
      </c>
      <c r="I187" s="507">
        <f t="shared" si="25"/>
        <v>45.30681673125936</v>
      </c>
      <c r="J187" s="507">
        <f t="shared" si="26"/>
        <v>21.34040056416427</v>
      </c>
      <c r="K187" s="507">
        <f t="shared" si="27"/>
        <v>0</v>
      </c>
      <c r="L187" s="509">
        <f t="shared" si="28"/>
        <v>26.488034952364895</v>
      </c>
      <c r="M187" s="329">
        <f>L187*D187*VPI!Q187</f>
        <v>2736002.1062996746</v>
      </c>
    </row>
    <row r="188" spans="1:13" x14ac:dyDescent="0.25">
      <c r="A188" s="172">
        <f>Données!A188</f>
        <v>5717</v>
      </c>
      <c r="B188" s="27" t="str">
        <f>Données!B188</f>
        <v>Founex</v>
      </c>
      <c r="C188" s="384">
        <f>VPI!R188</f>
        <v>390717.85842105263</v>
      </c>
      <c r="D188" s="27">
        <f>Données!Z188</f>
        <v>3822</v>
      </c>
      <c r="E188" s="117">
        <f t="shared" si="21"/>
        <v>102.2286390426616</v>
      </c>
      <c r="F188" s="205">
        <f t="shared" si="22"/>
        <v>2.1327477235210774</v>
      </c>
      <c r="G188" s="507">
        <f t="shared" si="23"/>
        <v>54.295806708471417</v>
      </c>
      <c r="H188" s="507">
        <f t="shared" si="24"/>
        <v>44.709240241633381</v>
      </c>
      <c r="I188" s="507">
        <f t="shared" si="25"/>
        <v>30.329390541376327</v>
      </c>
      <c r="J188" s="507">
        <f t="shared" si="26"/>
        <v>6.3629743742812366</v>
      </c>
      <c r="K188" s="507">
        <f t="shared" si="27"/>
        <v>0</v>
      </c>
      <c r="L188" s="509">
        <f t="shared" si="28"/>
        <v>18.999321857423379</v>
      </c>
      <c r="M188" s="329">
        <f>L188*D188*VPI!Q188</f>
        <v>4139078.2639271128</v>
      </c>
    </row>
    <row r="189" spans="1:13" x14ac:dyDescent="0.25">
      <c r="A189" s="172">
        <f>Données!A189</f>
        <v>5718</v>
      </c>
      <c r="B189" s="27" t="str">
        <f>Données!B189</f>
        <v>Genolier</v>
      </c>
      <c r="C189" s="384">
        <f>VPI!R189</f>
        <v>192258.25363636363</v>
      </c>
      <c r="D189" s="27">
        <f>Données!Z189</f>
        <v>2022</v>
      </c>
      <c r="E189" s="117">
        <f t="shared" si="21"/>
        <v>95.083211491772317</v>
      </c>
      <c r="F189" s="205">
        <f t="shared" si="22"/>
        <v>1.9836760496197525</v>
      </c>
      <c r="G189" s="507">
        <f t="shared" si="23"/>
        <v>47.150379157582137</v>
      </c>
      <c r="H189" s="507">
        <f t="shared" si="24"/>
        <v>37.563812690744101</v>
      </c>
      <c r="I189" s="507">
        <f t="shared" si="25"/>
        <v>23.183962990487046</v>
      </c>
      <c r="J189" s="507">
        <f t="shared" si="26"/>
        <v>0</v>
      </c>
      <c r="K189" s="507">
        <f t="shared" si="27"/>
        <v>0</v>
      </c>
      <c r="L189" s="509">
        <f t="shared" si="28"/>
        <v>15.504853399639543</v>
      </c>
      <c r="M189" s="329">
        <f>L189*D189*VPI!Q189</f>
        <v>1724294.7465739138</v>
      </c>
    </row>
    <row r="190" spans="1:13" x14ac:dyDescent="0.25">
      <c r="A190" s="172">
        <f>Données!A190</f>
        <v>5719</v>
      </c>
      <c r="B190" s="27" t="str">
        <f>Données!B190</f>
        <v>Gingins</v>
      </c>
      <c r="C190" s="384">
        <f>VPI!R190</f>
        <v>151290.43366666668</v>
      </c>
      <c r="D190" s="27">
        <f>Données!Z190</f>
        <v>1265</v>
      </c>
      <c r="E190" s="117">
        <f t="shared" si="21"/>
        <v>119.59718076416338</v>
      </c>
      <c r="F190" s="205">
        <f t="shared" si="22"/>
        <v>2.495099390962872</v>
      </c>
      <c r="G190" s="507">
        <f t="shared" si="23"/>
        <v>71.664348429973202</v>
      </c>
      <c r="H190" s="507">
        <f t="shared" si="24"/>
        <v>62.077781963135166</v>
      </c>
      <c r="I190" s="507">
        <f t="shared" si="25"/>
        <v>47.697932262878112</v>
      </c>
      <c r="J190" s="507">
        <f t="shared" si="26"/>
        <v>23.731516095783022</v>
      </c>
      <c r="K190" s="507">
        <f t="shared" si="27"/>
        <v>0</v>
      </c>
      <c r="L190" s="509">
        <f t="shared" si="28"/>
        <v>27.683592718174271</v>
      </c>
      <c r="M190" s="329">
        <f>L190*D190*VPI!Q190</f>
        <v>2101184.6873094272</v>
      </c>
    </row>
    <row r="191" spans="1:13" x14ac:dyDescent="0.25">
      <c r="A191" s="172">
        <f>Données!A191</f>
        <v>5720</v>
      </c>
      <c r="B191" s="27" t="str">
        <f>Données!B191</f>
        <v>Givrins</v>
      </c>
      <c r="C191" s="384">
        <f>VPI!R191</f>
        <v>74789.584809286913</v>
      </c>
      <c r="D191" s="27">
        <f>Données!Z191</f>
        <v>1010</v>
      </c>
      <c r="E191" s="117">
        <f t="shared" si="21"/>
        <v>74.049093870581103</v>
      </c>
      <c r="F191" s="205">
        <f t="shared" si="22"/>
        <v>1.5448512066699294</v>
      </c>
      <c r="G191" s="507">
        <f t="shared" si="23"/>
        <v>26.116261536390923</v>
      </c>
      <c r="H191" s="507">
        <f t="shared" si="24"/>
        <v>16.529695069552886</v>
      </c>
      <c r="I191" s="507">
        <f t="shared" si="25"/>
        <v>2.1498453692958321</v>
      </c>
      <c r="J191" s="507">
        <f t="shared" si="26"/>
        <v>0</v>
      </c>
      <c r="K191" s="507">
        <f t="shared" si="27"/>
        <v>0</v>
      </c>
      <c r="L191" s="509">
        <f t="shared" si="28"/>
        <v>7.0912063511630565</v>
      </c>
      <c r="M191" s="329">
        <f>L191*D191*VPI!Q191</f>
        <v>479861.93378320406</v>
      </c>
    </row>
    <row r="192" spans="1:13" x14ac:dyDescent="0.25">
      <c r="A192" s="172">
        <f>Données!A192</f>
        <v>5721</v>
      </c>
      <c r="B192" s="27" t="str">
        <f>Données!B192</f>
        <v>Gland</v>
      </c>
      <c r="C192" s="384">
        <f>VPI!R192</f>
        <v>722641.89508196723</v>
      </c>
      <c r="D192" s="27">
        <f>Données!Z192</f>
        <v>13306</v>
      </c>
      <c r="E192" s="117">
        <f t="shared" si="21"/>
        <v>54.309476558091632</v>
      </c>
      <c r="F192" s="205">
        <f t="shared" si="22"/>
        <v>1.1330329111253672</v>
      </c>
      <c r="G192" s="507">
        <f t="shared" si="23"/>
        <v>6.3766442239014509</v>
      </c>
      <c r="H192" s="507">
        <f t="shared" si="24"/>
        <v>0</v>
      </c>
      <c r="I192" s="507">
        <f t="shared" si="25"/>
        <v>0</v>
      </c>
      <c r="J192" s="507">
        <f t="shared" si="26"/>
        <v>0</v>
      </c>
      <c r="K192" s="507">
        <f t="shared" si="27"/>
        <v>0</v>
      </c>
      <c r="L192" s="509">
        <f t="shared" si="28"/>
        <v>1.2753288447802902</v>
      </c>
      <c r="M192" s="329">
        <f>L192*D192*VPI!Q192</f>
        <v>1035141.0621274391</v>
      </c>
    </row>
    <row r="193" spans="1:13" x14ac:dyDescent="0.25">
      <c r="A193" s="172">
        <f>Données!A193</f>
        <v>5722</v>
      </c>
      <c r="B193" s="27" t="str">
        <f>Données!B193</f>
        <v>Grens</v>
      </c>
      <c r="C193" s="384">
        <f>VPI!R193</f>
        <v>22316.235806451619</v>
      </c>
      <c r="D193" s="27">
        <f>Données!Z193</f>
        <v>401</v>
      </c>
      <c r="E193" s="117">
        <f t="shared" si="21"/>
        <v>55.651460863969128</v>
      </c>
      <c r="F193" s="205">
        <f t="shared" si="22"/>
        <v>1.1610300946950989</v>
      </c>
      <c r="G193" s="507">
        <f t="shared" si="23"/>
        <v>7.7186285297789468</v>
      </c>
      <c r="H193" s="507">
        <f t="shared" si="24"/>
        <v>0</v>
      </c>
      <c r="I193" s="507">
        <f t="shared" si="25"/>
        <v>0</v>
      </c>
      <c r="J193" s="507">
        <f t="shared" si="26"/>
        <v>0</v>
      </c>
      <c r="K193" s="507">
        <f t="shared" si="27"/>
        <v>0</v>
      </c>
      <c r="L193" s="509">
        <f t="shared" si="28"/>
        <v>1.5437257059557894</v>
      </c>
      <c r="M193" s="329">
        <f>L193*D193*VPI!Q193</f>
        <v>38380.108501472838</v>
      </c>
    </row>
    <row r="194" spans="1:13" x14ac:dyDescent="0.25">
      <c r="A194" s="172">
        <f>Données!A194</f>
        <v>5723</v>
      </c>
      <c r="B194" s="27" t="str">
        <f>Données!B194</f>
        <v>Mies</v>
      </c>
      <c r="C194" s="384">
        <f>VPI!R194</f>
        <v>245963.39999999997</v>
      </c>
      <c r="D194" s="27">
        <f>Données!Z194</f>
        <v>2195</v>
      </c>
      <c r="E194" s="117">
        <f t="shared" si="21"/>
        <v>112.05621867881547</v>
      </c>
      <c r="F194" s="205">
        <f t="shared" si="22"/>
        <v>2.3377758672292455</v>
      </c>
      <c r="G194" s="507">
        <f t="shared" si="23"/>
        <v>64.123386344625288</v>
      </c>
      <c r="H194" s="507">
        <f t="shared" si="24"/>
        <v>54.536819877787252</v>
      </c>
      <c r="I194" s="507">
        <f t="shared" si="25"/>
        <v>40.156970177530198</v>
      </c>
      <c r="J194" s="507">
        <f t="shared" si="26"/>
        <v>16.190554010435108</v>
      </c>
      <c r="K194" s="507">
        <f t="shared" si="27"/>
        <v>0</v>
      </c>
      <c r="L194" s="509">
        <f t="shared" si="28"/>
        <v>23.913111675500314</v>
      </c>
      <c r="M194" s="329">
        <f>L194*D194*VPI!Q194</f>
        <v>2729442.5666416059</v>
      </c>
    </row>
    <row r="195" spans="1:13" x14ac:dyDescent="0.25">
      <c r="A195" s="172">
        <f>Données!A195</f>
        <v>5724</v>
      </c>
      <c r="B195" s="27" t="str">
        <f>Données!B195</f>
        <v>Nyon</v>
      </c>
      <c r="C195" s="384">
        <f>VPI!R195</f>
        <v>1461398.290765027</v>
      </c>
      <c r="D195" s="27">
        <f>Données!Z195</f>
        <v>22124</v>
      </c>
      <c r="E195" s="117">
        <f t="shared" si="21"/>
        <v>66.054885679127963</v>
      </c>
      <c r="F195" s="205">
        <f t="shared" si="22"/>
        <v>1.3780718238928569</v>
      </c>
      <c r="G195" s="507">
        <f t="shared" si="23"/>
        <v>18.122053344937783</v>
      </c>
      <c r="H195" s="507">
        <f t="shared" si="24"/>
        <v>8.5354868780997464</v>
      </c>
      <c r="I195" s="507">
        <f t="shared" si="25"/>
        <v>0</v>
      </c>
      <c r="J195" s="507">
        <f t="shared" si="26"/>
        <v>0</v>
      </c>
      <c r="K195" s="507">
        <f t="shared" si="27"/>
        <v>0</v>
      </c>
      <c r="L195" s="509">
        <f t="shared" si="28"/>
        <v>4.4779593567975313</v>
      </c>
      <c r="M195" s="329">
        <f>L195*D195*VPI!Q195</f>
        <v>6043292.7413971033</v>
      </c>
    </row>
    <row r="196" spans="1:13" x14ac:dyDescent="0.25">
      <c r="A196" s="172">
        <f>Données!A196</f>
        <v>5725</v>
      </c>
      <c r="B196" s="27" t="str">
        <f>Données!B196</f>
        <v>Prangins</v>
      </c>
      <c r="C196" s="384">
        <f>VPI!R196</f>
        <v>354965.57820779225</v>
      </c>
      <c r="D196" s="27">
        <f>Données!Z196</f>
        <v>4060</v>
      </c>
      <c r="E196" s="117">
        <f t="shared" si="21"/>
        <v>87.4299453713774</v>
      </c>
      <c r="F196" s="205">
        <f t="shared" si="22"/>
        <v>1.8240095799432696</v>
      </c>
      <c r="G196" s="507">
        <f t="shared" si="23"/>
        <v>39.497113037187219</v>
      </c>
      <c r="H196" s="507">
        <f t="shared" si="24"/>
        <v>29.910546570349183</v>
      </c>
      <c r="I196" s="507">
        <f t="shared" si="25"/>
        <v>15.530696870092129</v>
      </c>
      <c r="J196" s="507">
        <f t="shared" si="26"/>
        <v>0</v>
      </c>
      <c r="K196" s="507">
        <f t="shared" si="27"/>
        <v>0</v>
      </c>
      <c r="L196" s="509">
        <f t="shared" si="28"/>
        <v>12.443546951481576</v>
      </c>
      <c r="M196" s="329">
        <f>L196*D196*VPI!Q196</f>
        <v>2778644.0342658358</v>
      </c>
    </row>
    <row r="197" spans="1:13" x14ac:dyDescent="0.25">
      <c r="A197" s="172">
        <f>Données!A197</f>
        <v>5726</v>
      </c>
      <c r="B197" s="27" t="str">
        <f>Données!B197</f>
        <v>La Rippe</v>
      </c>
      <c r="C197" s="384">
        <f>VPI!R197</f>
        <v>70364.194375000006</v>
      </c>
      <c r="D197" s="27">
        <f>Données!Z197</f>
        <v>1165</v>
      </c>
      <c r="E197" s="117">
        <f t="shared" si="21"/>
        <v>60.398450107296142</v>
      </c>
      <c r="F197" s="205">
        <f t="shared" si="22"/>
        <v>1.2600642850853259</v>
      </c>
      <c r="G197" s="507">
        <f t="shared" si="23"/>
        <v>12.465617773105961</v>
      </c>
      <c r="H197" s="507">
        <f t="shared" si="24"/>
        <v>2.8790513062679253</v>
      </c>
      <c r="I197" s="507">
        <f t="shared" si="25"/>
        <v>0</v>
      </c>
      <c r="J197" s="507">
        <f t="shared" si="26"/>
        <v>0</v>
      </c>
      <c r="K197" s="507">
        <f t="shared" si="27"/>
        <v>0</v>
      </c>
      <c r="L197" s="509">
        <f t="shared" si="28"/>
        <v>2.7810286852479851</v>
      </c>
      <c r="M197" s="329">
        <f>L197*D197*VPI!Q197</f>
        <v>207353.49877208978</v>
      </c>
    </row>
    <row r="198" spans="1:13" x14ac:dyDescent="0.25">
      <c r="A198" s="172">
        <f>Données!A198</f>
        <v>5727</v>
      </c>
      <c r="B198" s="27" t="str">
        <f>Données!B198</f>
        <v>Saint-Cergue</v>
      </c>
      <c r="C198" s="384">
        <f>VPI!R198</f>
        <v>106171.3535858586</v>
      </c>
      <c r="D198" s="27">
        <f>Données!Z198</f>
        <v>2755</v>
      </c>
      <c r="E198" s="117">
        <f t="shared" si="21"/>
        <v>38.537696401400581</v>
      </c>
      <c r="F198" s="205">
        <f t="shared" si="22"/>
        <v>0.80399372465023078</v>
      </c>
      <c r="G198" s="507">
        <f t="shared" si="23"/>
        <v>0</v>
      </c>
      <c r="H198" s="507">
        <f t="shared" si="24"/>
        <v>0</v>
      </c>
      <c r="I198" s="507">
        <f t="shared" si="25"/>
        <v>0</v>
      </c>
      <c r="J198" s="507">
        <f t="shared" si="26"/>
        <v>0</v>
      </c>
      <c r="K198" s="507">
        <f t="shared" si="27"/>
        <v>0</v>
      </c>
      <c r="L198" s="509">
        <f t="shared" si="28"/>
        <v>0</v>
      </c>
      <c r="M198" s="329">
        <f>L198*D198*VPI!Q198</f>
        <v>0</v>
      </c>
    </row>
    <row r="199" spans="1:13" x14ac:dyDescent="0.25">
      <c r="A199" s="172">
        <f>Données!A199</f>
        <v>5728</v>
      </c>
      <c r="B199" s="27" t="str">
        <f>Données!B199</f>
        <v>Signy-Avenex</v>
      </c>
      <c r="C199" s="384">
        <f>VPI!R199</f>
        <v>56428.273965517248</v>
      </c>
      <c r="D199" s="27">
        <f>Données!Z199</f>
        <v>584</v>
      </c>
      <c r="E199" s="117">
        <f t="shared" ref="E199:E262" si="29">C199/D199</f>
        <v>96.623756790269255</v>
      </c>
      <c r="F199" s="205">
        <f t="shared" ref="F199:F262" si="30">E199/$E$306</f>
        <v>2.0158157172228721</v>
      </c>
      <c r="G199" s="507">
        <f t="shared" ref="G199:G262" si="31">IF(E199-$G$3&lt;0,0,E199-$G$3)</f>
        <v>48.690924456079074</v>
      </c>
      <c r="H199" s="507">
        <f t="shared" ref="H199:H262" si="32">IF(E199-$H$3&lt;0,0,E199-$H$3)</f>
        <v>39.104357989241038</v>
      </c>
      <c r="I199" s="507">
        <f t="shared" ref="I199:I262" si="33">IF(E199-$I$3&lt;0,0,E199-$I$3)</f>
        <v>24.724508288983984</v>
      </c>
      <c r="J199" s="507">
        <f t="shared" ref="J199:J262" si="34">IF(E199-$J$3&lt;0,0,E199-$J$3)</f>
        <v>0.75809212188889319</v>
      </c>
      <c r="K199" s="507">
        <f t="shared" ref="K199:K262" si="35">IF(E199-$K$3&lt;0,0,E199-$K$3)</f>
        <v>0</v>
      </c>
      <c r="L199" s="509">
        <f t="shared" ref="L199:L262" si="36">(G199-H199)*$G$4+(H199-I199)*$H$4+(I199-J199)*$I$4+(J199-K199)*$J$4+(K199*$K$4)</f>
        <v>16.196880731227207</v>
      </c>
      <c r="M199" s="329">
        <f>L199*D199*VPI!Q199</f>
        <v>548620.74412812793</v>
      </c>
    </row>
    <row r="200" spans="1:13" x14ac:dyDescent="0.25">
      <c r="A200" s="172">
        <f>Données!A200</f>
        <v>5729</v>
      </c>
      <c r="B200" s="27" t="str">
        <f>Données!B200</f>
        <v>Tannay</v>
      </c>
      <c r="C200" s="384">
        <f>VPI!R200</f>
        <v>161668.92523415975</v>
      </c>
      <c r="D200" s="27">
        <f>Données!Z200</f>
        <v>1644</v>
      </c>
      <c r="E200" s="117">
        <f t="shared" si="29"/>
        <v>98.338762307883059</v>
      </c>
      <c r="F200" s="205">
        <f t="shared" si="30"/>
        <v>2.051595065825865</v>
      </c>
      <c r="G200" s="507">
        <f t="shared" si="31"/>
        <v>50.405929973692878</v>
      </c>
      <c r="H200" s="507">
        <f t="shared" si="32"/>
        <v>40.819363506854842</v>
      </c>
      <c r="I200" s="507">
        <f t="shared" si="33"/>
        <v>26.439513806597787</v>
      </c>
      <c r="J200" s="507">
        <f t="shared" si="34"/>
        <v>2.4730976395026971</v>
      </c>
      <c r="K200" s="507">
        <f t="shared" si="35"/>
        <v>0</v>
      </c>
      <c r="L200" s="509">
        <f t="shared" si="36"/>
        <v>17.054383490034109</v>
      </c>
      <c r="M200" s="329">
        <f>L200*D200*VPI!Q200</f>
        <v>1696263.0906857725</v>
      </c>
    </row>
    <row r="201" spans="1:13" x14ac:dyDescent="0.25">
      <c r="A201" s="172">
        <f>Données!A201</f>
        <v>5730</v>
      </c>
      <c r="B201" s="27" t="str">
        <f>Données!B201</f>
        <v>Trélex</v>
      </c>
      <c r="C201" s="384">
        <f>VPI!R201</f>
        <v>125084.29905905908</v>
      </c>
      <c r="D201" s="27">
        <f>Données!Z201</f>
        <v>1439</v>
      </c>
      <c r="E201" s="117">
        <f t="shared" si="29"/>
        <v>86.924460777664407</v>
      </c>
      <c r="F201" s="205">
        <f t="shared" si="30"/>
        <v>1.8134638940512127</v>
      </c>
      <c r="G201" s="507">
        <f t="shared" si="31"/>
        <v>38.991628443474227</v>
      </c>
      <c r="H201" s="507">
        <f t="shared" si="32"/>
        <v>29.40506197663619</v>
      </c>
      <c r="I201" s="507">
        <f t="shared" si="33"/>
        <v>15.025212276379136</v>
      </c>
      <c r="J201" s="507">
        <f t="shared" si="34"/>
        <v>0</v>
      </c>
      <c r="K201" s="507">
        <f t="shared" si="35"/>
        <v>0</v>
      </c>
      <c r="L201" s="509">
        <f t="shared" si="36"/>
        <v>12.241353113996379</v>
      </c>
      <c r="M201" s="329">
        <f>L201*D201*VPI!Q201</f>
        <v>977649.5457727639</v>
      </c>
    </row>
    <row r="202" spans="1:13" x14ac:dyDescent="0.25">
      <c r="A202" s="172">
        <f>Données!A202</f>
        <v>5731</v>
      </c>
      <c r="B202" s="27" t="str">
        <f>Données!B202</f>
        <v>Le Vaud</v>
      </c>
      <c r="C202" s="384">
        <f>VPI!R202</f>
        <v>69594.777477477473</v>
      </c>
      <c r="D202" s="27">
        <f>Données!Z202</f>
        <v>1387</v>
      </c>
      <c r="E202" s="117">
        <f t="shared" si="29"/>
        <v>50.176479796306758</v>
      </c>
      <c r="F202" s="205">
        <f t="shared" si="30"/>
        <v>1.0468081553469186</v>
      </c>
      <c r="G202" s="507">
        <f t="shared" si="31"/>
        <v>2.2436474621165772</v>
      </c>
      <c r="H202" s="507">
        <f t="shared" si="32"/>
        <v>0</v>
      </c>
      <c r="I202" s="507">
        <f t="shared" si="33"/>
        <v>0</v>
      </c>
      <c r="J202" s="507">
        <f t="shared" si="34"/>
        <v>0</v>
      </c>
      <c r="K202" s="507">
        <f t="shared" si="35"/>
        <v>0</v>
      </c>
      <c r="L202" s="509">
        <f t="shared" si="36"/>
        <v>0.44872949242331545</v>
      </c>
      <c r="M202" s="329">
        <f>L202*D202*VPI!Q202</f>
        <v>46056.697643344247</v>
      </c>
    </row>
    <row r="203" spans="1:13" x14ac:dyDescent="0.25">
      <c r="A203" s="172">
        <f>Données!A203</f>
        <v>5732</v>
      </c>
      <c r="B203" s="27" t="str">
        <f>Données!B203</f>
        <v>Vich</v>
      </c>
      <c r="C203" s="384">
        <f>VPI!R203</f>
        <v>86531.798253968242</v>
      </c>
      <c r="D203" s="27">
        <f>Données!Z203</f>
        <v>1157</v>
      </c>
      <c r="E203" s="117">
        <f t="shared" si="29"/>
        <v>74.789799700923282</v>
      </c>
      <c r="F203" s="205">
        <f t="shared" si="30"/>
        <v>1.5603042019191551</v>
      </c>
      <c r="G203" s="507">
        <f t="shared" si="31"/>
        <v>26.856967366733102</v>
      </c>
      <c r="H203" s="507">
        <f t="shared" si="32"/>
        <v>17.270400899895066</v>
      </c>
      <c r="I203" s="507">
        <f t="shared" si="33"/>
        <v>2.8905511996380113</v>
      </c>
      <c r="J203" s="507">
        <f t="shared" si="34"/>
        <v>0</v>
      </c>
      <c r="K203" s="507">
        <f t="shared" si="35"/>
        <v>0</v>
      </c>
      <c r="L203" s="509">
        <f t="shared" si="36"/>
        <v>7.387488683299928</v>
      </c>
      <c r="M203" s="329">
        <f>L203*D203*VPI!Q203</f>
        <v>538481.43761441507</v>
      </c>
    </row>
    <row r="204" spans="1:13" x14ac:dyDescent="0.25">
      <c r="A204" s="172">
        <f>Données!A204</f>
        <v>5741</v>
      </c>
      <c r="B204" s="27" t="str">
        <f>Données!B204</f>
        <v>L'Abergement</v>
      </c>
      <c r="C204" s="384">
        <f>VPI!R204</f>
        <v>8987.1447119341574</v>
      </c>
      <c r="D204" s="27">
        <f>Données!Z204</f>
        <v>254</v>
      </c>
      <c r="E204" s="117">
        <f t="shared" si="29"/>
        <v>35.382459495803772</v>
      </c>
      <c r="F204" s="205">
        <f t="shared" si="30"/>
        <v>0.73816751009236092</v>
      </c>
      <c r="G204" s="507">
        <f t="shared" si="31"/>
        <v>0</v>
      </c>
      <c r="H204" s="507">
        <f t="shared" si="32"/>
        <v>0</v>
      </c>
      <c r="I204" s="507">
        <f t="shared" si="33"/>
        <v>0</v>
      </c>
      <c r="J204" s="507">
        <f t="shared" si="34"/>
        <v>0</v>
      </c>
      <c r="K204" s="507">
        <f t="shared" si="35"/>
        <v>0</v>
      </c>
      <c r="L204" s="509">
        <f t="shared" si="36"/>
        <v>0</v>
      </c>
      <c r="M204" s="329">
        <f>L204*D204*VPI!Q204</f>
        <v>0</v>
      </c>
    </row>
    <row r="205" spans="1:13" x14ac:dyDescent="0.25">
      <c r="A205" s="172">
        <f>Données!A205</f>
        <v>5742</v>
      </c>
      <c r="B205" s="27" t="str">
        <f>Données!B205</f>
        <v>Agiez</v>
      </c>
      <c r="C205" s="384">
        <f>VPI!R205</f>
        <v>10159.753552631579</v>
      </c>
      <c r="D205" s="27">
        <f>Données!Z205</f>
        <v>375</v>
      </c>
      <c r="E205" s="117">
        <f t="shared" si="29"/>
        <v>27.092676140350875</v>
      </c>
      <c r="F205" s="205">
        <f t="shared" si="30"/>
        <v>0.56522168252982297</v>
      </c>
      <c r="G205" s="507">
        <f t="shared" si="31"/>
        <v>0</v>
      </c>
      <c r="H205" s="507">
        <f t="shared" si="32"/>
        <v>0</v>
      </c>
      <c r="I205" s="507">
        <f t="shared" si="33"/>
        <v>0</v>
      </c>
      <c r="J205" s="507">
        <f t="shared" si="34"/>
        <v>0</v>
      </c>
      <c r="K205" s="507">
        <f t="shared" si="35"/>
        <v>0</v>
      </c>
      <c r="L205" s="509">
        <f t="shared" si="36"/>
        <v>0</v>
      </c>
      <c r="M205" s="329">
        <f>L205*D205*VPI!Q205</f>
        <v>0</v>
      </c>
    </row>
    <row r="206" spans="1:13" x14ac:dyDescent="0.25">
      <c r="A206" s="172">
        <f>Données!A206</f>
        <v>5743</v>
      </c>
      <c r="B206" s="27" t="str">
        <f>Données!B206</f>
        <v>Arnex-sur-Orbe</v>
      </c>
      <c r="C206" s="384">
        <f>VPI!R206</f>
        <v>18533.004577464792</v>
      </c>
      <c r="D206" s="27">
        <f>Données!Z206</f>
        <v>665</v>
      </c>
      <c r="E206" s="117">
        <f t="shared" si="29"/>
        <v>27.86917981573653</v>
      </c>
      <c r="F206" s="205">
        <f t="shared" si="30"/>
        <v>0.58142151128126895</v>
      </c>
      <c r="G206" s="507">
        <f t="shared" si="31"/>
        <v>0</v>
      </c>
      <c r="H206" s="507">
        <f t="shared" si="32"/>
        <v>0</v>
      </c>
      <c r="I206" s="507">
        <f t="shared" si="33"/>
        <v>0</v>
      </c>
      <c r="J206" s="507">
        <f t="shared" si="34"/>
        <v>0</v>
      </c>
      <c r="K206" s="507">
        <f t="shared" si="35"/>
        <v>0</v>
      </c>
      <c r="L206" s="509">
        <f t="shared" si="36"/>
        <v>0</v>
      </c>
      <c r="M206" s="329">
        <f>L206*D206*VPI!Q206</f>
        <v>0</v>
      </c>
    </row>
    <row r="207" spans="1:13" x14ac:dyDescent="0.25">
      <c r="A207" s="172">
        <f>Données!A207</f>
        <v>5744</v>
      </c>
      <c r="B207" s="27" t="str">
        <f>Données!B207</f>
        <v>Ballaigues</v>
      </c>
      <c r="C207" s="384">
        <f>VPI!R207</f>
        <v>49180.794769230772</v>
      </c>
      <c r="D207" s="27">
        <f>Données!Z207</f>
        <v>1173</v>
      </c>
      <c r="E207" s="117">
        <f t="shared" si="29"/>
        <v>41.927361269591451</v>
      </c>
      <c r="F207" s="205">
        <f t="shared" si="30"/>
        <v>0.87471069886443853</v>
      </c>
      <c r="G207" s="507">
        <f t="shared" si="31"/>
        <v>0</v>
      </c>
      <c r="H207" s="507">
        <f t="shared" si="32"/>
        <v>0</v>
      </c>
      <c r="I207" s="507">
        <f t="shared" si="33"/>
        <v>0</v>
      </c>
      <c r="J207" s="507">
        <f t="shared" si="34"/>
        <v>0</v>
      </c>
      <c r="K207" s="507">
        <f t="shared" si="35"/>
        <v>0</v>
      </c>
      <c r="L207" s="509">
        <f t="shared" si="36"/>
        <v>0</v>
      </c>
      <c r="M207" s="329">
        <f>L207*D207*VPI!Q207</f>
        <v>0</v>
      </c>
    </row>
    <row r="208" spans="1:13" x14ac:dyDescent="0.25">
      <c r="A208" s="172">
        <f>Données!A208</f>
        <v>5745</v>
      </c>
      <c r="B208" s="27" t="str">
        <f>Données!B208</f>
        <v>Baulmes</v>
      </c>
      <c r="C208" s="384">
        <f>VPI!R208</f>
        <v>28469.206405228757</v>
      </c>
      <c r="D208" s="27">
        <f>Données!Z208</f>
        <v>1126</v>
      </c>
      <c r="E208" s="117">
        <f t="shared" si="29"/>
        <v>25.283487038391435</v>
      </c>
      <c r="F208" s="205">
        <f t="shared" si="30"/>
        <v>0.52747742637267203</v>
      </c>
      <c r="G208" s="507">
        <f t="shared" si="31"/>
        <v>0</v>
      </c>
      <c r="H208" s="507">
        <f t="shared" si="32"/>
        <v>0</v>
      </c>
      <c r="I208" s="507">
        <f t="shared" si="33"/>
        <v>0</v>
      </c>
      <c r="J208" s="507">
        <f t="shared" si="34"/>
        <v>0</v>
      </c>
      <c r="K208" s="507">
        <f t="shared" si="35"/>
        <v>0</v>
      </c>
      <c r="L208" s="509">
        <f t="shared" si="36"/>
        <v>0</v>
      </c>
      <c r="M208" s="329">
        <f>L208*D208*VPI!Q208</f>
        <v>0</v>
      </c>
    </row>
    <row r="209" spans="1:13" x14ac:dyDescent="0.25">
      <c r="A209" s="172">
        <f>Données!A209</f>
        <v>5746</v>
      </c>
      <c r="B209" s="27" t="str">
        <f>Données!B209</f>
        <v>Bavois</v>
      </c>
      <c r="C209" s="384">
        <f>VPI!R209</f>
        <v>27466.739977168949</v>
      </c>
      <c r="D209" s="27">
        <f>Données!Z209</f>
        <v>978</v>
      </c>
      <c r="E209" s="117">
        <f t="shared" si="29"/>
        <v>28.084601203649232</v>
      </c>
      <c r="F209" s="205">
        <f t="shared" si="30"/>
        <v>0.58591574576361238</v>
      </c>
      <c r="G209" s="507">
        <f t="shared" si="31"/>
        <v>0</v>
      </c>
      <c r="H209" s="507">
        <f t="shared" si="32"/>
        <v>0</v>
      </c>
      <c r="I209" s="507">
        <f t="shared" si="33"/>
        <v>0</v>
      </c>
      <c r="J209" s="507">
        <f t="shared" si="34"/>
        <v>0</v>
      </c>
      <c r="K209" s="507">
        <f t="shared" si="35"/>
        <v>0</v>
      </c>
      <c r="L209" s="509">
        <f t="shared" si="36"/>
        <v>0</v>
      </c>
      <c r="M209" s="329">
        <f>L209*D209*VPI!Q209</f>
        <v>0</v>
      </c>
    </row>
    <row r="210" spans="1:13" x14ac:dyDescent="0.25">
      <c r="A210" s="172">
        <f>Données!A210</f>
        <v>5747</v>
      </c>
      <c r="B210" s="27" t="str">
        <f>Données!B210</f>
        <v>Bofflens</v>
      </c>
      <c r="C210" s="384">
        <f>VPI!R210</f>
        <v>5807.8631884057959</v>
      </c>
      <c r="D210" s="27">
        <f>Données!Z210</f>
        <v>206</v>
      </c>
      <c r="E210" s="117">
        <f t="shared" si="29"/>
        <v>28.193510623329107</v>
      </c>
      <c r="F210" s="205">
        <f t="shared" si="30"/>
        <v>0.58818787145233764</v>
      </c>
      <c r="G210" s="507">
        <f t="shared" si="31"/>
        <v>0</v>
      </c>
      <c r="H210" s="507">
        <f t="shared" si="32"/>
        <v>0</v>
      </c>
      <c r="I210" s="507">
        <f t="shared" si="33"/>
        <v>0</v>
      </c>
      <c r="J210" s="507">
        <f t="shared" si="34"/>
        <v>0</v>
      </c>
      <c r="K210" s="507">
        <f t="shared" si="35"/>
        <v>0</v>
      </c>
      <c r="L210" s="509">
        <f t="shared" si="36"/>
        <v>0</v>
      </c>
      <c r="M210" s="329">
        <f>L210*D210*VPI!Q210</f>
        <v>0</v>
      </c>
    </row>
    <row r="211" spans="1:13" x14ac:dyDescent="0.25">
      <c r="A211" s="172">
        <f>Données!A211</f>
        <v>5748</v>
      </c>
      <c r="B211" s="27" t="str">
        <f>Données!B211</f>
        <v>Bretonnières</v>
      </c>
      <c r="C211" s="384">
        <f>VPI!R211</f>
        <v>6643.1211820330973</v>
      </c>
      <c r="D211" s="27">
        <f>Données!Z211</f>
        <v>266</v>
      </c>
      <c r="E211" s="117">
        <f t="shared" si="29"/>
        <v>24.974139782079313</v>
      </c>
      <c r="F211" s="205">
        <f t="shared" si="30"/>
        <v>0.52102366094200991</v>
      </c>
      <c r="G211" s="507">
        <f t="shared" si="31"/>
        <v>0</v>
      </c>
      <c r="H211" s="507">
        <f t="shared" si="32"/>
        <v>0</v>
      </c>
      <c r="I211" s="507">
        <f t="shared" si="33"/>
        <v>0</v>
      </c>
      <c r="J211" s="507">
        <f t="shared" si="34"/>
        <v>0</v>
      </c>
      <c r="K211" s="507">
        <f t="shared" si="35"/>
        <v>0</v>
      </c>
      <c r="L211" s="509">
        <f t="shared" si="36"/>
        <v>0</v>
      </c>
      <c r="M211" s="329">
        <f>L211*D211*VPI!Q211</f>
        <v>0</v>
      </c>
    </row>
    <row r="212" spans="1:13" x14ac:dyDescent="0.25">
      <c r="A212" s="172">
        <f>Données!A212</f>
        <v>5749</v>
      </c>
      <c r="B212" s="27" t="str">
        <f>Données!B212</f>
        <v>Chavornay</v>
      </c>
      <c r="C212" s="384">
        <f>VPI!R212</f>
        <v>153319.43815602834</v>
      </c>
      <c r="D212" s="27">
        <f>Données!Z212</f>
        <v>5366</v>
      </c>
      <c r="E212" s="117">
        <f t="shared" si="29"/>
        <v>28.572388773020563</v>
      </c>
      <c r="F212" s="205">
        <f t="shared" si="30"/>
        <v>0.59609222701075526</v>
      </c>
      <c r="G212" s="507">
        <f t="shared" si="31"/>
        <v>0</v>
      </c>
      <c r="H212" s="507">
        <f t="shared" si="32"/>
        <v>0</v>
      </c>
      <c r="I212" s="507">
        <f t="shared" si="33"/>
        <v>0</v>
      </c>
      <c r="J212" s="507">
        <f t="shared" si="34"/>
        <v>0</v>
      </c>
      <c r="K212" s="507">
        <f t="shared" si="35"/>
        <v>0</v>
      </c>
      <c r="L212" s="509">
        <f t="shared" si="36"/>
        <v>0</v>
      </c>
      <c r="M212" s="329">
        <f>L212*D212*VPI!Q212</f>
        <v>0</v>
      </c>
    </row>
    <row r="213" spans="1:13" x14ac:dyDescent="0.25">
      <c r="A213" s="172">
        <f>Données!A213</f>
        <v>5750</v>
      </c>
      <c r="B213" s="27" t="str">
        <f>Données!B213</f>
        <v>Les Clées</v>
      </c>
      <c r="C213" s="384">
        <f>VPI!R213</f>
        <v>4819.7572916666668</v>
      </c>
      <c r="D213" s="27">
        <f>Données!Z213</f>
        <v>182</v>
      </c>
      <c r="E213" s="117">
        <f t="shared" si="29"/>
        <v>26.482182921245421</v>
      </c>
      <c r="F213" s="205">
        <f t="shared" si="30"/>
        <v>0.55248525137447069</v>
      </c>
      <c r="G213" s="507">
        <f t="shared" si="31"/>
        <v>0</v>
      </c>
      <c r="H213" s="507">
        <f t="shared" si="32"/>
        <v>0</v>
      </c>
      <c r="I213" s="507">
        <f t="shared" si="33"/>
        <v>0</v>
      </c>
      <c r="J213" s="507">
        <f t="shared" si="34"/>
        <v>0</v>
      </c>
      <c r="K213" s="507">
        <f t="shared" si="35"/>
        <v>0</v>
      </c>
      <c r="L213" s="509">
        <f t="shared" si="36"/>
        <v>0</v>
      </c>
      <c r="M213" s="329">
        <f>L213*D213*VPI!Q213</f>
        <v>0</v>
      </c>
    </row>
    <row r="214" spans="1:13" x14ac:dyDescent="0.25">
      <c r="A214" s="172">
        <f>Données!A214</f>
        <v>5752</v>
      </c>
      <c r="B214" s="27" t="str">
        <f>Données!B214</f>
        <v>Croy</v>
      </c>
      <c r="C214" s="384">
        <f>VPI!R214</f>
        <v>9670.8161776061788</v>
      </c>
      <c r="D214" s="27">
        <f>Données!Z214</f>
        <v>390</v>
      </c>
      <c r="E214" s="117">
        <f t="shared" si="29"/>
        <v>24.796964557964561</v>
      </c>
      <c r="F214" s="205">
        <f t="shared" si="30"/>
        <v>0.51732733807755915</v>
      </c>
      <c r="G214" s="507">
        <f t="shared" si="31"/>
        <v>0</v>
      </c>
      <c r="H214" s="507">
        <f t="shared" si="32"/>
        <v>0</v>
      </c>
      <c r="I214" s="507">
        <f t="shared" si="33"/>
        <v>0</v>
      </c>
      <c r="J214" s="507">
        <f t="shared" si="34"/>
        <v>0</v>
      </c>
      <c r="K214" s="507">
        <f t="shared" si="35"/>
        <v>0</v>
      </c>
      <c r="L214" s="509">
        <f t="shared" si="36"/>
        <v>0</v>
      </c>
      <c r="M214" s="329">
        <f>L214*D214*VPI!Q214</f>
        <v>0</v>
      </c>
    </row>
    <row r="215" spans="1:13" x14ac:dyDescent="0.25">
      <c r="A215" s="172">
        <f>Données!A215</f>
        <v>5754</v>
      </c>
      <c r="B215" s="27" t="str">
        <f>Données!B215</f>
        <v>Juriens</v>
      </c>
      <c r="C215" s="384">
        <f>VPI!R215</f>
        <v>9073.5155696202528</v>
      </c>
      <c r="D215" s="27">
        <f>Données!Z215</f>
        <v>348</v>
      </c>
      <c r="E215" s="117">
        <f t="shared" si="29"/>
        <v>26.073320602357047</v>
      </c>
      <c r="F215" s="205">
        <f t="shared" si="30"/>
        <v>0.54395535028208875</v>
      </c>
      <c r="G215" s="507">
        <f t="shared" si="31"/>
        <v>0</v>
      </c>
      <c r="H215" s="507">
        <f t="shared" si="32"/>
        <v>0</v>
      </c>
      <c r="I215" s="507">
        <f t="shared" si="33"/>
        <v>0</v>
      </c>
      <c r="J215" s="507">
        <f t="shared" si="34"/>
        <v>0</v>
      </c>
      <c r="K215" s="507">
        <f t="shared" si="35"/>
        <v>0</v>
      </c>
      <c r="L215" s="509">
        <f t="shared" si="36"/>
        <v>0</v>
      </c>
      <c r="M215" s="329">
        <f>L215*D215*VPI!Q215</f>
        <v>0</v>
      </c>
    </row>
    <row r="216" spans="1:13" x14ac:dyDescent="0.25">
      <c r="A216" s="172">
        <f>Données!A216</f>
        <v>5755</v>
      </c>
      <c r="B216" s="27" t="str">
        <f>Données!B216</f>
        <v>Lignerolle</v>
      </c>
      <c r="C216" s="384">
        <f>VPI!R216</f>
        <v>10745.60797088262</v>
      </c>
      <c r="D216" s="27">
        <f>Données!Z216</f>
        <v>409</v>
      </c>
      <c r="E216" s="117">
        <f t="shared" si="29"/>
        <v>26.272880124407383</v>
      </c>
      <c r="F216" s="205">
        <f t="shared" si="30"/>
        <v>0.54811866616250648</v>
      </c>
      <c r="G216" s="507">
        <f t="shared" si="31"/>
        <v>0</v>
      </c>
      <c r="H216" s="507">
        <f t="shared" si="32"/>
        <v>0</v>
      </c>
      <c r="I216" s="507">
        <f t="shared" si="33"/>
        <v>0</v>
      </c>
      <c r="J216" s="507">
        <f t="shared" si="34"/>
        <v>0</v>
      </c>
      <c r="K216" s="507">
        <f t="shared" si="35"/>
        <v>0</v>
      </c>
      <c r="L216" s="509">
        <f t="shared" si="36"/>
        <v>0</v>
      </c>
      <c r="M216" s="329">
        <f>L216*D216*VPI!Q216</f>
        <v>0</v>
      </c>
    </row>
    <row r="217" spans="1:13" x14ac:dyDescent="0.25">
      <c r="A217" s="172">
        <f>Données!A217</f>
        <v>5756</v>
      </c>
      <c r="B217" s="27" t="str">
        <f>Données!B217</f>
        <v>Montcherand</v>
      </c>
      <c r="C217" s="384">
        <f>VPI!R217</f>
        <v>17738.051111111108</v>
      </c>
      <c r="D217" s="27">
        <f>Données!Z217</f>
        <v>502</v>
      </c>
      <c r="E217" s="117">
        <f t="shared" si="29"/>
        <v>35.33476316954404</v>
      </c>
      <c r="F217" s="205">
        <f t="shared" si="30"/>
        <v>0.73717244420668171</v>
      </c>
      <c r="G217" s="507">
        <f t="shared" si="31"/>
        <v>0</v>
      </c>
      <c r="H217" s="507">
        <f t="shared" si="32"/>
        <v>0</v>
      </c>
      <c r="I217" s="507">
        <f t="shared" si="33"/>
        <v>0</v>
      </c>
      <c r="J217" s="507">
        <f t="shared" si="34"/>
        <v>0</v>
      </c>
      <c r="K217" s="507">
        <f t="shared" si="35"/>
        <v>0</v>
      </c>
      <c r="L217" s="509">
        <f t="shared" si="36"/>
        <v>0</v>
      </c>
      <c r="M217" s="329">
        <f>L217*D217*VPI!Q217</f>
        <v>0</v>
      </c>
    </row>
    <row r="218" spans="1:13" x14ac:dyDescent="0.25">
      <c r="A218" s="172">
        <f>Données!A218</f>
        <v>5757</v>
      </c>
      <c r="B218" s="27" t="str">
        <f>Données!B218</f>
        <v>Orbe</v>
      </c>
      <c r="C218" s="384">
        <f>VPI!R218</f>
        <v>216123.53284768213</v>
      </c>
      <c r="D218" s="27">
        <f>Données!Z218</f>
        <v>7570</v>
      </c>
      <c r="E218" s="117">
        <f t="shared" si="29"/>
        <v>28.550004339191826</v>
      </c>
      <c r="F218" s="205">
        <f t="shared" si="30"/>
        <v>0.59562523115971366</v>
      </c>
      <c r="G218" s="507">
        <f t="shared" si="31"/>
        <v>0</v>
      </c>
      <c r="H218" s="507">
        <f t="shared" si="32"/>
        <v>0</v>
      </c>
      <c r="I218" s="507">
        <f t="shared" si="33"/>
        <v>0</v>
      </c>
      <c r="J218" s="507">
        <f t="shared" si="34"/>
        <v>0</v>
      </c>
      <c r="K218" s="507">
        <f t="shared" si="35"/>
        <v>0</v>
      </c>
      <c r="L218" s="509">
        <f t="shared" si="36"/>
        <v>0</v>
      </c>
      <c r="M218" s="329">
        <f>L218*D218*VPI!Q218</f>
        <v>0</v>
      </c>
    </row>
    <row r="219" spans="1:13" x14ac:dyDescent="0.25">
      <c r="A219" s="172">
        <f>Données!A219</f>
        <v>5758</v>
      </c>
      <c r="B219" s="27" t="str">
        <f>Données!B219</f>
        <v>La Praz</v>
      </c>
      <c r="C219" s="384">
        <f>VPI!R219</f>
        <v>4771.6656626506028</v>
      </c>
      <c r="D219" s="27">
        <f>Données!Z219</f>
        <v>182</v>
      </c>
      <c r="E219" s="117">
        <f t="shared" si="29"/>
        <v>26.21794320137694</v>
      </c>
      <c r="F219" s="205">
        <f t="shared" si="30"/>
        <v>0.5469725431325253</v>
      </c>
      <c r="G219" s="507">
        <f t="shared" si="31"/>
        <v>0</v>
      </c>
      <c r="H219" s="507">
        <f t="shared" si="32"/>
        <v>0</v>
      </c>
      <c r="I219" s="507">
        <f t="shared" si="33"/>
        <v>0</v>
      </c>
      <c r="J219" s="507">
        <f t="shared" si="34"/>
        <v>0</v>
      </c>
      <c r="K219" s="507">
        <f t="shared" si="35"/>
        <v>0</v>
      </c>
      <c r="L219" s="509">
        <f t="shared" si="36"/>
        <v>0</v>
      </c>
      <c r="M219" s="329">
        <f>L219*D219*VPI!Q219</f>
        <v>0</v>
      </c>
    </row>
    <row r="220" spans="1:13" x14ac:dyDescent="0.25">
      <c r="A220" s="172">
        <f>Données!A220</f>
        <v>5759</v>
      </c>
      <c r="B220" s="27" t="str">
        <f>Données!B220</f>
        <v>Premier</v>
      </c>
      <c r="C220" s="384">
        <f>VPI!R220</f>
        <v>5899.9776100628924</v>
      </c>
      <c r="D220" s="27">
        <f>Données!Z220</f>
        <v>232</v>
      </c>
      <c r="E220" s="117">
        <f t="shared" si="29"/>
        <v>25.430937974409019</v>
      </c>
      <c r="F220" s="205">
        <f t="shared" si="30"/>
        <v>0.53055362547957119</v>
      </c>
      <c r="G220" s="507">
        <f t="shared" si="31"/>
        <v>0</v>
      </c>
      <c r="H220" s="507">
        <f t="shared" si="32"/>
        <v>0</v>
      </c>
      <c r="I220" s="507">
        <f t="shared" si="33"/>
        <v>0</v>
      </c>
      <c r="J220" s="507">
        <f t="shared" si="34"/>
        <v>0</v>
      </c>
      <c r="K220" s="507">
        <f t="shared" si="35"/>
        <v>0</v>
      </c>
      <c r="L220" s="509">
        <f t="shared" si="36"/>
        <v>0</v>
      </c>
      <c r="M220" s="329">
        <f>L220*D220*VPI!Q220</f>
        <v>0</v>
      </c>
    </row>
    <row r="221" spans="1:13" x14ac:dyDescent="0.25">
      <c r="A221" s="172">
        <f>Données!A221</f>
        <v>5760</v>
      </c>
      <c r="B221" s="27" t="str">
        <f>Données!B221</f>
        <v>Rances</v>
      </c>
      <c r="C221" s="384">
        <f>VPI!R221</f>
        <v>14480.898997821349</v>
      </c>
      <c r="D221" s="27">
        <f>Données!Z221</f>
        <v>512</v>
      </c>
      <c r="E221" s="117">
        <f t="shared" si="29"/>
        <v>28.283005855119821</v>
      </c>
      <c r="F221" s="205">
        <f t="shared" si="30"/>
        <v>0.59005496812558966</v>
      </c>
      <c r="G221" s="507">
        <f t="shared" si="31"/>
        <v>0</v>
      </c>
      <c r="H221" s="507">
        <f t="shared" si="32"/>
        <v>0</v>
      </c>
      <c r="I221" s="507">
        <f t="shared" si="33"/>
        <v>0</v>
      </c>
      <c r="J221" s="507">
        <f t="shared" si="34"/>
        <v>0</v>
      </c>
      <c r="K221" s="507">
        <f t="shared" si="35"/>
        <v>0</v>
      </c>
      <c r="L221" s="509">
        <f t="shared" si="36"/>
        <v>0</v>
      </c>
      <c r="M221" s="329">
        <f>L221*D221*VPI!Q221</f>
        <v>0</v>
      </c>
    </row>
    <row r="222" spans="1:13" x14ac:dyDescent="0.25">
      <c r="A222" s="172">
        <f>Données!A222</f>
        <v>5761</v>
      </c>
      <c r="B222" s="27" t="str">
        <f>Données!B222</f>
        <v>Romainmôtier-Envy</v>
      </c>
      <c r="C222" s="384">
        <f>VPI!R222</f>
        <v>12913.442693602694</v>
      </c>
      <c r="D222" s="27">
        <f>Données!Z222</f>
        <v>551</v>
      </c>
      <c r="E222" s="117">
        <f t="shared" si="29"/>
        <v>23.436375124505798</v>
      </c>
      <c r="F222" s="205">
        <f t="shared" si="30"/>
        <v>0.48894200453472436</v>
      </c>
      <c r="G222" s="507">
        <f t="shared" si="31"/>
        <v>0</v>
      </c>
      <c r="H222" s="507">
        <f t="shared" si="32"/>
        <v>0</v>
      </c>
      <c r="I222" s="507">
        <f t="shared" si="33"/>
        <v>0</v>
      </c>
      <c r="J222" s="507">
        <f t="shared" si="34"/>
        <v>0</v>
      </c>
      <c r="K222" s="507">
        <f t="shared" si="35"/>
        <v>0</v>
      </c>
      <c r="L222" s="509">
        <f t="shared" si="36"/>
        <v>0</v>
      </c>
      <c r="M222" s="329">
        <f>L222*D222*VPI!Q222</f>
        <v>0</v>
      </c>
    </row>
    <row r="223" spans="1:13" x14ac:dyDescent="0.25">
      <c r="A223" s="172">
        <f>Données!A223</f>
        <v>5762</v>
      </c>
      <c r="B223" s="27" t="str">
        <f>Données!B223</f>
        <v>Sergey</v>
      </c>
      <c r="C223" s="384">
        <f>VPI!R223</f>
        <v>3849.5166666666673</v>
      </c>
      <c r="D223" s="27">
        <f>Données!Z223</f>
        <v>141</v>
      </c>
      <c r="E223" s="117">
        <f t="shared" si="29"/>
        <v>27.301536643026008</v>
      </c>
      <c r="F223" s="205">
        <f t="shared" si="30"/>
        <v>0.56957904036795248</v>
      </c>
      <c r="G223" s="507">
        <f t="shared" si="31"/>
        <v>0</v>
      </c>
      <c r="H223" s="507">
        <f t="shared" si="32"/>
        <v>0</v>
      </c>
      <c r="I223" s="507">
        <f t="shared" si="33"/>
        <v>0</v>
      </c>
      <c r="J223" s="507">
        <f t="shared" si="34"/>
        <v>0</v>
      </c>
      <c r="K223" s="507">
        <f t="shared" si="35"/>
        <v>0</v>
      </c>
      <c r="L223" s="509">
        <f t="shared" si="36"/>
        <v>0</v>
      </c>
      <c r="M223" s="329">
        <f>L223*D223*VPI!Q223</f>
        <v>0</v>
      </c>
    </row>
    <row r="224" spans="1:13" x14ac:dyDescent="0.25">
      <c r="A224" s="172">
        <f>Données!A224</f>
        <v>5763</v>
      </c>
      <c r="B224" s="27" t="str">
        <f>Données!B224</f>
        <v>Valeyres-sous-Rances</v>
      </c>
      <c r="C224" s="384">
        <f>VPI!R224</f>
        <v>22662.54088235294</v>
      </c>
      <c r="D224" s="27">
        <f>Données!Z224</f>
        <v>614</v>
      </c>
      <c r="E224" s="117">
        <f t="shared" si="29"/>
        <v>36.909675704157884</v>
      </c>
      <c r="F224" s="205">
        <f t="shared" si="30"/>
        <v>0.7700290991949259</v>
      </c>
      <c r="G224" s="507">
        <f t="shared" si="31"/>
        <v>0</v>
      </c>
      <c r="H224" s="507">
        <f t="shared" si="32"/>
        <v>0</v>
      </c>
      <c r="I224" s="507">
        <f t="shared" si="33"/>
        <v>0</v>
      </c>
      <c r="J224" s="507">
        <f t="shared" si="34"/>
        <v>0</v>
      </c>
      <c r="K224" s="507">
        <f t="shared" si="35"/>
        <v>0</v>
      </c>
      <c r="L224" s="509">
        <f t="shared" si="36"/>
        <v>0</v>
      </c>
      <c r="M224" s="329">
        <f>L224*D224*VPI!Q224</f>
        <v>0</v>
      </c>
    </row>
    <row r="225" spans="1:13" x14ac:dyDescent="0.25">
      <c r="A225" s="172">
        <f>Données!A225</f>
        <v>5764</v>
      </c>
      <c r="B225" s="27" t="str">
        <f>Données!B225</f>
        <v>Vallorbe</v>
      </c>
      <c r="C225" s="384">
        <f>VPI!R225</f>
        <v>83671.674265734255</v>
      </c>
      <c r="D225" s="27">
        <f>Données!Z225</f>
        <v>3924</v>
      </c>
      <c r="E225" s="117">
        <f t="shared" si="29"/>
        <v>21.323056642643795</v>
      </c>
      <c r="F225" s="205">
        <f t="shared" si="30"/>
        <v>0.44485284103343498</v>
      </c>
      <c r="G225" s="507">
        <f t="shared" si="31"/>
        <v>0</v>
      </c>
      <c r="H225" s="507">
        <f t="shared" si="32"/>
        <v>0</v>
      </c>
      <c r="I225" s="507">
        <f t="shared" si="33"/>
        <v>0</v>
      </c>
      <c r="J225" s="507">
        <f t="shared" si="34"/>
        <v>0</v>
      </c>
      <c r="K225" s="507">
        <f t="shared" si="35"/>
        <v>0</v>
      </c>
      <c r="L225" s="509">
        <f t="shared" si="36"/>
        <v>0</v>
      </c>
      <c r="M225" s="329">
        <f>L225*D225*VPI!Q225</f>
        <v>0</v>
      </c>
    </row>
    <row r="226" spans="1:13" x14ac:dyDescent="0.25">
      <c r="A226" s="172">
        <f>Données!A226</f>
        <v>5765</v>
      </c>
      <c r="B226" s="27" t="str">
        <f>Données!B226</f>
        <v>Vaulion</v>
      </c>
      <c r="C226" s="384">
        <f>VPI!R226</f>
        <v>10278.622098765432</v>
      </c>
      <c r="D226" s="27">
        <f>Données!Z226</f>
        <v>492</v>
      </c>
      <c r="E226" s="117">
        <f t="shared" si="29"/>
        <v>20.891508330824049</v>
      </c>
      <c r="F226" s="205">
        <f t="shared" si="30"/>
        <v>0.43584965280514565</v>
      </c>
      <c r="G226" s="507">
        <f t="shared" si="31"/>
        <v>0</v>
      </c>
      <c r="H226" s="507">
        <f t="shared" si="32"/>
        <v>0</v>
      </c>
      <c r="I226" s="507">
        <f t="shared" si="33"/>
        <v>0</v>
      </c>
      <c r="J226" s="507">
        <f t="shared" si="34"/>
        <v>0</v>
      </c>
      <c r="K226" s="507">
        <f t="shared" si="35"/>
        <v>0</v>
      </c>
      <c r="L226" s="509">
        <f t="shared" si="36"/>
        <v>0</v>
      </c>
      <c r="M226" s="329">
        <f>L226*D226*VPI!Q226</f>
        <v>0</v>
      </c>
    </row>
    <row r="227" spans="1:13" x14ac:dyDescent="0.25">
      <c r="A227" s="172">
        <f>Données!A227</f>
        <v>5766</v>
      </c>
      <c r="B227" s="27" t="str">
        <f>Données!B227</f>
        <v>Vuiteboeuf</v>
      </c>
      <c r="C227" s="384">
        <f>VPI!R227</f>
        <v>15553.757238095239</v>
      </c>
      <c r="D227" s="27">
        <f>Données!Z227</f>
        <v>591</v>
      </c>
      <c r="E227" s="117">
        <f t="shared" si="29"/>
        <v>26.317694142293128</v>
      </c>
      <c r="F227" s="205">
        <f t="shared" si="30"/>
        <v>0.54905359981243762</v>
      </c>
      <c r="G227" s="507">
        <f t="shared" si="31"/>
        <v>0</v>
      </c>
      <c r="H227" s="507">
        <f t="shared" si="32"/>
        <v>0</v>
      </c>
      <c r="I227" s="507">
        <f t="shared" si="33"/>
        <v>0</v>
      </c>
      <c r="J227" s="507">
        <f t="shared" si="34"/>
        <v>0</v>
      </c>
      <c r="K227" s="507">
        <f t="shared" si="35"/>
        <v>0</v>
      </c>
      <c r="L227" s="509">
        <f t="shared" si="36"/>
        <v>0</v>
      </c>
      <c r="M227" s="329">
        <f>L227*D227*VPI!Q227</f>
        <v>0</v>
      </c>
    </row>
    <row r="228" spans="1:13" x14ac:dyDescent="0.25">
      <c r="A228" s="172">
        <f>Données!A228</f>
        <v>5785</v>
      </c>
      <c r="B228" s="27" t="str">
        <f>Données!B228</f>
        <v>Corcelles-le-Jorat</v>
      </c>
      <c r="C228" s="384">
        <f>VPI!R228</f>
        <v>14579.038701298701</v>
      </c>
      <c r="D228" s="27">
        <f>Données!Z228</f>
        <v>489</v>
      </c>
      <c r="E228" s="117">
        <f t="shared" si="29"/>
        <v>29.813985074230473</v>
      </c>
      <c r="F228" s="205">
        <f t="shared" si="30"/>
        <v>0.62199506314097674</v>
      </c>
      <c r="G228" s="507">
        <f t="shared" si="31"/>
        <v>0</v>
      </c>
      <c r="H228" s="507">
        <f t="shared" si="32"/>
        <v>0</v>
      </c>
      <c r="I228" s="507">
        <f t="shared" si="33"/>
        <v>0</v>
      </c>
      <c r="J228" s="507">
        <f t="shared" si="34"/>
        <v>0</v>
      </c>
      <c r="K228" s="507">
        <f t="shared" si="35"/>
        <v>0</v>
      </c>
      <c r="L228" s="509">
        <f t="shared" si="36"/>
        <v>0</v>
      </c>
      <c r="M228" s="329">
        <f>L228*D228*VPI!Q228</f>
        <v>0</v>
      </c>
    </row>
    <row r="229" spans="1:13" x14ac:dyDescent="0.25">
      <c r="A229" s="172">
        <f>Données!A229</f>
        <v>5790</v>
      </c>
      <c r="B229" s="27" t="str">
        <f>Données!B229</f>
        <v>Maracon</v>
      </c>
      <c r="C229" s="384">
        <f>VPI!R229</f>
        <v>15171.684832214765</v>
      </c>
      <c r="D229" s="27">
        <f>Données!Z229</f>
        <v>547</v>
      </c>
      <c r="E229" s="117">
        <f t="shared" si="29"/>
        <v>27.73616971154436</v>
      </c>
      <c r="F229" s="205">
        <f t="shared" si="30"/>
        <v>0.57864658441559125</v>
      </c>
      <c r="G229" s="507">
        <f t="shared" si="31"/>
        <v>0</v>
      </c>
      <c r="H229" s="507">
        <f t="shared" si="32"/>
        <v>0</v>
      </c>
      <c r="I229" s="507">
        <f t="shared" si="33"/>
        <v>0</v>
      </c>
      <c r="J229" s="507">
        <f t="shared" si="34"/>
        <v>0</v>
      </c>
      <c r="K229" s="507">
        <f t="shared" si="35"/>
        <v>0</v>
      </c>
      <c r="L229" s="509">
        <f t="shared" si="36"/>
        <v>0</v>
      </c>
      <c r="M229" s="329">
        <f>L229*D229*VPI!Q229</f>
        <v>0</v>
      </c>
    </row>
    <row r="230" spans="1:13" x14ac:dyDescent="0.25">
      <c r="A230" s="172">
        <f>Données!A230</f>
        <v>5792</v>
      </c>
      <c r="B230" s="27" t="str">
        <f>Données!B230</f>
        <v>Montpreveyres</v>
      </c>
      <c r="C230" s="384">
        <f>VPI!R230</f>
        <v>20162.237880794706</v>
      </c>
      <c r="D230" s="27">
        <f>Données!Z230</f>
        <v>662</v>
      </c>
      <c r="E230" s="117">
        <f t="shared" si="29"/>
        <v>30.456552690022214</v>
      </c>
      <c r="F230" s="205">
        <f t="shared" si="30"/>
        <v>0.63540064725734458</v>
      </c>
      <c r="G230" s="507">
        <f t="shared" si="31"/>
        <v>0</v>
      </c>
      <c r="H230" s="507">
        <f t="shared" si="32"/>
        <v>0</v>
      </c>
      <c r="I230" s="507">
        <f t="shared" si="33"/>
        <v>0</v>
      </c>
      <c r="J230" s="507">
        <f t="shared" si="34"/>
        <v>0</v>
      </c>
      <c r="K230" s="507">
        <f t="shared" si="35"/>
        <v>0</v>
      </c>
      <c r="L230" s="509">
        <f t="shared" si="36"/>
        <v>0</v>
      </c>
      <c r="M230" s="329">
        <f>L230*D230*VPI!Q230</f>
        <v>0</v>
      </c>
    </row>
    <row r="231" spans="1:13" x14ac:dyDescent="0.25">
      <c r="A231" s="172">
        <f>Données!A231</f>
        <v>5798</v>
      </c>
      <c r="B231" s="27" t="str">
        <f>Données!B231</f>
        <v>Ropraz</v>
      </c>
      <c r="C231" s="384">
        <f>VPI!R231</f>
        <v>17442.468645161291</v>
      </c>
      <c r="D231" s="27">
        <f>Données!Z231</f>
        <v>534</v>
      </c>
      <c r="E231" s="117">
        <f t="shared" si="29"/>
        <v>32.663798960976202</v>
      </c>
      <c r="F231" s="205">
        <f t="shared" si="30"/>
        <v>0.68144938177745285</v>
      </c>
      <c r="G231" s="507">
        <f t="shared" si="31"/>
        <v>0</v>
      </c>
      <c r="H231" s="507">
        <f t="shared" si="32"/>
        <v>0</v>
      </c>
      <c r="I231" s="507">
        <f t="shared" si="33"/>
        <v>0</v>
      </c>
      <c r="J231" s="507">
        <f t="shared" si="34"/>
        <v>0</v>
      </c>
      <c r="K231" s="507">
        <f t="shared" si="35"/>
        <v>0</v>
      </c>
      <c r="L231" s="509">
        <f t="shared" si="36"/>
        <v>0</v>
      </c>
      <c r="M231" s="329">
        <f>L231*D231*VPI!Q231</f>
        <v>0</v>
      </c>
    </row>
    <row r="232" spans="1:13" x14ac:dyDescent="0.25">
      <c r="A232" s="172">
        <f>Données!A232</f>
        <v>5799</v>
      </c>
      <c r="B232" s="27" t="str">
        <f>Données!B232</f>
        <v>Servion</v>
      </c>
      <c r="C232" s="384">
        <f>VPI!R232</f>
        <v>71741.835797101463</v>
      </c>
      <c r="D232" s="27">
        <f>Données!Z232</f>
        <v>2107</v>
      </c>
      <c r="E232" s="117">
        <f t="shared" si="29"/>
        <v>34.049281346512323</v>
      </c>
      <c r="F232" s="205">
        <f t="shared" si="30"/>
        <v>0.71035404520056267</v>
      </c>
      <c r="G232" s="507">
        <f t="shared" si="31"/>
        <v>0</v>
      </c>
      <c r="H232" s="507">
        <f t="shared" si="32"/>
        <v>0</v>
      </c>
      <c r="I232" s="507">
        <f t="shared" si="33"/>
        <v>0</v>
      </c>
      <c r="J232" s="507">
        <f t="shared" si="34"/>
        <v>0</v>
      </c>
      <c r="K232" s="507">
        <f t="shared" si="35"/>
        <v>0</v>
      </c>
      <c r="L232" s="509">
        <f t="shared" si="36"/>
        <v>0</v>
      </c>
      <c r="M232" s="329">
        <f>L232*D232*VPI!Q232</f>
        <v>0</v>
      </c>
    </row>
    <row r="233" spans="1:13" x14ac:dyDescent="0.25">
      <c r="A233" s="172">
        <f>Données!A233</f>
        <v>5803</v>
      </c>
      <c r="B233" s="27" t="str">
        <f>Données!B233</f>
        <v>Vulliens</v>
      </c>
      <c r="C233" s="384">
        <f>VPI!R233</f>
        <v>17996.04157894737</v>
      </c>
      <c r="D233" s="27">
        <f>Données!Z233</f>
        <v>631</v>
      </c>
      <c r="E233" s="117">
        <f t="shared" si="29"/>
        <v>28.519875719409463</v>
      </c>
      <c r="F233" s="205">
        <f t="shared" si="30"/>
        <v>0.59499667202153661</v>
      </c>
      <c r="G233" s="507">
        <f t="shared" si="31"/>
        <v>0</v>
      </c>
      <c r="H233" s="507">
        <f t="shared" si="32"/>
        <v>0</v>
      </c>
      <c r="I233" s="507">
        <f t="shared" si="33"/>
        <v>0</v>
      </c>
      <c r="J233" s="507">
        <f t="shared" si="34"/>
        <v>0</v>
      </c>
      <c r="K233" s="507">
        <f t="shared" si="35"/>
        <v>0</v>
      </c>
      <c r="L233" s="509">
        <f t="shared" si="36"/>
        <v>0</v>
      </c>
      <c r="M233" s="329">
        <f>L233*D233*VPI!Q233</f>
        <v>0</v>
      </c>
    </row>
    <row r="234" spans="1:13" x14ac:dyDescent="0.25">
      <c r="A234" s="172">
        <f>Données!A234</f>
        <v>5804</v>
      </c>
      <c r="B234" s="27" t="str">
        <f>Données!B234</f>
        <v>Jorat-Menthue</v>
      </c>
      <c r="C234" s="384">
        <f>VPI!R234</f>
        <v>46853.078156028365</v>
      </c>
      <c r="D234" s="27">
        <f>Données!Z234</f>
        <v>1603</v>
      </c>
      <c r="E234" s="117">
        <f t="shared" si="29"/>
        <v>29.228370652544207</v>
      </c>
      <c r="F234" s="205">
        <f t="shared" si="30"/>
        <v>0.60977766656396393</v>
      </c>
      <c r="G234" s="507">
        <f t="shared" si="31"/>
        <v>0</v>
      </c>
      <c r="H234" s="507">
        <f t="shared" si="32"/>
        <v>0</v>
      </c>
      <c r="I234" s="507">
        <f t="shared" si="33"/>
        <v>0</v>
      </c>
      <c r="J234" s="507">
        <f t="shared" si="34"/>
        <v>0</v>
      </c>
      <c r="K234" s="507">
        <f t="shared" si="35"/>
        <v>0</v>
      </c>
      <c r="L234" s="509">
        <f t="shared" si="36"/>
        <v>0</v>
      </c>
      <c r="M234" s="329">
        <f>L234*D234*VPI!Q234</f>
        <v>0</v>
      </c>
    </row>
    <row r="235" spans="1:13" x14ac:dyDescent="0.25">
      <c r="A235" s="172">
        <f>Données!A235</f>
        <v>5805</v>
      </c>
      <c r="B235" s="27" t="str">
        <f>Données!B235</f>
        <v>Oron</v>
      </c>
      <c r="C235" s="384">
        <f>VPI!R235</f>
        <v>175444.22906111775</v>
      </c>
      <c r="D235" s="27">
        <f>Données!Z235</f>
        <v>6100</v>
      </c>
      <c r="E235" s="117">
        <f t="shared" si="29"/>
        <v>28.761349026412745</v>
      </c>
      <c r="F235" s="205">
        <f t="shared" si="30"/>
        <v>0.60003441536454882</v>
      </c>
      <c r="G235" s="507">
        <f t="shared" si="31"/>
        <v>0</v>
      </c>
      <c r="H235" s="507">
        <f t="shared" si="32"/>
        <v>0</v>
      </c>
      <c r="I235" s="507">
        <f t="shared" si="33"/>
        <v>0</v>
      </c>
      <c r="J235" s="507">
        <f t="shared" si="34"/>
        <v>0</v>
      </c>
      <c r="K235" s="507">
        <f t="shared" si="35"/>
        <v>0</v>
      </c>
      <c r="L235" s="509">
        <f t="shared" si="36"/>
        <v>0</v>
      </c>
      <c r="M235" s="329">
        <f>L235*D235*VPI!Q235</f>
        <v>0</v>
      </c>
    </row>
    <row r="236" spans="1:13" x14ac:dyDescent="0.25">
      <c r="A236" s="172">
        <f>Données!A236</f>
        <v>5806</v>
      </c>
      <c r="B236" s="27" t="str">
        <f>Données!B236</f>
        <v>Jorat-Mézières</v>
      </c>
      <c r="C236" s="384">
        <f>VPI!R236</f>
        <v>102069.34178082191</v>
      </c>
      <c r="D236" s="27">
        <f>Données!Z236</f>
        <v>3095</v>
      </c>
      <c r="E236" s="117">
        <f t="shared" si="29"/>
        <v>32.978785712704976</v>
      </c>
      <c r="F236" s="205">
        <f t="shared" si="30"/>
        <v>0.68802080133248089</v>
      </c>
      <c r="G236" s="507">
        <f t="shared" si="31"/>
        <v>0</v>
      </c>
      <c r="H236" s="507">
        <f t="shared" si="32"/>
        <v>0</v>
      </c>
      <c r="I236" s="507">
        <f t="shared" si="33"/>
        <v>0</v>
      </c>
      <c r="J236" s="507">
        <f t="shared" si="34"/>
        <v>0</v>
      </c>
      <c r="K236" s="507">
        <f t="shared" si="35"/>
        <v>0</v>
      </c>
      <c r="L236" s="509">
        <f t="shared" si="36"/>
        <v>0</v>
      </c>
      <c r="M236" s="329">
        <f>L236*D236*VPI!Q236</f>
        <v>0</v>
      </c>
    </row>
    <row r="237" spans="1:13" x14ac:dyDescent="0.25">
      <c r="A237" s="172">
        <f>Données!A237</f>
        <v>5812</v>
      </c>
      <c r="B237" s="27" t="str">
        <f>Données!B237</f>
        <v>Champtauroz</v>
      </c>
      <c r="C237" s="384">
        <f>VPI!R237</f>
        <v>3351.3333766233759</v>
      </c>
      <c r="D237" s="27">
        <f>Données!Z237</f>
        <v>169</v>
      </c>
      <c r="E237" s="117">
        <f t="shared" si="29"/>
        <v>19.830375009605774</v>
      </c>
      <c r="F237" s="205">
        <f t="shared" si="30"/>
        <v>0.41371173043452503</v>
      </c>
      <c r="G237" s="507">
        <f t="shared" si="31"/>
        <v>0</v>
      </c>
      <c r="H237" s="507">
        <f t="shared" si="32"/>
        <v>0</v>
      </c>
      <c r="I237" s="507">
        <f t="shared" si="33"/>
        <v>0</v>
      </c>
      <c r="J237" s="507">
        <f t="shared" si="34"/>
        <v>0</v>
      </c>
      <c r="K237" s="507">
        <f t="shared" si="35"/>
        <v>0</v>
      </c>
      <c r="L237" s="509">
        <f t="shared" si="36"/>
        <v>0</v>
      </c>
      <c r="M237" s="329">
        <f>L237*D237*VPI!Q237</f>
        <v>0</v>
      </c>
    </row>
    <row r="238" spans="1:13" x14ac:dyDescent="0.25">
      <c r="A238" s="172">
        <f>Données!A238</f>
        <v>5813</v>
      </c>
      <c r="B238" s="27" t="str">
        <f>Données!B238</f>
        <v>Chevroux</v>
      </c>
      <c r="C238" s="384">
        <f>VPI!R238</f>
        <v>15275.291313868614</v>
      </c>
      <c r="D238" s="27">
        <f>Données!Z238</f>
        <v>506</v>
      </c>
      <c r="E238" s="117">
        <f t="shared" si="29"/>
        <v>30.188322754681057</v>
      </c>
      <c r="F238" s="205">
        <f t="shared" si="30"/>
        <v>0.62980469303809361</v>
      </c>
      <c r="G238" s="507">
        <f t="shared" si="31"/>
        <v>0</v>
      </c>
      <c r="H238" s="507">
        <f t="shared" si="32"/>
        <v>0</v>
      </c>
      <c r="I238" s="507">
        <f t="shared" si="33"/>
        <v>0</v>
      </c>
      <c r="J238" s="507">
        <f t="shared" si="34"/>
        <v>0</v>
      </c>
      <c r="K238" s="507">
        <f t="shared" si="35"/>
        <v>0</v>
      </c>
      <c r="L238" s="509">
        <f t="shared" si="36"/>
        <v>0</v>
      </c>
      <c r="M238" s="329">
        <f>L238*D238*VPI!Q238</f>
        <v>0</v>
      </c>
    </row>
    <row r="239" spans="1:13" x14ac:dyDescent="0.25">
      <c r="A239" s="172">
        <f>Données!A239</f>
        <v>5816</v>
      </c>
      <c r="B239" s="27" t="str">
        <f>Données!B239</f>
        <v>Corcelles-près-Payerne</v>
      </c>
      <c r="C239" s="384">
        <f>VPI!R239</f>
        <v>65640.914577685078</v>
      </c>
      <c r="D239" s="27">
        <f>Données!Z239</f>
        <v>2722</v>
      </c>
      <c r="E239" s="117">
        <f t="shared" si="29"/>
        <v>24.114957596504436</v>
      </c>
      <c r="F239" s="205">
        <f t="shared" si="30"/>
        <v>0.50309894955452883</v>
      </c>
      <c r="G239" s="507">
        <f t="shared" si="31"/>
        <v>0</v>
      </c>
      <c r="H239" s="507">
        <f t="shared" si="32"/>
        <v>0</v>
      </c>
      <c r="I239" s="507">
        <f t="shared" si="33"/>
        <v>0</v>
      </c>
      <c r="J239" s="507">
        <f t="shared" si="34"/>
        <v>0</v>
      </c>
      <c r="K239" s="507">
        <f t="shared" si="35"/>
        <v>0</v>
      </c>
      <c r="L239" s="509">
        <f t="shared" si="36"/>
        <v>0</v>
      </c>
      <c r="M239" s="329">
        <f>L239*D239*VPI!Q239</f>
        <v>0</v>
      </c>
    </row>
    <row r="240" spans="1:13" x14ac:dyDescent="0.25">
      <c r="A240" s="172">
        <f>Données!A240</f>
        <v>5817</v>
      </c>
      <c r="B240" s="27" t="str">
        <f>Données!B240</f>
        <v>Grandcour</v>
      </c>
      <c r="C240" s="384">
        <f>VPI!R240</f>
        <v>24621.518775510202</v>
      </c>
      <c r="D240" s="27">
        <f>Données!Z240</f>
        <v>987</v>
      </c>
      <c r="E240" s="117">
        <f t="shared" si="29"/>
        <v>24.94581436221905</v>
      </c>
      <c r="F240" s="205">
        <f t="shared" si="30"/>
        <v>0.5204327211105646</v>
      </c>
      <c r="G240" s="507">
        <f t="shared" si="31"/>
        <v>0</v>
      </c>
      <c r="H240" s="507">
        <f t="shared" si="32"/>
        <v>0</v>
      </c>
      <c r="I240" s="507">
        <f t="shared" si="33"/>
        <v>0</v>
      </c>
      <c r="J240" s="507">
        <f t="shared" si="34"/>
        <v>0</v>
      </c>
      <c r="K240" s="507">
        <f t="shared" si="35"/>
        <v>0</v>
      </c>
      <c r="L240" s="509">
        <f t="shared" si="36"/>
        <v>0</v>
      </c>
      <c r="M240" s="329">
        <f>L240*D240*VPI!Q240</f>
        <v>0</v>
      </c>
    </row>
    <row r="241" spans="1:13" x14ac:dyDescent="0.25">
      <c r="A241" s="172">
        <f>Données!A241</f>
        <v>5819</v>
      </c>
      <c r="B241" s="27" t="str">
        <f>Données!B241</f>
        <v>Henniez</v>
      </c>
      <c r="C241" s="384">
        <f>VPI!R241</f>
        <v>10100.670434782607</v>
      </c>
      <c r="D241" s="27">
        <f>Données!Z241</f>
        <v>407</v>
      </c>
      <c r="E241" s="117">
        <f t="shared" si="29"/>
        <v>24.817372075632942</v>
      </c>
      <c r="F241" s="205">
        <f t="shared" si="30"/>
        <v>0.51775309046218976</v>
      </c>
      <c r="G241" s="507">
        <f t="shared" si="31"/>
        <v>0</v>
      </c>
      <c r="H241" s="507">
        <f t="shared" si="32"/>
        <v>0</v>
      </c>
      <c r="I241" s="507">
        <f t="shared" si="33"/>
        <v>0</v>
      </c>
      <c r="J241" s="507">
        <f t="shared" si="34"/>
        <v>0</v>
      </c>
      <c r="K241" s="507">
        <f t="shared" si="35"/>
        <v>0</v>
      </c>
      <c r="L241" s="509">
        <f t="shared" si="36"/>
        <v>0</v>
      </c>
      <c r="M241" s="329">
        <f>L241*D241*VPI!Q241</f>
        <v>0</v>
      </c>
    </row>
    <row r="242" spans="1:13" x14ac:dyDescent="0.25">
      <c r="A242" s="172">
        <f>Données!A242</f>
        <v>5821</v>
      </c>
      <c r="B242" s="27" t="str">
        <f>Données!B242</f>
        <v>Missy</v>
      </c>
      <c r="C242" s="384">
        <f>VPI!R242</f>
        <v>8044.3988888888889</v>
      </c>
      <c r="D242" s="27">
        <f>Données!Z242</f>
        <v>366</v>
      </c>
      <c r="E242" s="117">
        <f t="shared" si="29"/>
        <v>21.979231936854887</v>
      </c>
      <c r="F242" s="205">
        <f t="shared" si="30"/>
        <v>0.45854231570574733</v>
      </c>
      <c r="G242" s="507">
        <f t="shared" si="31"/>
        <v>0</v>
      </c>
      <c r="H242" s="507">
        <f t="shared" si="32"/>
        <v>0</v>
      </c>
      <c r="I242" s="507">
        <f t="shared" si="33"/>
        <v>0</v>
      </c>
      <c r="J242" s="507">
        <f t="shared" si="34"/>
        <v>0</v>
      </c>
      <c r="K242" s="507">
        <f t="shared" si="35"/>
        <v>0</v>
      </c>
      <c r="L242" s="509">
        <f t="shared" si="36"/>
        <v>0</v>
      </c>
      <c r="M242" s="329">
        <f>L242*D242*VPI!Q242</f>
        <v>0</v>
      </c>
    </row>
    <row r="243" spans="1:13" x14ac:dyDescent="0.25">
      <c r="A243" s="172">
        <f>Données!A243</f>
        <v>5822</v>
      </c>
      <c r="B243" s="27" t="str">
        <f>Données!B243</f>
        <v>Payerne</v>
      </c>
      <c r="C243" s="384">
        <f>VPI!R243</f>
        <v>239936.5750684932</v>
      </c>
      <c r="D243" s="27">
        <f>Données!Z243</f>
        <v>10258</v>
      </c>
      <c r="E243" s="117">
        <f t="shared" si="29"/>
        <v>23.390190589636692</v>
      </c>
      <c r="F243" s="205">
        <f t="shared" si="30"/>
        <v>0.48797847843747427</v>
      </c>
      <c r="G243" s="507">
        <f t="shared" si="31"/>
        <v>0</v>
      </c>
      <c r="H243" s="507">
        <f t="shared" si="32"/>
        <v>0</v>
      </c>
      <c r="I243" s="507">
        <f t="shared" si="33"/>
        <v>0</v>
      </c>
      <c r="J243" s="507">
        <f t="shared" si="34"/>
        <v>0</v>
      </c>
      <c r="K243" s="507">
        <f t="shared" si="35"/>
        <v>0</v>
      </c>
      <c r="L243" s="509">
        <f t="shared" si="36"/>
        <v>0</v>
      </c>
      <c r="M243" s="329">
        <f>L243*D243*VPI!Q243</f>
        <v>0</v>
      </c>
    </row>
    <row r="244" spans="1:13" x14ac:dyDescent="0.25">
      <c r="A244" s="172">
        <f>Données!A244</f>
        <v>5827</v>
      </c>
      <c r="B244" s="27" t="str">
        <f>Données!B244</f>
        <v>Trey</v>
      </c>
      <c r="C244" s="384">
        <f>VPI!R244</f>
        <v>7747.1149999999998</v>
      </c>
      <c r="D244" s="27">
        <f>Données!Z244</f>
        <v>321</v>
      </c>
      <c r="E244" s="117">
        <f t="shared" si="29"/>
        <v>24.134314641744549</v>
      </c>
      <c r="F244" s="205">
        <f t="shared" si="30"/>
        <v>0.50350278642995394</v>
      </c>
      <c r="G244" s="507">
        <f t="shared" si="31"/>
        <v>0</v>
      </c>
      <c r="H244" s="507">
        <f t="shared" si="32"/>
        <v>0</v>
      </c>
      <c r="I244" s="507">
        <f t="shared" si="33"/>
        <v>0</v>
      </c>
      <c r="J244" s="507">
        <f t="shared" si="34"/>
        <v>0</v>
      </c>
      <c r="K244" s="507">
        <f t="shared" si="35"/>
        <v>0</v>
      </c>
      <c r="L244" s="509">
        <f t="shared" si="36"/>
        <v>0</v>
      </c>
      <c r="M244" s="329">
        <f>L244*D244*VPI!Q244</f>
        <v>0</v>
      </c>
    </row>
    <row r="245" spans="1:13" x14ac:dyDescent="0.25">
      <c r="A245" s="172">
        <f>Données!A245</f>
        <v>5828</v>
      </c>
      <c r="B245" s="27" t="str">
        <f>Données!B245</f>
        <v>Treytorrens (Payerne)</v>
      </c>
      <c r="C245" s="384">
        <f>VPI!R245</f>
        <v>2899.2098989898991</v>
      </c>
      <c r="D245" s="27">
        <f>Données!Z245</f>
        <v>110</v>
      </c>
      <c r="E245" s="117">
        <f t="shared" si="29"/>
        <v>26.356453627180901</v>
      </c>
      <c r="F245" s="205">
        <f t="shared" si="30"/>
        <v>0.54986222060533263</v>
      </c>
      <c r="G245" s="507">
        <f t="shared" si="31"/>
        <v>0</v>
      </c>
      <c r="H245" s="507">
        <f t="shared" si="32"/>
        <v>0</v>
      </c>
      <c r="I245" s="507">
        <f t="shared" si="33"/>
        <v>0</v>
      </c>
      <c r="J245" s="507">
        <f t="shared" si="34"/>
        <v>0</v>
      </c>
      <c r="K245" s="507">
        <f t="shared" si="35"/>
        <v>0</v>
      </c>
      <c r="L245" s="509">
        <f t="shared" si="36"/>
        <v>0</v>
      </c>
      <c r="M245" s="329">
        <f>L245*D245*VPI!Q245</f>
        <v>0</v>
      </c>
    </row>
    <row r="246" spans="1:13" x14ac:dyDescent="0.25">
      <c r="A246" s="172">
        <f>Données!A246</f>
        <v>5830</v>
      </c>
      <c r="B246" s="27" t="str">
        <f>Données!B246</f>
        <v>Villarzel</v>
      </c>
      <c r="C246" s="384">
        <f>VPI!R246</f>
        <v>12409.471600000001</v>
      </c>
      <c r="D246" s="27">
        <f>Données!Z246</f>
        <v>500</v>
      </c>
      <c r="E246" s="117">
        <f t="shared" si="29"/>
        <v>24.818943200000003</v>
      </c>
      <c r="F246" s="205">
        <f t="shared" si="30"/>
        <v>0.51778586808643079</v>
      </c>
      <c r="G246" s="507">
        <f t="shared" si="31"/>
        <v>0</v>
      </c>
      <c r="H246" s="507">
        <f t="shared" si="32"/>
        <v>0</v>
      </c>
      <c r="I246" s="507">
        <f t="shared" si="33"/>
        <v>0</v>
      </c>
      <c r="J246" s="507">
        <f t="shared" si="34"/>
        <v>0</v>
      </c>
      <c r="K246" s="507">
        <f t="shared" si="35"/>
        <v>0</v>
      </c>
      <c r="L246" s="509">
        <f t="shared" si="36"/>
        <v>0</v>
      </c>
      <c r="M246" s="329">
        <f>L246*D246*VPI!Q246</f>
        <v>0</v>
      </c>
    </row>
    <row r="247" spans="1:13" x14ac:dyDescent="0.25">
      <c r="A247" s="172">
        <f>Données!A247</f>
        <v>5831</v>
      </c>
      <c r="B247" s="27" t="str">
        <f>Données!B247</f>
        <v>Valbroye</v>
      </c>
      <c r="C247" s="384">
        <f>VPI!R247</f>
        <v>81061.421607565018</v>
      </c>
      <c r="D247" s="27">
        <f>Données!Z247</f>
        <v>3349</v>
      </c>
      <c r="E247" s="117">
        <f t="shared" si="29"/>
        <v>24.204664558842943</v>
      </c>
      <c r="F247" s="205">
        <f t="shared" si="30"/>
        <v>0.50497046346201224</v>
      </c>
      <c r="G247" s="507">
        <f t="shared" si="31"/>
        <v>0</v>
      </c>
      <c r="H247" s="507">
        <f t="shared" si="32"/>
        <v>0</v>
      </c>
      <c r="I247" s="507">
        <f t="shared" si="33"/>
        <v>0</v>
      </c>
      <c r="J247" s="507">
        <f t="shared" si="34"/>
        <v>0</v>
      </c>
      <c r="K247" s="507">
        <f t="shared" si="35"/>
        <v>0</v>
      </c>
      <c r="L247" s="509">
        <f t="shared" si="36"/>
        <v>0</v>
      </c>
      <c r="M247" s="329">
        <f>L247*D247*VPI!Q247</f>
        <v>0</v>
      </c>
    </row>
    <row r="248" spans="1:13" x14ac:dyDescent="0.25">
      <c r="A248" s="172">
        <f>Données!A248</f>
        <v>5841</v>
      </c>
      <c r="B248" s="27" t="str">
        <f>Données!B248</f>
        <v>Château-d'Oex</v>
      </c>
      <c r="C248" s="384">
        <f>VPI!R248</f>
        <v>110850.82306748466</v>
      </c>
      <c r="D248" s="27">
        <f>Données!Z248</f>
        <v>3549</v>
      </c>
      <c r="E248" s="117">
        <f t="shared" si="29"/>
        <v>31.234382380243634</v>
      </c>
      <c r="F248" s="205">
        <f t="shared" si="30"/>
        <v>0.65162814002886182</v>
      </c>
      <c r="G248" s="507">
        <f t="shared" si="31"/>
        <v>0</v>
      </c>
      <c r="H248" s="507">
        <f t="shared" si="32"/>
        <v>0</v>
      </c>
      <c r="I248" s="507">
        <f t="shared" si="33"/>
        <v>0</v>
      </c>
      <c r="J248" s="507">
        <f t="shared" si="34"/>
        <v>0</v>
      </c>
      <c r="K248" s="507">
        <f t="shared" si="35"/>
        <v>0</v>
      </c>
      <c r="L248" s="509">
        <f t="shared" si="36"/>
        <v>0</v>
      </c>
      <c r="M248" s="329">
        <f>L248*D248*VPI!Q248</f>
        <v>0</v>
      </c>
    </row>
    <row r="249" spans="1:13" x14ac:dyDescent="0.25">
      <c r="A249" s="172">
        <f>Données!A249</f>
        <v>5842</v>
      </c>
      <c r="B249" s="27" t="str">
        <f>Données!B249</f>
        <v>Rossinière</v>
      </c>
      <c r="C249" s="384">
        <f>VPI!R249</f>
        <v>14941.466090534977</v>
      </c>
      <c r="D249" s="27">
        <f>Données!Z249</f>
        <v>534</v>
      </c>
      <c r="E249" s="117">
        <f t="shared" si="29"/>
        <v>27.980273577780856</v>
      </c>
      <c r="F249" s="205">
        <f t="shared" si="30"/>
        <v>0.58373920787115074</v>
      </c>
      <c r="G249" s="507">
        <f t="shared" si="31"/>
        <v>0</v>
      </c>
      <c r="H249" s="507">
        <f t="shared" si="32"/>
        <v>0</v>
      </c>
      <c r="I249" s="507">
        <f t="shared" si="33"/>
        <v>0</v>
      </c>
      <c r="J249" s="507">
        <f t="shared" si="34"/>
        <v>0</v>
      </c>
      <c r="K249" s="507">
        <f t="shared" si="35"/>
        <v>0</v>
      </c>
      <c r="L249" s="509">
        <f t="shared" si="36"/>
        <v>0</v>
      </c>
      <c r="M249" s="329">
        <f>L249*D249*VPI!Q249</f>
        <v>0</v>
      </c>
    </row>
    <row r="250" spans="1:13" x14ac:dyDescent="0.25">
      <c r="A250" s="172">
        <f>Données!A250</f>
        <v>5843</v>
      </c>
      <c r="B250" s="27" t="str">
        <f>Données!B250</f>
        <v>Rougemont</v>
      </c>
      <c r="C250" s="384">
        <f>VPI!R250</f>
        <v>97082.778783783782</v>
      </c>
      <c r="D250" s="27">
        <f>Données!Z250</f>
        <v>862</v>
      </c>
      <c r="E250" s="117">
        <f t="shared" si="29"/>
        <v>112.62503339186054</v>
      </c>
      <c r="F250" s="205">
        <f t="shared" si="30"/>
        <v>2.349642779434209</v>
      </c>
      <c r="G250" s="507">
        <f t="shared" si="31"/>
        <v>64.69220105767036</v>
      </c>
      <c r="H250" s="507">
        <f t="shared" si="32"/>
        <v>55.105634590832324</v>
      </c>
      <c r="I250" s="507">
        <f t="shared" si="33"/>
        <v>40.72578489057527</v>
      </c>
      <c r="J250" s="507">
        <f t="shared" si="34"/>
        <v>16.759368723480179</v>
      </c>
      <c r="K250" s="507">
        <f t="shared" si="35"/>
        <v>0</v>
      </c>
      <c r="L250" s="509">
        <f t="shared" si="36"/>
        <v>24.19751903202285</v>
      </c>
      <c r="M250" s="329">
        <f>L250*D250*VPI!Q250</f>
        <v>1543511.3440146737</v>
      </c>
    </row>
    <row r="251" spans="1:13" x14ac:dyDescent="0.25">
      <c r="A251" s="172">
        <f>Données!A251</f>
        <v>5851</v>
      </c>
      <c r="B251" s="27" t="str">
        <f>Données!B251</f>
        <v>Allaman</v>
      </c>
      <c r="C251" s="384">
        <f>VPI!R251</f>
        <v>24871.551151515156</v>
      </c>
      <c r="D251" s="27">
        <f>Données!Z251</f>
        <v>430</v>
      </c>
      <c r="E251" s="117">
        <f t="shared" si="29"/>
        <v>57.840816631430592</v>
      </c>
      <c r="F251" s="205">
        <f t="shared" si="30"/>
        <v>1.20670558810632</v>
      </c>
      <c r="G251" s="507">
        <f t="shared" si="31"/>
        <v>9.9079842972404109</v>
      </c>
      <c r="H251" s="507">
        <f t="shared" si="32"/>
        <v>0.3214178304023747</v>
      </c>
      <c r="I251" s="507">
        <f t="shared" si="33"/>
        <v>0</v>
      </c>
      <c r="J251" s="507">
        <f t="shared" si="34"/>
        <v>0</v>
      </c>
      <c r="K251" s="507">
        <f t="shared" si="35"/>
        <v>0</v>
      </c>
      <c r="L251" s="509">
        <f t="shared" si="36"/>
        <v>2.0137386424883199</v>
      </c>
      <c r="M251" s="329">
        <f>L251*D251*VPI!Q251</f>
        <v>51954.456976198649</v>
      </c>
    </row>
    <row r="252" spans="1:13" x14ac:dyDescent="0.25">
      <c r="A252" s="172">
        <f>Données!A252</f>
        <v>5852</v>
      </c>
      <c r="B252" s="27" t="str">
        <f>Données!B252</f>
        <v>Bursinel</v>
      </c>
      <c r="C252" s="384">
        <f>VPI!R252</f>
        <v>34636.180913978496</v>
      </c>
      <c r="D252" s="27">
        <f>Données!Z252</f>
        <v>515</v>
      </c>
      <c r="E252" s="117">
        <f t="shared" si="29"/>
        <v>67.25472022131747</v>
      </c>
      <c r="F252" s="205">
        <f t="shared" si="30"/>
        <v>1.4031034042055786</v>
      </c>
      <c r="G252" s="507">
        <f t="shared" si="31"/>
        <v>19.321887887127289</v>
      </c>
      <c r="H252" s="507">
        <f t="shared" si="32"/>
        <v>9.7353214202892531</v>
      </c>
      <c r="I252" s="507">
        <f t="shared" si="33"/>
        <v>0</v>
      </c>
      <c r="J252" s="507">
        <f t="shared" si="34"/>
        <v>0</v>
      </c>
      <c r="K252" s="507">
        <f t="shared" si="35"/>
        <v>0</v>
      </c>
      <c r="L252" s="509">
        <f t="shared" si="36"/>
        <v>4.837909719454383</v>
      </c>
      <c r="M252" s="329">
        <f>L252*D252*VPI!Q252</f>
        <v>154474.45734217844</v>
      </c>
    </row>
    <row r="253" spans="1:13" x14ac:dyDescent="0.25">
      <c r="A253" s="172">
        <f>Données!A253</f>
        <v>5853</v>
      </c>
      <c r="B253" s="27" t="str">
        <f>Données!B253</f>
        <v>Bursins</v>
      </c>
      <c r="C253" s="384">
        <f>VPI!R253</f>
        <v>44484.29464788732</v>
      </c>
      <c r="D253" s="27">
        <f>Données!Z253</f>
        <v>773</v>
      </c>
      <c r="E253" s="117">
        <f t="shared" si="29"/>
        <v>57.54759980321775</v>
      </c>
      <c r="F253" s="205">
        <f t="shared" si="30"/>
        <v>1.2005883441644531</v>
      </c>
      <c r="G253" s="507">
        <f t="shared" si="31"/>
        <v>9.6147674690275693</v>
      </c>
      <c r="H253" s="507">
        <f t="shared" si="32"/>
        <v>2.8201002189533142E-2</v>
      </c>
      <c r="I253" s="507">
        <f t="shared" si="33"/>
        <v>0</v>
      </c>
      <c r="J253" s="507">
        <f t="shared" si="34"/>
        <v>0</v>
      </c>
      <c r="K253" s="507">
        <f t="shared" si="35"/>
        <v>0</v>
      </c>
      <c r="L253" s="509">
        <f t="shared" si="36"/>
        <v>1.9257735940244674</v>
      </c>
      <c r="M253" s="329">
        <f>L253*D253*VPI!Q253</f>
        <v>105692.23216084485</v>
      </c>
    </row>
    <row r="254" spans="1:13" x14ac:dyDescent="0.25">
      <c r="A254" s="172">
        <f>Données!A254</f>
        <v>5854</v>
      </c>
      <c r="B254" s="27" t="str">
        <f>Données!B254</f>
        <v>Burtigny</v>
      </c>
      <c r="C254" s="384">
        <f>VPI!R254</f>
        <v>15255.605208333331</v>
      </c>
      <c r="D254" s="27">
        <f>Données!Z254</f>
        <v>416</v>
      </c>
      <c r="E254" s="117">
        <f t="shared" si="29"/>
        <v>36.672127904647432</v>
      </c>
      <c r="F254" s="205">
        <f t="shared" si="30"/>
        <v>0.76507325185725439</v>
      </c>
      <c r="G254" s="507">
        <f t="shared" si="31"/>
        <v>0</v>
      </c>
      <c r="H254" s="507">
        <f t="shared" si="32"/>
        <v>0</v>
      </c>
      <c r="I254" s="507">
        <f t="shared" si="33"/>
        <v>0</v>
      </c>
      <c r="J254" s="507">
        <f t="shared" si="34"/>
        <v>0</v>
      </c>
      <c r="K254" s="507">
        <f t="shared" si="35"/>
        <v>0</v>
      </c>
      <c r="L254" s="509">
        <f t="shared" si="36"/>
        <v>0</v>
      </c>
      <c r="M254" s="329">
        <f>L254*D254*VPI!Q254</f>
        <v>0</v>
      </c>
    </row>
    <row r="255" spans="1:13" x14ac:dyDescent="0.25">
      <c r="A255" s="172">
        <f>Données!A255</f>
        <v>5855</v>
      </c>
      <c r="B255" s="27" t="str">
        <f>Données!B255</f>
        <v>Dully</v>
      </c>
      <c r="C255" s="384">
        <f>VPI!R255</f>
        <v>93677.895510204093</v>
      </c>
      <c r="D255" s="27">
        <f>Données!Z255</f>
        <v>634</v>
      </c>
      <c r="E255" s="117">
        <f t="shared" si="29"/>
        <v>147.75693298139447</v>
      </c>
      <c r="F255" s="205">
        <f t="shared" si="30"/>
        <v>3.0825829767626813</v>
      </c>
      <c r="G255" s="507">
        <f t="shared" si="31"/>
        <v>99.82410064720429</v>
      </c>
      <c r="H255" s="507">
        <f t="shared" si="32"/>
        <v>90.237534180366254</v>
      </c>
      <c r="I255" s="507">
        <f t="shared" si="33"/>
        <v>75.857684480109199</v>
      </c>
      <c r="J255" s="507">
        <f t="shared" si="34"/>
        <v>51.891268313014109</v>
      </c>
      <c r="K255" s="507">
        <f t="shared" si="35"/>
        <v>3.9584359788239283</v>
      </c>
      <c r="L255" s="509">
        <f t="shared" si="36"/>
        <v>42.159312424672208</v>
      </c>
      <c r="M255" s="329">
        <f>L255*D255*VPI!Q255</f>
        <v>1309721.199784867</v>
      </c>
    </row>
    <row r="256" spans="1:13" x14ac:dyDescent="0.25">
      <c r="A256" s="172">
        <f>Données!A256</f>
        <v>5856</v>
      </c>
      <c r="B256" s="27" t="str">
        <f>Données!B256</f>
        <v>Essertines-sur-Rolle</v>
      </c>
      <c r="C256" s="384">
        <f>VPI!R256</f>
        <v>42059.84630422209</v>
      </c>
      <c r="D256" s="27">
        <f>Données!Z256</f>
        <v>753</v>
      </c>
      <c r="E256" s="117">
        <f t="shared" si="29"/>
        <v>55.856369593920441</v>
      </c>
      <c r="F256" s="205">
        <f t="shared" si="30"/>
        <v>1.1653050085688021</v>
      </c>
      <c r="G256" s="507">
        <f t="shared" si="31"/>
        <v>7.92353725973026</v>
      </c>
      <c r="H256" s="507">
        <f t="shared" si="32"/>
        <v>0</v>
      </c>
      <c r="I256" s="507">
        <f t="shared" si="33"/>
        <v>0</v>
      </c>
      <c r="J256" s="507">
        <f t="shared" si="34"/>
        <v>0</v>
      </c>
      <c r="K256" s="507">
        <f t="shared" si="35"/>
        <v>0</v>
      </c>
      <c r="L256" s="509">
        <f t="shared" si="36"/>
        <v>1.584707451946052</v>
      </c>
      <c r="M256" s="329">
        <f>L256*D256*VPI!Q256</f>
        <v>79353.433302472578</v>
      </c>
    </row>
    <row r="257" spans="1:13" x14ac:dyDescent="0.25">
      <c r="A257" s="172">
        <f>Données!A257</f>
        <v>5857</v>
      </c>
      <c r="B257" s="27" t="str">
        <f>Données!B257</f>
        <v>Gilly</v>
      </c>
      <c r="C257" s="384">
        <f>VPI!R257</f>
        <v>88865.056589147294</v>
      </c>
      <c r="D257" s="27">
        <f>Données!Z257</f>
        <v>1438</v>
      </c>
      <c r="E257" s="117">
        <f t="shared" si="29"/>
        <v>61.797674957682403</v>
      </c>
      <c r="F257" s="205">
        <f t="shared" si="30"/>
        <v>1.2892556510499071</v>
      </c>
      <c r="G257" s="507">
        <f t="shared" si="31"/>
        <v>13.864842623492223</v>
      </c>
      <c r="H257" s="507">
        <f t="shared" si="32"/>
        <v>4.2782761566541865</v>
      </c>
      <c r="I257" s="507">
        <f t="shared" si="33"/>
        <v>0</v>
      </c>
      <c r="J257" s="507">
        <f t="shared" si="34"/>
        <v>0</v>
      </c>
      <c r="K257" s="507">
        <f t="shared" si="35"/>
        <v>0</v>
      </c>
      <c r="L257" s="509">
        <f t="shared" si="36"/>
        <v>3.2007961403638632</v>
      </c>
      <c r="M257" s="329">
        <f>L257*D257*VPI!Q257</f>
        <v>296877.04281488864</v>
      </c>
    </row>
    <row r="258" spans="1:13" x14ac:dyDescent="0.25">
      <c r="A258" s="172">
        <f>Données!A258</f>
        <v>5858</v>
      </c>
      <c r="B258" s="27" t="str">
        <f>Données!B258</f>
        <v>Luins</v>
      </c>
      <c r="C258" s="384">
        <f>VPI!R258</f>
        <v>38252.553447293445</v>
      </c>
      <c r="D258" s="27">
        <f>Données!Z258</f>
        <v>630</v>
      </c>
      <c r="E258" s="117">
        <f t="shared" si="29"/>
        <v>60.718338805227688</v>
      </c>
      <c r="F258" s="205">
        <f t="shared" si="30"/>
        <v>1.266737971624466</v>
      </c>
      <c r="G258" s="507">
        <f t="shared" si="31"/>
        <v>12.785506471037507</v>
      </c>
      <c r="H258" s="507">
        <f t="shared" si="32"/>
        <v>3.1989400041994713</v>
      </c>
      <c r="I258" s="507">
        <f t="shared" si="33"/>
        <v>0</v>
      </c>
      <c r="J258" s="507">
        <f t="shared" si="34"/>
        <v>0</v>
      </c>
      <c r="K258" s="507">
        <f t="shared" si="35"/>
        <v>0</v>
      </c>
      <c r="L258" s="509">
        <f t="shared" si="36"/>
        <v>2.8769952946274486</v>
      </c>
      <c r="M258" s="329">
        <f>L258*D258*VPI!Q258</f>
        <v>106031.66158349461</v>
      </c>
    </row>
    <row r="259" spans="1:13" x14ac:dyDescent="0.25">
      <c r="A259" s="172">
        <f>Données!A259</f>
        <v>5859</v>
      </c>
      <c r="B259" s="27" t="str">
        <f>Données!B259</f>
        <v>Mont-sur-Rolle</v>
      </c>
      <c r="C259" s="384">
        <f>VPI!R259</f>
        <v>160904.56204724411</v>
      </c>
      <c r="D259" s="27">
        <f>Données!Z259</f>
        <v>2739</v>
      </c>
      <c r="E259" s="117">
        <f t="shared" si="29"/>
        <v>58.745732766427203</v>
      </c>
      <c r="F259" s="205">
        <f t="shared" si="30"/>
        <v>1.2255844252400718</v>
      </c>
      <c r="G259" s="507">
        <f t="shared" si="31"/>
        <v>10.812900432237022</v>
      </c>
      <c r="H259" s="507">
        <f t="shared" si="32"/>
        <v>1.226333965398986</v>
      </c>
      <c r="I259" s="507">
        <f t="shared" si="33"/>
        <v>0</v>
      </c>
      <c r="J259" s="507">
        <f t="shared" si="34"/>
        <v>0</v>
      </c>
      <c r="K259" s="507">
        <f t="shared" si="35"/>
        <v>0</v>
      </c>
      <c r="L259" s="509">
        <f t="shared" si="36"/>
        <v>2.2852134829873032</v>
      </c>
      <c r="M259" s="329">
        <f>L259*D259*VPI!Q259</f>
        <v>397459.18284879118</v>
      </c>
    </row>
    <row r="260" spans="1:13" x14ac:dyDescent="0.25">
      <c r="A260" s="172">
        <f>Données!A260</f>
        <v>5860</v>
      </c>
      <c r="B260" s="27" t="str">
        <f>Données!B260</f>
        <v>Perroy</v>
      </c>
      <c r="C260" s="384">
        <f>VPI!R260</f>
        <v>124238.0950558843</v>
      </c>
      <c r="D260" s="27">
        <f>Données!Z260</f>
        <v>1514</v>
      </c>
      <c r="E260" s="117">
        <f t="shared" si="29"/>
        <v>82.05950796293547</v>
      </c>
      <c r="F260" s="205">
        <f t="shared" si="30"/>
        <v>1.7119686854891516</v>
      </c>
      <c r="G260" s="507">
        <f t="shared" si="31"/>
        <v>34.126675628745289</v>
      </c>
      <c r="H260" s="507">
        <f t="shared" si="32"/>
        <v>24.540109161907253</v>
      </c>
      <c r="I260" s="507">
        <f t="shared" si="33"/>
        <v>10.160259461650199</v>
      </c>
      <c r="J260" s="507">
        <f t="shared" si="34"/>
        <v>0</v>
      </c>
      <c r="K260" s="507">
        <f t="shared" si="35"/>
        <v>0</v>
      </c>
      <c r="L260" s="509">
        <f t="shared" si="36"/>
        <v>10.295371988104803</v>
      </c>
      <c r="M260" s="329">
        <f>L260*D260*VPI!Q260</f>
        <v>911850.80161445437</v>
      </c>
    </row>
    <row r="261" spans="1:13" x14ac:dyDescent="0.25">
      <c r="A261" s="172">
        <f>Données!A261</f>
        <v>5861</v>
      </c>
      <c r="B261" s="27" t="str">
        <f>Données!B261</f>
        <v>Rolle</v>
      </c>
      <c r="C261" s="384">
        <f>VPI!R261</f>
        <v>872601.81815126061</v>
      </c>
      <c r="D261" s="27">
        <f>Données!Z261</f>
        <v>6291</v>
      </c>
      <c r="E261" s="117">
        <f t="shared" si="29"/>
        <v>138.70637707061843</v>
      </c>
      <c r="F261" s="205">
        <f t="shared" si="30"/>
        <v>2.8937655113628673</v>
      </c>
      <c r="G261" s="507">
        <f t="shared" si="31"/>
        <v>90.773544736428249</v>
      </c>
      <c r="H261" s="507">
        <f t="shared" si="32"/>
        <v>81.186978269590213</v>
      </c>
      <c r="I261" s="507">
        <f t="shared" si="33"/>
        <v>66.807128569333159</v>
      </c>
      <c r="J261" s="507">
        <f t="shared" si="34"/>
        <v>42.840712402238069</v>
      </c>
      <c r="K261" s="507">
        <f t="shared" si="35"/>
        <v>0</v>
      </c>
      <c r="L261" s="509">
        <f t="shared" si="36"/>
        <v>37.238190871401798</v>
      </c>
      <c r="M261" s="329">
        <f>L261*D261*VPI!Q261</f>
        <v>13938794.796933329</v>
      </c>
    </row>
    <row r="262" spans="1:13" x14ac:dyDescent="0.25">
      <c r="A262" s="172">
        <f>Données!A262</f>
        <v>5862</v>
      </c>
      <c r="B262" s="27" t="str">
        <f>Données!B262</f>
        <v>Tartegnin</v>
      </c>
      <c r="C262" s="384">
        <f>VPI!R262</f>
        <v>7890.9322784810111</v>
      </c>
      <c r="D262" s="27">
        <f>Données!Z262</f>
        <v>241</v>
      </c>
      <c r="E262" s="117">
        <f t="shared" si="29"/>
        <v>32.742457587058141</v>
      </c>
      <c r="F262" s="205">
        <f t="shared" si="30"/>
        <v>0.68309039947349737</v>
      </c>
      <c r="G262" s="507">
        <f t="shared" si="31"/>
        <v>0</v>
      </c>
      <c r="H262" s="507">
        <f t="shared" si="32"/>
        <v>0</v>
      </c>
      <c r="I262" s="507">
        <f t="shared" si="33"/>
        <v>0</v>
      </c>
      <c r="J262" s="507">
        <f t="shared" si="34"/>
        <v>0</v>
      </c>
      <c r="K262" s="507">
        <f t="shared" si="35"/>
        <v>0</v>
      </c>
      <c r="L262" s="509">
        <f t="shared" si="36"/>
        <v>0</v>
      </c>
      <c r="M262" s="329">
        <f>L262*D262*VPI!Q262</f>
        <v>0</v>
      </c>
    </row>
    <row r="263" spans="1:13" x14ac:dyDescent="0.25">
      <c r="A263" s="172">
        <f>Données!A263</f>
        <v>5863</v>
      </c>
      <c r="B263" s="27" t="str">
        <f>Données!B263</f>
        <v>Vinzel</v>
      </c>
      <c r="C263" s="384">
        <f>VPI!R263</f>
        <v>21422.979701492532</v>
      </c>
      <c r="D263" s="27">
        <f>Données!Z263</f>
        <v>369</v>
      </c>
      <c r="E263" s="117">
        <f t="shared" ref="E263:E305" si="37">C263/D263</f>
        <v>58.056855559600358</v>
      </c>
      <c r="F263" s="205">
        <f t="shared" ref="F263:F305" si="38">E263/$E$306</f>
        <v>1.2112127060388371</v>
      </c>
      <c r="G263" s="507">
        <f t="shared" ref="G263:G305" si="39">IF(E263-$G$3&lt;0,0,E263-$G$3)</f>
        <v>10.124023225410177</v>
      </c>
      <c r="H263" s="507">
        <f t="shared" ref="H263:H305" si="40">IF(E263-$H$3&lt;0,0,E263-$H$3)</f>
        <v>0.53745675857214081</v>
      </c>
      <c r="I263" s="507">
        <f t="shared" ref="I263:I305" si="41">IF(E263-$I$3&lt;0,0,E263-$I$3)</f>
        <v>0</v>
      </c>
      <c r="J263" s="507">
        <f t="shared" ref="J263:J305" si="42">IF(E263-$J$3&lt;0,0,E263-$J$3)</f>
        <v>0</v>
      </c>
      <c r="K263" s="507">
        <f t="shared" ref="K263:K305" si="43">IF(E263-$K$3&lt;0,0,E263-$K$3)</f>
        <v>0</v>
      </c>
      <c r="L263" s="509">
        <f t="shared" ref="L263:L305" si="44">(G263-H263)*$G$4+(H263-I263)*$H$4+(I263-J263)*$I$4+(J263-K263)*$J$4+(K263*$K$4)</f>
        <v>2.0785503209392497</v>
      </c>
      <c r="M263" s="329">
        <f>L263*D263*VPI!Q263</f>
        <v>51387.99958458107</v>
      </c>
    </row>
    <row r="264" spans="1:13" x14ac:dyDescent="0.25">
      <c r="A264" s="172">
        <f>Données!A264</f>
        <v>5871</v>
      </c>
      <c r="B264" s="27" t="str">
        <f>Données!B264</f>
        <v>L'Abbaye</v>
      </c>
      <c r="C264" s="384">
        <f>VPI!R264</f>
        <v>52131.58544752092</v>
      </c>
      <c r="D264" s="27">
        <f>Données!Z264</f>
        <v>1521</v>
      </c>
      <c r="E264" s="117">
        <f t="shared" si="37"/>
        <v>34.274546645312903</v>
      </c>
      <c r="F264" s="205">
        <f t="shared" si="38"/>
        <v>0.7150536485377913</v>
      </c>
      <c r="G264" s="507">
        <f t="shared" si="39"/>
        <v>0</v>
      </c>
      <c r="H264" s="507">
        <f t="shared" si="40"/>
        <v>0</v>
      </c>
      <c r="I264" s="507">
        <f t="shared" si="41"/>
        <v>0</v>
      </c>
      <c r="J264" s="507">
        <f t="shared" si="42"/>
        <v>0</v>
      </c>
      <c r="K264" s="507">
        <f t="shared" si="43"/>
        <v>0</v>
      </c>
      <c r="L264" s="509">
        <f t="shared" si="44"/>
        <v>0</v>
      </c>
      <c r="M264" s="329">
        <f>L264*D264*VPI!Q264</f>
        <v>0</v>
      </c>
    </row>
    <row r="265" spans="1:13" x14ac:dyDescent="0.25">
      <c r="A265" s="172">
        <f>Données!A265</f>
        <v>5872</v>
      </c>
      <c r="B265" s="27" t="str">
        <f>Données!B265</f>
        <v>Le Chenit</v>
      </c>
      <c r="C265" s="384">
        <f>VPI!R265</f>
        <v>198940.06926406932</v>
      </c>
      <c r="D265" s="27">
        <f>Données!Z265</f>
        <v>4569</v>
      </c>
      <c r="E265" s="117">
        <f t="shared" si="37"/>
        <v>43.541271451974026</v>
      </c>
      <c r="F265" s="205">
        <f t="shared" si="38"/>
        <v>0.90838094332506858</v>
      </c>
      <c r="G265" s="507">
        <f t="shared" si="39"/>
        <v>0</v>
      </c>
      <c r="H265" s="507">
        <f t="shared" si="40"/>
        <v>0</v>
      </c>
      <c r="I265" s="507">
        <f t="shared" si="41"/>
        <v>0</v>
      </c>
      <c r="J265" s="507">
        <f t="shared" si="42"/>
        <v>0</v>
      </c>
      <c r="K265" s="507">
        <f t="shared" si="43"/>
        <v>0</v>
      </c>
      <c r="L265" s="509">
        <f t="shared" si="44"/>
        <v>0</v>
      </c>
      <c r="M265" s="329">
        <f>L265*D265*VPI!Q265</f>
        <v>0</v>
      </c>
    </row>
    <row r="266" spans="1:13" x14ac:dyDescent="0.25">
      <c r="A266" s="172">
        <f>Données!A266</f>
        <v>5873</v>
      </c>
      <c r="B266" s="27" t="str">
        <f>Données!B266</f>
        <v>Le Lieu</v>
      </c>
      <c r="C266" s="384">
        <f>VPI!R266</f>
        <v>31463.219535714288</v>
      </c>
      <c r="D266" s="27">
        <f>Données!Z266</f>
        <v>881</v>
      </c>
      <c r="E266" s="117">
        <f t="shared" si="37"/>
        <v>35.713075522944706</v>
      </c>
      <c r="F266" s="205">
        <f t="shared" si="38"/>
        <v>0.74506499582480956</v>
      </c>
      <c r="G266" s="507">
        <f t="shared" si="39"/>
        <v>0</v>
      </c>
      <c r="H266" s="507">
        <f t="shared" si="40"/>
        <v>0</v>
      </c>
      <c r="I266" s="507">
        <f t="shared" si="41"/>
        <v>0</v>
      </c>
      <c r="J266" s="507">
        <f t="shared" si="42"/>
        <v>0</v>
      </c>
      <c r="K266" s="507">
        <f t="shared" si="43"/>
        <v>0</v>
      </c>
      <c r="L266" s="509">
        <f t="shared" si="44"/>
        <v>0</v>
      </c>
      <c r="M266" s="329">
        <f>L266*D266*VPI!Q266</f>
        <v>0</v>
      </c>
    </row>
    <row r="267" spans="1:13" x14ac:dyDescent="0.25">
      <c r="A267" s="172">
        <f>Données!A267</f>
        <v>5882</v>
      </c>
      <c r="B267" s="27" t="str">
        <f>Données!B267</f>
        <v>Chardonne</v>
      </c>
      <c r="C267" s="384">
        <f>VPI!R267</f>
        <v>186940.3105882353</v>
      </c>
      <c r="D267" s="27">
        <f>Données!Z267</f>
        <v>3078</v>
      </c>
      <c r="E267" s="117">
        <f t="shared" si="37"/>
        <v>60.734343920804193</v>
      </c>
      <c r="F267" s="205">
        <f t="shared" si="38"/>
        <v>1.2670718787773945</v>
      </c>
      <c r="G267" s="507">
        <f t="shared" si="39"/>
        <v>12.801511586614012</v>
      </c>
      <c r="H267" s="507">
        <f t="shared" si="40"/>
        <v>3.214945119775976</v>
      </c>
      <c r="I267" s="507">
        <f t="shared" si="41"/>
        <v>0</v>
      </c>
      <c r="J267" s="507">
        <f t="shared" si="42"/>
        <v>0</v>
      </c>
      <c r="K267" s="507">
        <f t="shared" si="43"/>
        <v>0</v>
      </c>
      <c r="L267" s="509">
        <f t="shared" si="44"/>
        <v>2.8817968293004004</v>
      </c>
      <c r="M267" s="329">
        <f>L267*D267*VPI!Q267</f>
        <v>603171.60355989099</v>
      </c>
    </row>
    <row r="268" spans="1:13" x14ac:dyDescent="0.25">
      <c r="A268" s="172">
        <f>Données!A268</f>
        <v>5883</v>
      </c>
      <c r="B268" s="27" t="str">
        <f>Données!B268</f>
        <v>Corseaux</v>
      </c>
      <c r="C268" s="384">
        <f>VPI!R268</f>
        <v>193091.18148148147</v>
      </c>
      <c r="D268" s="27">
        <f>Données!Z268</f>
        <v>2330</v>
      </c>
      <c r="E268" s="117">
        <f t="shared" si="37"/>
        <v>82.871751708790327</v>
      </c>
      <c r="F268" s="205">
        <f t="shared" si="38"/>
        <v>1.7289141424192127</v>
      </c>
      <c r="G268" s="507">
        <f t="shared" si="39"/>
        <v>34.938919374600147</v>
      </c>
      <c r="H268" s="507">
        <f t="shared" si="40"/>
        <v>25.352352907762111</v>
      </c>
      <c r="I268" s="507">
        <f t="shared" si="41"/>
        <v>10.972503207505056</v>
      </c>
      <c r="J268" s="507">
        <f t="shared" si="42"/>
        <v>0</v>
      </c>
      <c r="K268" s="507">
        <f t="shared" si="43"/>
        <v>0</v>
      </c>
      <c r="L268" s="509">
        <f t="shared" si="44"/>
        <v>10.620269486446746</v>
      </c>
      <c r="M268" s="329">
        <f>L268*D268*VPI!Q268</f>
        <v>1670302.8834809121</v>
      </c>
    </row>
    <row r="269" spans="1:13" x14ac:dyDescent="0.25">
      <c r="A269" s="172">
        <f>Données!A269</f>
        <v>5884</v>
      </c>
      <c r="B269" s="27" t="str">
        <f>Données!B269</f>
        <v>Corsier-sur-Vevey</v>
      </c>
      <c r="C269" s="384">
        <f>VPI!R269</f>
        <v>148804.11322997417</v>
      </c>
      <c r="D269" s="27">
        <f>Données!Z269</f>
        <v>3390</v>
      </c>
      <c r="E269" s="117">
        <f t="shared" si="37"/>
        <v>43.895018651909787</v>
      </c>
      <c r="F269" s="205">
        <f t="shared" si="38"/>
        <v>0.91576100377026448</v>
      </c>
      <c r="G269" s="507">
        <f t="shared" si="39"/>
        <v>0</v>
      </c>
      <c r="H269" s="507">
        <f t="shared" si="40"/>
        <v>0</v>
      </c>
      <c r="I269" s="507">
        <f t="shared" si="41"/>
        <v>0</v>
      </c>
      <c r="J269" s="507">
        <f t="shared" si="42"/>
        <v>0</v>
      </c>
      <c r="K269" s="507">
        <f t="shared" si="43"/>
        <v>0</v>
      </c>
      <c r="L269" s="509">
        <f t="shared" si="44"/>
        <v>0</v>
      </c>
      <c r="M269" s="329">
        <f>L269*D269*VPI!Q269</f>
        <v>0</v>
      </c>
    </row>
    <row r="270" spans="1:13" x14ac:dyDescent="0.25">
      <c r="A270" s="172">
        <f>Données!A270</f>
        <v>5885</v>
      </c>
      <c r="B270" s="27" t="str">
        <f>Données!B270</f>
        <v>Jongny</v>
      </c>
      <c r="C270" s="384">
        <f>VPI!R270</f>
        <v>97074.6993764988</v>
      </c>
      <c r="D270" s="27">
        <f>Données!Z270</f>
        <v>1805</v>
      </c>
      <c r="E270" s="117">
        <f t="shared" si="37"/>
        <v>53.780996884486868</v>
      </c>
      <c r="F270" s="205">
        <f t="shared" si="38"/>
        <v>1.1220074897624031</v>
      </c>
      <c r="G270" s="507">
        <f t="shared" si="39"/>
        <v>5.848164550296687</v>
      </c>
      <c r="H270" s="507">
        <f t="shared" si="40"/>
        <v>0</v>
      </c>
      <c r="I270" s="507">
        <f t="shared" si="41"/>
        <v>0</v>
      </c>
      <c r="J270" s="507">
        <f t="shared" si="42"/>
        <v>0</v>
      </c>
      <c r="K270" s="507">
        <f t="shared" si="43"/>
        <v>0</v>
      </c>
      <c r="L270" s="509">
        <f t="shared" si="44"/>
        <v>1.1696329100593374</v>
      </c>
      <c r="M270" s="329">
        <f>L270*D270*VPI!Q270</f>
        <v>146727.52448466874</v>
      </c>
    </row>
    <row r="271" spans="1:13" x14ac:dyDescent="0.25">
      <c r="A271" s="172">
        <f>Données!A271</f>
        <v>5886</v>
      </c>
      <c r="B271" s="27" t="str">
        <f>Données!B271</f>
        <v>Montreux</v>
      </c>
      <c r="C271" s="384">
        <f>VPI!R271</f>
        <v>1173967.402</v>
      </c>
      <c r="D271" s="27">
        <f>Données!Z271</f>
        <v>26012</v>
      </c>
      <c r="E271" s="117">
        <f t="shared" si="37"/>
        <v>45.131762340458252</v>
      </c>
      <c r="F271" s="205">
        <f t="shared" si="38"/>
        <v>0.94156260213870269</v>
      </c>
      <c r="G271" s="507">
        <f t="shared" si="39"/>
        <v>0</v>
      </c>
      <c r="H271" s="507">
        <f t="shared" si="40"/>
        <v>0</v>
      </c>
      <c r="I271" s="507">
        <f t="shared" si="41"/>
        <v>0</v>
      </c>
      <c r="J271" s="507">
        <f t="shared" si="42"/>
        <v>0</v>
      </c>
      <c r="K271" s="507">
        <f t="shared" si="43"/>
        <v>0</v>
      </c>
      <c r="L271" s="509">
        <f t="shared" si="44"/>
        <v>0</v>
      </c>
      <c r="M271" s="329">
        <f>L271*D271*VPI!Q271</f>
        <v>0</v>
      </c>
    </row>
    <row r="272" spans="1:13" x14ac:dyDescent="0.25">
      <c r="A272" s="172">
        <f>Données!A272</f>
        <v>5889</v>
      </c>
      <c r="B272" s="27" t="str">
        <f>Données!B272</f>
        <v>La Tour-de-Peilz</v>
      </c>
      <c r="C272" s="384">
        <f>VPI!R272</f>
        <v>740088.65473958338</v>
      </c>
      <c r="D272" s="27">
        <f>Données!Z272</f>
        <v>12222</v>
      </c>
      <c r="E272" s="117">
        <f t="shared" si="37"/>
        <v>60.553809093403977</v>
      </c>
      <c r="F272" s="205">
        <f t="shared" si="38"/>
        <v>1.2633054660993053</v>
      </c>
      <c r="G272" s="507">
        <f t="shared" si="39"/>
        <v>12.620976759213796</v>
      </c>
      <c r="H272" s="507">
        <f t="shared" si="40"/>
        <v>3.0344102923757603</v>
      </c>
      <c r="I272" s="507">
        <f t="shared" si="41"/>
        <v>0</v>
      </c>
      <c r="J272" s="507">
        <f t="shared" si="42"/>
        <v>0</v>
      </c>
      <c r="K272" s="507">
        <f t="shared" si="43"/>
        <v>0</v>
      </c>
      <c r="L272" s="509">
        <f t="shared" si="44"/>
        <v>2.8276363810803353</v>
      </c>
      <c r="M272" s="329">
        <f>L272*D272*VPI!Q272</f>
        <v>2211799.7983720871</v>
      </c>
    </row>
    <row r="273" spans="1:13" x14ac:dyDescent="0.25">
      <c r="A273" s="172">
        <f>Données!A273</f>
        <v>5890</v>
      </c>
      <c r="B273" s="27" t="str">
        <f>Données!B273</f>
        <v>Vevey</v>
      </c>
      <c r="C273" s="384">
        <f>VPI!R273</f>
        <v>968892.58791946329</v>
      </c>
      <c r="D273" s="27">
        <f>Données!Z273</f>
        <v>19721</v>
      </c>
      <c r="E273" s="117">
        <f t="shared" si="37"/>
        <v>49.129992795469967</v>
      </c>
      <c r="F273" s="205">
        <f t="shared" si="38"/>
        <v>1.0249757922280311</v>
      </c>
      <c r="G273" s="507">
        <f t="shared" si="39"/>
        <v>1.1971604612797861</v>
      </c>
      <c r="H273" s="507">
        <f t="shared" si="40"/>
        <v>0</v>
      </c>
      <c r="I273" s="507">
        <f t="shared" si="41"/>
        <v>0</v>
      </c>
      <c r="J273" s="507">
        <f t="shared" si="42"/>
        <v>0</v>
      </c>
      <c r="K273" s="507">
        <f t="shared" si="43"/>
        <v>0</v>
      </c>
      <c r="L273" s="509">
        <f t="shared" si="44"/>
        <v>0.23943209225595724</v>
      </c>
      <c r="M273" s="329">
        <f>L273*D273*VPI!Q273</f>
        <v>351777.10170779011</v>
      </c>
    </row>
    <row r="274" spans="1:13" x14ac:dyDescent="0.25">
      <c r="A274" s="172">
        <f>Données!A274</f>
        <v>5891</v>
      </c>
      <c r="B274" s="27" t="str">
        <f>Données!B274</f>
        <v>Veytaux</v>
      </c>
      <c r="C274" s="384">
        <f>VPI!R274</f>
        <v>39118.814388489205</v>
      </c>
      <c r="D274" s="27">
        <f>Données!Z274</f>
        <v>952</v>
      </c>
      <c r="E274" s="117">
        <f t="shared" si="37"/>
        <v>41.091191584547481</v>
      </c>
      <c r="F274" s="205">
        <f t="shared" si="38"/>
        <v>0.8572660863864161</v>
      </c>
      <c r="G274" s="507">
        <f t="shared" si="39"/>
        <v>0</v>
      </c>
      <c r="H274" s="507">
        <f t="shared" si="40"/>
        <v>0</v>
      </c>
      <c r="I274" s="507">
        <f t="shared" si="41"/>
        <v>0</v>
      </c>
      <c r="J274" s="507">
        <f t="shared" si="42"/>
        <v>0</v>
      </c>
      <c r="K274" s="507">
        <f t="shared" si="43"/>
        <v>0</v>
      </c>
      <c r="L274" s="509">
        <f t="shared" si="44"/>
        <v>0</v>
      </c>
      <c r="M274" s="329">
        <f>L274*D274*VPI!Q274</f>
        <v>0</v>
      </c>
    </row>
    <row r="275" spans="1:13" x14ac:dyDescent="0.25">
      <c r="A275" s="172">
        <f>Données!A275</f>
        <v>5892</v>
      </c>
      <c r="B275" s="27" t="str">
        <f>Données!B275</f>
        <v>Blonay-St-Légier</v>
      </c>
      <c r="C275" s="384">
        <f>VPI!R275</f>
        <v>705287.87938951538</v>
      </c>
      <c r="D275" s="27">
        <f>Données!Z275</f>
        <v>11925</v>
      </c>
      <c r="E275" s="117">
        <f t="shared" si="37"/>
        <v>59.143637684655374</v>
      </c>
      <c r="F275" s="205">
        <f t="shared" si="38"/>
        <v>1.2338857272673327</v>
      </c>
      <c r="G275" s="507">
        <f t="shared" si="39"/>
        <v>11.210805350465193</v>
      </c>
      <c r="H275" s="507">
        <f t="shared" si="40"/>
        <v>1.6242388836271573</v>
      </c>
      <c r="I275" s="507">
        <f t="shared" si="41"/>
        <v>0</v>
      </c>
      <c r="J275" s="507">
        <f t="shared" si="42"/>
        <v>0</v>
      </c>
      <c r="K275" s="507">
        <f t="shared" si="43"/>
        <v>0</v>
      </c>
      <c r="L275" s="509">
        <f t="shared" si="44"/>
        <v>2.4045849584557546</v>
      </c>
      <c r="M275" s="329">
        <f>L275*D275*VPI!Q275</f>
        <v>1964215.2806265638</v>
      </c>
    </row>
    <row r="276" spans="1:13" x14ac:dyDescent="0.25">
      <c r="A276" s="172">
        <f>Données!A276</f>
        <v>5902</v>
      </c>
      <c r="B276" s="27" t="str">
        <f>Données!B276</f>
        <v>Belmont-sur-Yverdon</v>
      </c>
      <c r="C276" s="384">
        <f>VPI!R276</f>
        <v>12109.044285714286</v>
      </c>
      <c r="D276" s="27">
        <f>Données!Z276</f>
        <v>415</v>
      </c>
      <c r="E276" s="117">
        <f t="shared" si="37"/>
        <v>29.178419965576595</v>
      </c>
      <c r="F276" s="205">
        <f t="shared" si="38"/>
        <v>0.60873556901756076</v>
      </c>
      <c r="G276" s="507">
        <f t="shared" si="39"/>
        <v>0</v>
      </c>
      <c r="H276" s="507">
        <f t="shared" si="40"/>
        <v>0</v>
      </c>
      <c r="I276" s="507">
        <f t="shared" si="41"/>
        <v>0</v>
      </c>
      <c r="J276" s="507">
        <f t="shared" si="42"/>
        <v>0</v>
      </c>
      <c r="K276" s="507">
        <f t="shared" si="43"/>
        <v>0</v>
      </c>
      <c r="L276" s="509">
        <f t="shared" si="44"/>
        <v>0</v>
      </c>
      <c r="M276" s="329">
        <f>L276*D276*VPI!Q276</f>
        <v>0</v>
      </c>
    </row>
    <row r="277" spans="1:13" x14ac:dyDescent="0.25">
      <c r="A277" s="172">
        <f>Données!A277</f>
        <v>5903</v>
      </c>
      <c r="B277" s="27" t="str">
        <f>Données!B277</f>
        <v>Bioley-Magnoux</v>
      </c>
      <c r="C277" s="384">
        <f>VPI!R277</f>
        <v>6062.5298015873022</v>
      </c>
      <c r="D277" s="27">
        <f>Données!Z277</f>
        <v>234</v>
      </c>
      <c r="E277" s="117">
        <f t="shared" si="37"/>
        <v>25.908247015330353</v>
      </c>
      <c r="F277" s="205">
        <f t="shared" si="38"/>
        <v>0.54051149814592048</v>
      </c>
      <c r="G277" s="507">
        <f t="shared" si="39"/>
        <v>0</v>
      </c>
      <c r="H277" s="507">
        <f t="shared" si="40"/>
        <v>0</v>
      </c>
      <c r="I277" s="507">
        <f t="shared" si="41"/>
        <v>0</v>
      </c>
      <c r="J277" s="507">
        <f t="shared" si="42"/>
        <v>0</v>
      </c>
      <c r="K277" s="507">
        <f t="shared" si="43"/>
        <v>0</v>
      </c>
      <c r="L277" s="509">
        <f t="shared" si="44"/>
        <v>0</v>
      </c>
      <c r="M277" s="329">
        <f>L277*D277*VPI!Q277</f>
        <v>0</v>
      </c>
    </row>
    <row r="278" spans="1:13" x14ac:dyDescent="0.25">
      <c r="A278" s="172">
        <f>Données!A278</f>
        <v>5904</v>
      </c>
      <c r="B278" s="27" t="str">
        <f>Données!B278</f>
        <v>Chamblon</v>
      </c>
      <c r="C278" s="384">
        <f>VPI!R278</f>
        <v>22177.284545454542</v>
      </c>
      <c r="D278" s="27">
        <f>Données!Z278</f>
        <v>561</v>
      </c>
      <c r="E278" s="117">
        <f t="shared" si="37"/>
        <v>39.531701507049092</v>
      </c>
      <c r="F278" s="205">
        <f t="shared" si="38"/>
        <v>0.82473118282333135</v>
      </c>
      <c r="G278" s="507">
        <f t="shared" si="39"/>
        <v>0</v>
      </c>
      <c r="H278" s="507">
        <f t="shared" si="40"/>
        <v>0</v>
      </c>
      <c r="I278" s="507">
        <f t="shared" si="41"/>
        <v>0</v>
      </c>
      <c r="J278" s="507">
        <f t="shared" si="42"/>
        <v>0</v>
      </c>
      <c r="K278" s="507">
        <f t="shared" si="43"/>
        <v>0</v>
      </c>
      <c r="L278" s="509">
        <f t="shared" si="44"/>
        <v>0</v>
      </c>
      <c r="M278" s="329">
        <f>L278*D278*VPI!Q278</f>
        <v>0</v>
      </c>
    </row>
    <row r="279" spans="1:13" x14ac:dyDescent="0.25">
      <c r="A279" s="172">
        <f>Données!A279</f>
        <v>5905</v>
      </c>
      <c r="B279" s="27" t="str">
        <f>Données!B279</f>
        <v>Champvent</v>
      </c>
      <c r="C279" s="384">
        <f>VPI!R279</f>
        <v>23290.369714285716</v>
      </c>
      <c r="D279" s="27">
        <f>Données!Z279</f>
        <v>712</v>
      </c>
      <c r="E279" s="117">
        <f t="shared" si="37"/>
        <v>32.71119341894061</v>
      </c>
      <c r="F279" s="205">
        <f t="shared" si="38"/>
        <v>0.68243814992772556</v>
      </c>
      <c r="G279" s="507">
        <f t="shared" si="39"/>
        <v>0</v>
      </c>
      <c r="H279" s="507">
        <f t="shared" si="40"/>
        <v>0</v>
      </c>
      <c r="I279" s="507">
        <f t="shared" si="41"/>
        <v>0</v>
      </c>
      <c r="J279" s="507">
        <f t="shared" si="42"/>
        <v>0</v>
      </c>
      <c r="K279" s="507">
        <f t="shared" si="43"/>
        <v>0</v>
      </c>
      <c r="L279" s="509">
        <f t="shared" si="44"/>
        <v>0</v>
      </c>
      <c r="M279" s="329">
        <f>L279*D279*VPI!Q279</f>
        <v>0</v>
      </c>
    </row>
    <row r="280" spans="1:13" x14ac:dyDescent="0.25">
      <c r="A280" s="172">
        <f>Données!A280</f>
        <v>5907</v>
      </c>
      <c r="B280" s="27" t="str">
        <f>Données!B280</f>
        <v>Chavannes-le-Chêne</v>
      </c>
      <c r="C280" s="384">
        <f>VPI!R280</f>
        <v>7818.3101333333334</v>
      </c>
      <c r="D280" s="27">
        <f>Données!Z280</f>
        <v>325</v>
      </c>
      <c r="E280" s="117">
        <f t="shared" si="37"/>
        <v>24.056338871794871</v>
      </c>
      <c r="F280" s="205">
        <f t="shared" si="38"/>
        <v>0.50187601483828115</v>
      </c>
      <c r="G280" s="507">
        <f t="shared" si="39"/>
        <v>0</v>
      </c>
      <c r="H280" s="507">
        <f t="shared" si="40"/>
        <v>0</v>
      </c>
      <c r="I280" s="507">
        <f t="shared" si="41"/>
        <v>0</v>
      </c>
      <c r="J280" s="507">
        <f t="shared" si="42"/>
        <v>0</v>
      </c>
      <c r="K280" s="507">
        <f t="shared" si="43"/>
        <v>0</v>
      </c>
      <c r="L280" s="509">
        <f t="shared" si="44"/>
        <v>0</v>
      </c>
      <c r="M280" s="329">
        <f>L280*D280*VPI!Q280</f>
        <v>0</v>
      </c>
    </row>
    <row r="281" spans="1:13" x14ac:dyDescent="0.25">
      <c r="A281" s="172">
        <f>Données!A281</f>
        <v>5908</v>
      </c>
      <c r="B281" s="27" t="str">
        <f>Données!B281</f>
        <v>Chêne-Pâquier</v>
      </c>
      <c r="C281" s="384">
        <f>VPI!R281</f>
        <v>4413.4270886075947</v>
      </c>
      <c r="D281" s="27">
        <f>Données!Z281</f>
        <v>153</v>
      </c>
      <c r="E281" s="117">
        <f t="shared" si="37"/>
        <v>28.845928683709769</v>
      </c>
      <c r="F281" s="205">
        <f t="shared" si="38"/>
        <v>0.6017989607331039</v>
      </c>
      <c r="G281" s="507">
        <f t="shared" si="39"/>
        <v>0</v>
      </c>
      <c r="H281" s="507">
        <f t="shared" si="40"/>
        <v>0</v>
      </c>
      <c r="I281" s="507">
        <f t="shared" si="41"/>
        <v>0</v>
      </c>
      <c r="J281" s="507">
        <f t="shared" si="42"/>
        <v>0</v>
      </c>
      <c r="K281" s="507">
        <f t="shared" si="43"/>
        <v>0</v>
      </c>
      <c r="L281" s="509">
        <f t="shared" si="44"/>
        <v>0</v>
      </c>
      <c r="M281" s="329">
        <f>L281*D281*VPI!Q281</f>
        <v>0</v>
      </c>
    </row>
    <row r="282" spans="1:13" x14ac:dyDescent="0.25">
      <c r="A282" s="172">
        <f>Données!A282</f>
        <v>5909</v>
      </c>
      <c r="B282" s="27" t="str">
        <f>Données!B282</f>
        <v>Cheseaux-Noréaz</v>
      </c>
      <c r="C282" s="384">
        <f>VPI!R282</f>
        <v>36912.898208955223</v>
      </c>
      <c r="D282" s="27">
        <f>Données!Z282</f>
        <v>728</v>
      </c>
      <c r="E282" s="117">
        <f t="shared" si="37"/>
        <v>50.704530506806627</v>
      </c>
      <c r="F282" s="205">
        <f t="shared" si="38"/>
        <v>1.0578246274556034</v>
      </c>
      <c r="G282" s="507">
        <f t="shared" si="39"/>
        <v>2.7716981726164462</v>
      </c>
      <c r="H282" s="507">
        <f t="shared" si="40"/>
        <v>0</v>
      </c>
      <c r="I282" s="507">
        <f t="shared" si="41"/>
        <v>0</v>
      </c>
      <c r="J282" s="507">
        <f t="shared" si="42"/>
        <v>0</v>
      </c>
      <c r="K282" s="507">
        <f t="shared" si="43"/>
        <v>0</v>
      </c>
      <c r="L282" s="509">
        <f t="shared" si="44"/>
        <v>0.55433963452328927</v>
      </c>
      <c r="M282" s="329">
        <f>L282*D282*VPI!Q282</f>
        <v>27038.470013507955</v>
      </c>
    </row>
    <row r="283" spans="1:13" x14ac:dyDescent="0.25">
      <c r="A283" s="172">
        <f>Données!A283</f>
        <v>5910</v>
      </c>
      <c r="B283" s="27" t="str">
        <f>Données!B283</f>
        <v>Cronay</v>
      </c>
      <c r="C283" s="384">
        <f>VPI!R283</f>
        <v>10599.974415584415</v>
      </c>
      <c r="D283" s="27">
        <f>Données!Z283</f>
        <v>403</v>
      </c>
      <c r="E283" s="117">
        <f t="shared" si="37"/>
        <v>26.302666043633781</v>
      </c>
      <c r="F283" s="205">
        <f t="shared" si="38"/>
        <v>0.54874007570114436</v>
      </c>
      <c r="G283" s="507">
        <f t="shared" si="39"/>
        <v>0</v>
      </c>
      <c r="H283" s="507">
        <f t="shared" si="40"/>
        <v>0</v>
      </c>
      <c r="I283" s="507">
        <f t="shared" si="41"/>
        <v>0</v>
      </c>
      <c r="J283" s="507">
        <f t="shared" si="42"/>
        <v>0</v>
      </c>
      <c r="K283" s="507">
        <f t="shared" si="43"/>
        <v>0</v>
      </c>
      <c r="L283" s="509">
        <f t="shared" si="44"/>
        <v>0</v>
      </c>
      <c r="M283" s="329">
        <f>L283*D283*VPI!Q283</f>
        <v>0</v>
      </c>
    </row>
    <row r="284" spans="1:13" x14ac:dyDescent="0.25">
      <c r="A284" s="172">
        <f>Données!A284</f>
        <v>5911</v>
      </c>
      <c r="B284" s="27" t="str">
        <f>Données!B284</f>
        <v>Cuarny</v>
      </c>
      <c r="C284" s="384">
        <f>VPI!R284</f>
        <v>7503.6479220779238</v>
      </c>
      <c r="D284" s="27">
        <f>Données!Z284</f>
        <v>245</v>
      </c>
      <c r="E284" s="117">
        <f t="shared" si="37"/>
        <v>30.627134375828259</v>
      </c>
      <c r="F284" s="205">
        <f t="shared" si="38"/>
        <v>0.63895941225200914</v>
      </c>
      <c r="G284" s="507">
        <f t="shared" si="39"/>
        <v>0</v>
      </c>
      <c r="H284" s="507">
        <f t="shared" si="40"/>
        <v>0</v>
      </c>
      <c r="I284" s="507">
        <f t="shared" si="41"/>
        <v>0</v>
      </c>
      <c r="J284" s="507">
        <f t="shared" si="42"/>
        <v>0</v>
      </c>
      <c r="K284" s="507">
        <f t="shared" si="43"/>
        <v>0</v>
      </c>
      <c r="L284" s="509">
        <f t="shared" si="44"/>
        <v>0</v>
      </c>
      <c r="M284" s="329">
        <f>L284*D284*VPI!Q284</f>
        <v>0</v>
      </c>
    </row>
    <row r="285" spans="1:13" x14ac:dyDescent="0.25">
      <c r="A285" s="172">
        <f>Données!A285</f>
        <v>5912</v>
      </c>
      <c r="B285" s="27" t="str">
        <f>Données!B285</f>
        <v>Démoret</v>
      </c>
      <c r="C285" s="384">
        <f>VPI!R285</f>
        <v>4722.3875308641973</v>
      </c>
      <c r="D285" s="27">
        <f>Données!Z285</f>
        <v>164</v>
      </c>
      <c r="E285" s="117">
        <f t="shared" si="37"/>
        <v>28.795045919903643</v>
      </c>
      <c r="F285" s="205">
        <f t="shared" si="38"/>
        <v>0.60073741770866151</v>
      </c>
      <c r="G285" s="507">
        <f t="shared" si="39"/>
        <v>0</v>
      </c>
      <c r="H285" s="507">
        <f t="shared" si="40"/>
        <v>0</v>
      </c>
      <c r="I285" s="507">
        <f t="shared" si="41"/>
        <v>0</v>
      </c>
      <c r="J285" s="507">
        <f t="shared" si="42"/>
        <v>0</v>
      </c>
      <c r="K285" s="507">
        <f t="shared" si="43"/>
        <v>0</v>
      </c>
      <c r="L285" s="509">
        <f t="shared" si="44"/>
        <v>0</v>
      </c>
      <c r="M285" s="329">
        <f>L285*D285*VPI!Q285</f>
        <v>0</v>
      </c>
    </row>
    <row r="286" spans="1:13" x14ac:dyDescent="0.25">
      <c r="A286" s="172">
        <f>Données!A286</f>
        <v>5913</v>
      </c>
      <c r="B286" s="27" t="str">
        <f>Données!B286</f>
        <v>Donneloye</v>
      </c>
      <c r="C286" s="384">
        <f>VPI!R286</f>
        <v>23893.15821917808</v>
      </c>
      <c r="D286" s="27">
        <f>Données!Z286</f>
        <v>891</v>
      </c>
      <c r="E286" s="117">
        <f t="shared" si="37"/>
        <v>26.816114724105589</v>
      </c>
      <c r="F286" s="205">
        <f t="shared" si="38"/>
        <v>0.55945191256678206</v>
      </c>
      <c r="G286" s="507">
        <f t="shared" si="39"/>
        <v>0</v>
      </c>
      <c r="H286" s="507">
        <f t="shared" si="40"/>
        <v>0</v>
      </c>
      <c r="I286" s="507">
        <f t="shared" si="41"/>
        <v>0</v>
      </c>
      <c r="J286" s="507">
        <f t="shared" si="42"/>
        <v>0</v>
      </c>
      <c r="K286" s="507">
        <f t="shared" si="43"/>
        <v>0</v>
      </c>
      <c r="L286" s="509">
        <f t="shared" si="44"/>
        <v>0</v>
      </c>
      <c r="M286" s="329">
        <f>L286*D286*VPI!Q286</f>
        <v>0</v>
      </c>
    </row>
    <row r="287" spans="1:13" x14ac:dyDescent="0.25">
      <c r="A287" s="172">
        <f>Données!A287</f>
        <v>5914</v>
      </c>
      <c r="B287" s="27" t="str">
        <f>Données!B287</f>
        <v>Ependes</v>
      </c>
      <c r="C287" s="384">
        <f>VPI!R287</f>
        <v>9828.5374149659856</v>
      </c>
      <c r="D287" s="27">
        <f>Données!Z287</f>
        <v>381</v>
      </c>
      <c r="E287" s="117">
        <f t="shared" si="37"/>
        <v>25.796686128519646</v>
      </c>
      <c r="F287" s="205">
        <f t="shared" si="38"/>
        <v>0.53818405615307308</v>
      </c>
      <c r="G287" s="507">
        <f t="shared" si="39"/>
        <v>0</v>
      </c>
      <c r="H287" s="507">
        <f t="shared" si="40"/>
        <v>0</v>
      </c>
      <c r="I287" s="507">
        <f t="shared" si="41"/>
        <v>0</v>
      </c>
      <c r="J287" s="507">
        <f t="shared" si="42"/>
        <v>0</v>
      </c>
      <c r="K287" s="507">
        <f t="shared" si="43"/>
        <v>0</v>
      </c>
      <c r="L287" s="509">
        <f t="shared" si="44"/>
        <v>0</v>
      </c>
      <c r="M287" s="329">
        <f>L287*D287*VPI!Q287</f>
        <v>0</v>
      </c>
    </row>
    <row r="288" spans="1:13" x14ac:dyDescent="0.25">
      <c r="A288" s="172">
        <f>Données!A288</f>
        <v>5919</v>
      </c>
      <c r="B288" s="27" t="str">
        <f>Données!B288</f>
        <v>Mathod</v>
      </c>
      <c r="C288" s="384">
        <f>VPI!R288</f>
        <v>18684.230416666669</v>
      </c>
      <c r="D288" s="27">
        <f>Données!Z288</f>
        <v>655</v>
      </c>
      <c r="E288" s="117">
        <f t="shared" si="37"/>
        <v>28.525542620865142</v>
      </c>
      <c r="F288" s="205">
        <f t="shared" si="38"/>
        <v>0.59511489790512662</v>
      </c>
      <c r="G288" s="507">
        <f t="shared" si="39"/>
        <v>0</v>
      </c>
      <c r="H288" s="507">
        <f t="shared" si="40"/>
        <v>0</v>
      </c>
      <c r="I288" s="507">
        <f t="shared" si="41"/>
        <v>0</v>
      </c>
      <c r="J288" s="507">
        <f t="shared" si="42"/>
        <v>0</v>
      </c>
      <c r="K288" s="507">
        <f t="shared" si="43"/>
        <v>0</v>
      </c>
      <c r="L288" s="509">
        <f t="shared" si="44"/>
        <v>0</v>
      </c>
      <c r="M288" s="329">
        <f>L288*D288*VPI!Q288</f>
        <v>0</v>
      </c>
    </row>
    <row r="289" spans="1:18" s="219" customFormat="1" x14ac:dyDescent="0.25">
      <c r="A289" s="172">
        <f>Données!A289</f>
        <v>5921</v>
      </c>
      <c r="B289" s="27" t="str">
        <f>Données!B289</f>
        <v>Molondin</v>
      </c>
      <c r="C289" s="384">
        <f>VPI!R289</f>
        <v>5874.5211111111121</v>
      </c>
      <c r="D289" s="27">
        <f>Données!Z289</f>
        <v>239</v>
      </c>
      <c r="E289" s="117">
        <f t="shared" si="37"/>
        <v>24.57958623895863</v>
      </c>
      <c r="F289" s="205">
        <f t="shared" si="38"/>
        <v>0.51279227706780373</v>
      </c>
      <c r="G289" s="507">
        <f t="shared" si="39"/>
        <v>0</v>
      </c>
      <c r="H289" s="507">
        <f t="shared" si="40"/>
        <v>0</v>
      </c>
      <c r="I289" s="507">
        <f t="shared" si="41"/>
        <v>0</v>
      </c>
      <c r="J289" s="507">
        <f t="shared" si="42"/>
        <v>0</v>
      </c>
      <c r="K289" s="507">
        <f t="shared" si="43"/>
        <v>0</v>
      </c>
      <c r="L289" s="509">
        <f t="shared" si="44"/>
        <v>0</v>
      </c>
      <c r="M289" s="329">
        <f>L289*D289*VPI!Q289</f>
        <v>0</v>
      </c>
      <c r="N289" s="239"/>
      <c r="O289" s="239"/>
      <c r="P289" s="239"/>
      <c r="Q289" s="239"/>
      <c r="R289" s="239"/>
    </row>
    <row r="290" spans="1:18" s="219" customFormat="1" x14ac:dyDescent="0.25">
      <c r="A290" s="172">
        <f>Données!A290</f>
        <v>5922</v>
      </c>
      <c r="B290" s="27" t="str">
        <f>Données!B290</f>
        <v>Montagny-près-Yverdon</v>
      </c>
      <c r="C290" s="384">
        <f>VPI!R290</f>
        <v>39591.156899224814</v>
      </c>
      <c r="D290" s="27">
        <f>Données!Z290</f>
        <v>775</v>
      </c>
      <c r="E290" s="117">
        <f t="shared" si="37"/>
        <v>51.085363740935243</v>
      </c>
      <c r="F290" s="205">
        <f t="shared" si="38"/>
        <v>1.0657697710155212</v>
      </c>
      <c r="G290" s="507">
        <f t="shared" si="39"/>
        <v>3.1525314067450623</v>
      </c>
      <c r="H290" s="507">
        <f t="shared" si="40"/>
        <v>0</v>
      </c>
      <c r="I290" s="507">
        <f t="shared" si="41"/>
        <v>0</v>
      </c>
      <c r="J290" s="507">
        <f t="shared" si="42"/>
        <v>0</v>
      </c>
      <c r="K290" s="507">
        <f t="shared" si="43"/>
        <v>0</v>
      </c>
      <c r="L290" s="509">
        <f t="shared" si="44"/>
        <v>0.63050628134901254</v>
      </c>
      <c r="M290" s="329">
        <f>L290*D290*VPI!Q290</f>
        <v>31517.432738933763</v>
      </c>
      <c r="N290" s="239"/>
      <c r="O290" s="239"/>
      <c r="P290" s="239"/>
      <c r="Q290" s="239"/>
      <c r="R290" s="239"/>
    </row>
    <row r="291" spans="1:18" s="219" customFormat="1" x14ac:dyDescent="0.25">
      <c r="A291" s="172">
        <f>Données!A291</f>
        <v>5923</v>
      </c>
      <c r="B291" s="27" t="str">
        <f>Données!B291</f>
        <v>Oppens</v>
      </c>
      <c r="C291" s="384">
        <f>VPI!R291</f>
        <v>5096.0285185185185</v>
      </c>
      <c r="D291" s="27">
        <f>Données!Z291</f>
        <v>201</v>
      </c>
      <c r="E291" s="117">
        <f t="shared" si="37"/>
        <v>25.35337571402248</v>
      </c>
      <c r="F291" s="205">
        <f t="shared" si="38"/>
        <v>0.52893548074224861</v>
      </c>
      <c r="G291" s="507">
        <f t="shared" si="39"/>
        <v>0</v>
      </c>
      <c r="H291" s="507">
        <f t="shared" si="40"/>
        <v>0</v>
      </c>
      <c r="I291" s="507">
        <f t="shared" si="41"/>
        <v>0</v>
      </c>
      <c r="J291" s="507">
        <f t="shared" si="42"/>
        <v>0</v>
      </c>
      <c r="K291" s="507">
        <f t="shared" si="43"/>
        <v>0</v>
      </c>
      <c r="L291" s="509">
        <f t="shared" si="44"/>
        <v>0</v>
      </c>
      <c r="M291" s="329">
        <f>L291*D291*VPI!Q291</f>
        <v>0</v>
      </c>
      <c r="N291" s="239"/>
      <c r="O291" s="239"/>
      <c r="P291" s="239"/>
      <c r="Q291" s="239"/>
      <c r="R291" s="239"/>
    </row>
    <row r="292" spans="1:18" s="219" customFormat="1" x14ac:dyDescent="0.25">
      <c r="A292" s="172">
        <f>Données!A292</f>
        <v>5924</v>
      </c>
      <c r="B292" s="27" t="str">
        <f>Données!B292</f>
        <v>Orges</v>
      </c>
      <c r="C292" s="384">
        <f>VPI!R292</f>
        <v>13109.277432432435</v>
      </c>
      <c r="D292" s="27">
        <f>Données!Z292</f>
        <v>367</v>
      </c>
      <c r="E292" s="117">
        <f t="shared" si="37"/>
        <v>35.720101995728704</v>
      </c>
      <c r="F292" s="205">
        <f t="shared" si="38"/>
        <v>0.74521158580169666</v>
      </c>
      <c r="G292" s="507">
        <f t="shared" si="39"/>
        <v>0</v>
      </c>
      <c r="H292" s="507">
        <f t="shared" si="40"/>
        <v>0</v>
      </c>
      <c r="I292" s="507">
        <f t="shared" si="41"/>
        <v>0</v>
      </c>
      <c r="J292" s="507">
        <f t="shared" si="42"/>
        <v>0</v>
      </c>
      <c r="K292" s="507">
        <f t="shared" si="43"/>
        <v>0</v>
      </c>
      <c r="L292" s="509">
        <f t="shared" si="44"/>
        <v>0</v>
      </c>
      <c r="M292" s="329">
        <f>L292*D292*VPI!Q292</f>
        <v>0</v>
      </c>
      <c r="N292" s="239"/>
      <c r="O292" s="239"/>
      <c r="P292" s="239"/>
      <c r="Q292" s="239"/>
      <c r="R292" s="239"/>
    </row>
    <row r="293" spans="1:18" s="219" customFormat="1" x14ac:dyDescent="0.25">
      <c r="A293" s="172">
        <f>Données!A293</f>
        <v>5925</v>
      </c>
      <c r="B293" s="27" t="str">
        <f>Données!B293</f>
        <v>Orzens</v>
      </c>
      <c r="C293" s="384">
        <f>VPI!R293</f>
        <v>5230.3916455696199</v>
      </c>
      <c r="D293" s="27">
        <f>Données!Z293</f>
        <v>202</v>
      </c>
      <c r="E293" s="117">
        <f t="shared" si="37"/>
        <v>25.893027948364455</v>
      </c>
      <c r="F293" s="205">
        <f t="shared" si="38"/>
        <v>0.54019398995321055</v>
      </c>
      <c r="G293" s="507">
        <f t="shared" si="39"/>
        <v>0</v>
      </c>
      <c r="H293" s="507">
        <f t="shared" si="40"/>
        <v>0</v>
      </c>
      <c r="I293" s="507">
        <f t="shared" si="41"/>
        <v>0</v>
      </c>
      <c r="J293" s="507">
        <f t="shared" si="42"/>
        <v>0</v>
      </c>
      <c r="K293" s="507">
        <f t="shared" si="43"/>
        <v>0</v>
      </c>
      <c r="L293" s="509">
        <f t="shared" si="44"/>
        <v>0</v>
      </c>
      <c r="M293" s="329">
        <f>L293*D293*VPI!Q293</f>
        <v>0</v>
      </c>
      <c r="N293" s="239"/>
      <c r="O293" s="239"/>
      <c r="P293" s="239"/>
      <c r="Q293" s="239"/>
      <c r="R293" s="239"/>
    </row>
    <row r="294" spans="1:18" s="219" customFormat="1" x14ac:dyDescent="0.25">
      <c r="A294" s="172">
        <f>Données!A294</f>
        <v>5926</v>
      </c>
      <c r="B294" s="27" t="str">
        <f>Données!B294</f>
        <v>Pomy</v>
      </c>
      <c r="C294" s="384">
        <f>VPI!R294</f>
        <v>27874.142394366198</v>
      </c>
      <c r="D294" s="27">
        <f>Données!Z294</f>
        <v>838</v>
      </c>
      <c r="E294" s="117">
        <f t="shared" si="37"/>
        <v>33.2626997546136</v>
      </c>
      <c r="F294" s="205">
        <f t="shared" si="38"/>
        <v>0.69394396564560046</v>
      </c>
      <c r="G294" s="507">
        <f t="shared" si="39"/>
        <v>0</v>
      </c>
      <c r="H294" s="507">
        <f t="shared" si="40"/>
        <v>0</v>
      </c>
      <c r="I294" s="507">
        <f t="shared" si="41"/>
        <v>0</v>
      </c>
      <c r="J294" s="507">
        <f t="shared" si="42"/>
        <v>0</v>
      </c>
      <c r="K294" s="507">
        <f t="shared" si="43"/>
        <v>0</v>
      </c>
      <c r="L294" s="509">
        <f t="shared" si="44"/>
        <v>0</v>
      </c>
      <c r="M294" s="329">
        <f>L294*D294*VPI!Q294</f>
        <v>0</v>
      </c>
      <c r="N294" s="239"/>
      <c r="O294" s="239"/>
      <c r="P294" s="239"/>
      <c r="Q294" s="239"/>
      <c r="R294" s="239"/>
    </row>
    <row r="295" spans="1:18" s="219" customFormat="1" x14ac:dyDescent="0.25">
      <c r="A295" s="172">
        <f>Données!A295</f>
        <v>5928</v>
      </c>
      <c r="B295" s="27" t="str">
        <f>Données!B295</f>
        <v>Rovray</v>
      </c>
      <c r="C295" s="384">
        <f>VPI!R295</f>
        <v>5459.4458741258732</v>
      </c>
      <c r="D295" s="27">
        <f>Données!Z295</f>
        <v>206</v>
      </c>
      <c r="E295" s="117">
        <f t="shared" si="37"/>
        <v>26.502164437504238</v>
      </c>
      <c r="F295" s="205">
        <f t="shared" si="38"/>
        <v>0.55290211629327013</v>
      </c>
      <c r="G295" s="507">
        <f t="shared" si="39"/>
        <v>0</v>
      </c>
      <c r="H295" s="507">
        <f t="shared" si="40"/>
        <v>0</v>
      </c>
      <c r="I295" s="507">
        <f t="shared" si="41"/>
        <v>0</v>
      </c>
      <c r="J295" s="507">
        <f t="shared" si="42"/>
        <v>0</v>
      </c>
      <c r="K295" s="507">
        <f t="shared" si="43"/>
        <v>0</v>
      </c>
      <c r="L295" s="509">
        <f t="shared" si="44"/>
        <v>0</v>
      </c>
      <c r="M295" s="329">
        <f>L295*D295*VPI!Q295</f>
        <v>0</v>
      </c>
      <c r="N295" s="239"/>
      <c r="O295" s="239"/>
      <c r="P295" s="239"/>
      <c r="Q295" s="239"/>
      <c r="R295" s="239"/>
    </row>
    <row r="296" spans="1:18" s="219" customFormat="1" x14ac:dyDescent="0.25">
      <c r="A296" s="172">
        <f>Données!A296</f>
        <v>5929</v>
      </c>
      <c r="B296" s="27" t="str">
        <f>Données!B296</f>
        <v>Suchy</v>
      </c>
      <c r="C296" s="384">
        <f>VPI!R296</f>
        <v>20264.63825</v>
      </c>
      <c r="D296" s="27">
        <f>Données!Z296</f>
        <v>656</v>
      </c>
      <c r="E296" s="117">
        <f t="shared" si="37"/>
        <v>30.891216844512194</v>
      </c>
      <c r="F296" s="205">
        <f t="shared" si="38"/>
        <v>0.64446883983689995</v>
      </c>
      <c r="G296" s="507">
        <f t="shared" si="39"/>
        <v>0</v>
      </c>
      <c r="H296" s="507">
        <f t="shared" si="40"/>
        <v>0</v>
      </c>
      <c r="I296" s="507">
        <f t="shared" si="41"/>
        <v>0</v>
      </c>
      <c r="J296" s="507">
        <f t="shared" si="42"/>
        <v>0</v>
      </c>
      <c r="K296" s="507">
        <f t="shared" si="43"/>
        <v>0</v>
      </c>
      <c r="L296" s="509">
        <f t="shared" si="44"/>
        <v>0</v>
      </c>
      <c r="M296" s="329">
        <f>L296*D296*VPI!Q296</f>
        <v>0</v>
      </c>
      <c r="N296" s="239"/>
      <c r="O296" s="239"/>
      <c r="P296" s="239"/>
      <c r="Q296" s="239"/>
      <c r="R296" s="239"/>
    </row>
    <row r="297" spans="1:18" x14ac:dyDescent="0.25">
      <c r="A297" s="172">
        <f>Données!A297</f>
        <v>5930</v>
      </c>
      <c r="B297" s="27" t="str">
        <f>Données!B297</f>
        <v>Suscévaz</v>
      </c>
      <c r="C297" s="384">
        <f>VPI!R297</f>
        <v>6661.7480555555558</v>
      </c>
      <c r="D297" s="27">
        <f>Données!Z297</f>
        <v>215</v>
      </c>
      <c r="E297" s="117">
        <f t="shared" si="37"/>
        <v>30.984874677002583</v>
      </c>
      <c r="F297" s="205">
        <f t="shared" si="38"/>
        <v>0.64642277887887867</v>
      </c>
      <c r="G297" s="507">
        <f t="shared" si="39"/>
        <v>0</v>
      </c>
      <c r="H297" s="507">
        <f t="shared" si="40"/>
        <v>0</v>
      </c>
      <c r="I297" s="507">
        <f t="shared" si="41"/>
        <v>0</v>
      </c>
      <c r="J297" s="507">
        <f t="shared" si="42"/>
        <v>0</v>
      </c>
      <c r="K297" s="507">
        <f t="shared" si="43"/>
        <v>0</v>
      </c>
      <c r="L297" s="509">
        <f t="shared" si="44"/>
        <v>0</v>
      </c>
      <c r="M297" s="329">
        <f>L297*D297*VPI!Q297</f>
        <v>0</v>
      </c>
    </row>
    <row r="298" spans="1:18" x14ac:dyDescent="0.25">
      <c r="A298" s="172">
        <f>Données!A298</f>
        <v>5931</v>
      </c>
      <c r="B298" s="27" t="str">
        <f>Données!B298</f>
        <v>Treycovagnes</v>
      </c>
      <c r="C298" s="384">
        <f>VPI!R298</f>
        <v>15269.573333333334</v>
      </c>
      <c r="D298" s="27">
        <f>Données!Z298</f>
        <v>490</v>
      </c>
      <c r="E298" s="117">
        <f t="shared" si="37"/>
        <v>31.162394557823131</v>
      </c>
      <c r="F298" s="205">
        <f t="shared" si="38"/>
        <v>0.65012629215309681</v>
      </c>
      <c r="G298" s="507">
        <f t="shared" si="39"/>
        <v>0</v>
      </c>
      <c r="H298" s="507">
        <f t="shared" si="40"/>
        <v>0</v>
      </c>
      <c r="I298" s="507">
        <f t="shared" si="41"/>
        <v>0</v>
      </c>
      <c r="J298" s="507">
        <f t="shared" si="42"/>
        <v>0</v>
      </c>
      <c r="K298" s="507">
        <f t="shared" si="43"/>
        <v>0</v>
      </c>
      <c r="L298" s="509">
        <f t="shared" si="44"/>
        <v>0</v>
      </c>
      <c r="M298" s="329">
        <f>L298*D298*VPI!Q298</f>
        <v>0</v>
      </c>
    </row>
    <row r="299" spans="1:18" x14ac:dyDescent="0.25">
      <c r="A299" s="172">
        <f>Données!A299</f>
        <v>5932</v>
      </c>
      <c r="B299" s="27" t="str">
        <f>Données!B299</f>
        <v>Ursins</v>
      </c>
      <c r="C299" s="384">
        <f>VPI!R299</f>
        <v>7703.2953333333353</v>
      </c>
      <c r="D299" s="27">
        <f>Données!Z299</f>
        <v>228</v>
      </c>
      <c r="E299" s="117">
        <f t="shared" si="37"/>
        <v>33.786383040935682</v>
      </c>
      <c r="F299" s="205">
        <f t="shared" si="38"/>
        <v>0.70486932225025378</v>
      </c>
      <c r="G299" s="507">
        <f t="shared" si="39"/>
        <v>0</v>
      </c>
      <c r="H299" s="507">
        <f t="shared" si="40"/>
        <v>0</v>
      </c>
      <c r="I299" s="507">
        <f t="shared" si="41"/>
        <v>0</v>
      </c>
      <c r="J299" s="507">
        <f t="shared" si="42"/>
        <v>0</v>
      </c>
      <c r="K299" s="507">
        <f t="shared" si="43"/>
        <v>0</v>
      </c>
      <c r="L299" s="509">
        <f t="shared" si="44"/>
        <v>0</v>
      </c>
      <c r="M299" s="329">
        <f>L299*D299*VPI!Q299</f>
        <v>0</v>
      </c>
    </row>
    <row r="300" spans="1:18" x14ac:dyDescent="0.25">
      <c r="A300" s="172">
        <f>Données!A300</f>
        <v>5933</v>
      </c>
      <c r="B300" s="27" t="str">
        <f>Données!B300</f>
        <v>Valeyres-sous-Montagny</v>
      </c>
      <c r="C300" s="384">
        <f>VPI!R300</f>
        <v>19606.455886524818</v>
      </c>
      <c r="D300" s="27">
        <f>Données!Z300</f>
        <v>697</v>
      </c>
      <c r="E300" s="117">
        <f t="shared" si="37"/>
        <v>28.129778890279511</v>
      </c>
      <c r="F300" s="205">
        <f t="shared" si="38"/>
        <v>0.58685826646247896</v>
      </c>
      <c r="G300" s="507">
        <f t="shared" si="39"/>
        <v>0</v>
      </c>
      <c r="H300" s="507">
        <f t="shared" si="40"/>
        <v>0</v>
      </c>
      <c r="I300" s="507">
        <f t="shared" si="41"/>
        <v>0</v>
      </c>
      <c r="J300" s="507">
        <f t="shared" si="42"/>
        <v>0</v>
      </c>
      <c r="K300" s="507">
        <f t="shared" si="43"/>
        <v>0</v>
      </c>
      <c r="L300" s="509">
        <f t="shared" si="44"/>
        <v>0</v>
      </c>
      <c r="M300" s="329">
        <f>L300*D300*VPI!Q300</f>
        <v>0</v>
      </c>
    </row>
    <row r="301" spans="1:18" x14ac:dyDescent="0.25">
      <c r="A301" s="172">
        <f>Données!A301</f>
        <v>5934</v>
      </c>
      <c r="B301" s="27" t="str">
        <f>Données!B301</f>
        <v>Valeyres-sous-Ursins</v>
      </c>
      <c r="C301" s="384">
        <f>VPI!R301</f>
        <v>7018.2764935064943</v>
      </c>
      <c r="D301" s="27">
        <f>Données!Z301</f>
        <v>247</v>
      </c>
      <c r="E301" s="117">
        <f t="shared" si="37"/>
        <v>28.414074872495927</v>
      </c>
      <c r="F301" s="205">
        <f t="shared" si="38"/>
        <v>0.59278939901551264</v>
      </c>
      <c r="G301" s="507">
        <f t="shared" si="39"/>
        <v>0</v>
      </c>
      <c r="H301" s="507">
        <f t="shared" si="40"/>
        <v>0</v>
      </c>
      <c r="I301" s="507">
        <f t="shared" si="41"/>
        <v>0</v>
      </c>
      <c r="J301" s="507">
        <f t="shared" si="42"/>
        <v>0</v>
      </c>
      <c r="K301" s="507">
        <f t="shared" si="43"/>
        <v>0</v>
      </c>
      <c r="L301" s="509">
        <f t="shared" si="44"/>
        <v>0</v>
      </c>
      <c r="M301" s="329">
        <f>L301*D301*VPI!Q301</f>
        <v>0</v>
      </c>
    </row>
    <row r="302" spans="1:18" x14ac:dyDescent="0.25">
      <c r="A302" s="172">
        <f>Données!A302</f>
        <v>5935</v>
      </c>
      <c r="B302" s="27" t="str">
        <f>Données!B302</f>
        <v>Villars-Epeney</v>
      </c>
      <c r="C302" s="384">
        <f>VPI!R302</f>
        <v>3448.2056666666667</v>
      </c>
      <c r="D302" s="27">
        <f>Données!Z302</f>
        <v>95</v>
      </c>
      <c r="E302" s="117">
        <f t="shared" si="37"/>
        <v>36.296901754385964</v>
      </c>
      <c r="F302" s="205">
        <f t="shared" si="38"/>
        <v>0.75724508623488163</v>
      </c>
      <c r="G302" s="507">
        <f t="shared" si="39"/>
        <v>0</v>
      </c>
      <c r="H302" s="507">
        <f t="shared" si="40"/>
        <v>0</v>
      </c>
      <c r="I302" s="507">
        <f t="shared" si="41"/>
        <v>0</v>
      </c>
      <c r="J302" s="507">
        <f t="shared" si="42"/>
        <v>0</v>
      </c>
      <c r="K302" s="507">
        <f t="shared" si="43"/>
        <v>0</v>
      </c>
      <c r="L302" s="509">
        <f t="shared" si="44"/>
        <v>0</v>
      </c>
      <c r="M302" s="329">
        <f>L302*D302*VPI!Q302</f>
        <v>0</v>
      </c>
    </row>
    <row r="303" spans="1:18" x14ac:dyDescent="0.25">
      <c r="A303" s="172">
        <f>Données!A303</f>
        <v>5937</v>
      </c>
      <c r="B303" s="27" t="str">
        <f>Données!B303</f>
        <v>Vugelles-La Mothe</v>
      </c>
      <c r="C303" s="384">
        <f>VPI!R303</f>
        <v>3479.4948775510202</v>
      </c>
      <c r="D303" s="27">
        <f>Données!Z303</f>
        <v>140</v>
      </c>
      <c r="E303" s="117">
        <f t="shared" si="37"/>
        <v>24.853534839650145</v>
      </c>
      <c r="F303" s="205">
        <f t="shared" si="38"/>
        <v>0.51850753709628539</v>
      </c>
      <c r="G303" s="507">
        <f t="shared" si="39"/>
        <v>0</v>
      </c>
      <c r="H303" s="507">
        <f t="shared" si="40"/>
        <v>0</v>
      </c>
      <c r="I303" s="507">
        <f t="shared" si="41"/>
        <v>0</v>
      </c>
      <c r="J303" s="507">
        <f t="shared" si="42"/>
        <v>0</v>
      </c>
      <c r="K303" s="507">
        <f t="shared" si="43"/>
        <v>0</v>
      </c>
      <c r="L303" s="509">
        <f t="shared" si="44"/>
        <v>0</v>
      </c>
      <c r="M303" s="329">
        <f>L303*D303*VPI!Q303</f>
        <v>0</v>
      </c>
    </row>
    <row r="304" spans="1:18" x14ac:dyDescent="0.25">
      <c r="A304" s="172">
        <f>Données!A304</f>
        <v>5938</v>
      </c>
      <c r="B304" s="27" t="str">
        <f>Données!B304</f>
        <v>Yverdon-les-Bains</v>
      </c>
      <c r="C304" s="384">
        <f>VPI!R304</f>
        <v>762594.09693333332</v>
      </c>
      <c r="D304" s="27">
        <f>Données!Z304</f>
        <v>29710</v>
      </c>
      <c r="E304" s="117">
        <f t="shared" si="37"/>
        <v>25.667926520812298</v>
      </c>
      <c r="F304" s="205">
        <f t="shared" si="38"/>
        <v>0.5354978053842967</v>
      </c>
      <c r="G304" s="507">
        <f t="shared" si="39"/>
        <v>0</v>
      </c>
      <c r="H304" s="507">
        <f t="shared" si="40"/>
        <v>0</v>
      </c>
      <c r="I304" s="507">
        <f t="shared" si="41"/>
        <v>0</v>
      </c>
      <c r="J304" s="507">
        <f t="shared" si="42"/>
        <v>0</v>
      </c>
      <c r="K304" s="507">
        <f t="shared" si="43"/>
        <v>0</v>
      </c>
      <c r="L304" s="509">
        <f t="shared" si="44"/>
        <v>0</v>
      </c>
      <c r="M304" s="329">
        <f>L304*D304*VPI!Q304</f>
        <v>0</v>
      </c>
    </row>
    <row r="305" spans="1:13" x14ac:dyDescent="0.25">
      <c r="A305" s="172">
        <f>Données!A305</f>
        <v>5939</v>
      </c>
      <c r="B305" s="27" t="str">
        <f>Données!B305</f>
        <v>Yvonand</v>
      </c>
      <c r="C305" s="384">
        <f>VPI!R305</f>
        <v>105325.16447552449</v>
      </c>
      <c r="D305" s="27">
        <f>Données!Z305</f>
        <v>3512</v>
      </c>
      <c r="E305" s="117">
        <f t="shared" si="37"/>
        <v>29.990081001003556</v>
      </c>
      <c r="F305" s="205">
        <f t="shared" si="38"/>
        <v>0.62566886913569308</v>
      </c>
      <c r="G305" s="507">
        <f t="shared" si="39"/>
        <v>0</v>
      </c>
      <c r="H305" s="507">
        <f t="shared" si="40"/>
        <v>0</v>
      </c>
      <c r="I305" s="507">
        <f t="shared" si="41"/>
        <v>0</v>
      </c>
      <c r="J305" s="507">
        <f t="shared" si="42"/>
        <v>0</v>
      </c>
      <c r="K305" s="507">
        <f t="shared" si="43"/>
        <v>0</v>
      </c>
      <c r="L305" s="510">
        <f t="shared" si="44"/>
        <v>0</v>
      </c>
      <c r="M305" s="329">
        <f>L305*D305*VPI!Q305</f>
        <v>0</v>
      </c>
    </row>
    <row r="306" spans="1:13" x14ac:dyDescent="0.25">
      <c r="A306" s="6"/>
      <c r="B306" s="74">
        <f>COUNTA(B6:B305)</f>
        <v>300</v>
      </c>
      <c r="C306" s="385">
        <f>SUM(C6:C305)</f>
        <v>39490853.970660269</v>
      </c>
      <c r="D306" s="161">
        <f>SUM(D6:D305)</f>
        <v>823879</v>
      </c>
      <c r="E306" s="46">
        <f>C306/D306</f>
        <v>47.932832334190181</v>
      </c>
      <c r="F306" s="47">
        <v>1</v>
      </c>
      <c r="G306" s="653"/>
      <c r="H306" s="654"/>
      <c r="I306" s="654"/>
      <c r="J306" s="654"/>
      <c r="K306" s="654"/>
      <c r="L306" s="655"/>
      <c r="M306" s="330">
        <f>SUM(M6:M305)</f>
        <v>121837380.39489655</v>
      </c>
    </row>
    <row r="307" spans="1:13" x14ac:dyDescent="0.25">
      <c r="M307" s="5"/>
    </row>
    <row r="309" spans="1:13" x14ac:dyDescent="0.25">
      <c r="F309" s="13"/>
    </row>
    <row r="310" spans="1:13" x14ac:dyDescent="0.25">
      <c r="F310" s="13"/>
    </row>
    <row r="311" spans="1:13" x14ac:dyDescent="0.25">
      <c r="F311" s="13"/>
      <c r="G311" s="15"/>
      <c r="H311" s="15"/>
    </row>
    <row r="312" spans="1:13" x14ac:dyDescent="0.25">
      <c r="E312" s="23"/>
    </row>
  </sheetData>
  <mergeCells count="7">
    <mergeCell ref="G306:L306"/>
    <mergeCell ref="M4:M5"/>
    <mergeCell ref="L4:L5"/>
    <mergeCell ref="A4:A5"/>
    <mergeCell ref="B4:B5"/>
    <mergeCell ref="F4:F5"/>
    <mergeCell ref="C4:E4"/>
  </mergeCells>
  <phoneticPr fontId="21" type="noConversion"/>
  <hyperlinks>
    <hyperlink ref="C1" location="PCS!A1" display="← Précédent" xr:uid="{901F770C-9D71-4B9C-BD74-2BF5F01B4728}"/>
    <hyperlink ref="E1" location="'Péréquation directe'!A1" display="Suivant →" xr:uid="{8E8E8AD3-F212-48FB-86E5-C0AB3A686AFA}"/>
    <hyperlink ref="D1" location="'Table des matières'!A1" display="'Table des matières'!A1" xr:uid="{202983C2-6A43-4285-A91A-F524C826C944}"/>
  </hyperlinks>
  <pageMargins left="0.78740157499999996" right="0.78740157499999996" top="0.984251969" bottom="0.984251969" header="0.4921259845" footer="0.4921259845"/>
  <pageSetup paperSize="9" orientation="landscape" horizontalDpi="4294967292" verticalDpi="4294967292" r:id="rId1"/>
  <headerFooter alignWithMargins="0"/>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Feuil11">
    <tabColor rgb="FF00B050"/>
  </sheetPr>
  <dimension ref="A1:K331"/>
  <sheetViews>
    <sheetView zoomScaleNormal="100" workbookViewId="0"/>
  </sheetViews>
  <sheetFormatPr baseColWidth="10" defaultColWidth="11" defaultRowHeight="15" x14ac:dyDescent="0.25"/>
  <cols>
    <col min="1" max="1" width="7.125" style="11" customWidth="1"/>
    <col min="2" max="2" width="23.125" style="11" customWidth="1"/>
    <col min="3" max="3" width="16.125" style="11" customWidth="1"/>
    <col min="4" max="4" width="11" style="11" customWidth="1"/>
    <col min="5" max="6" width="12.75" style="11" customWidth="1"/>
    <col min="7" max="7" width="12.875" style="11" customWidth="1"/>
    <col min="8" max="8" width="12.75" style="219" customWidth="1"/>
    <col min="9" max="9" width="12.75" style="11" customWidth="1"/>
    <col min="10" max="10" width="12.75" style="219" customWidth="1"/>
    <col min="11" max="11" width="12.5" style="11" customWidth="1"/>
    <col min="12" max="16384" width="11" style="11"/>
  </cols>
  <sheetData>
    <row r="1" spans="1:11" s="288" customFormat="1" ht="26.25" x14ac:dyDescent="0.4">
      <c r="A1" s="281" t="s">
        <v>277</v>
      </c>
      <c r="B1" s="286"/>
      <c r="C1" s="411" t="s">
        <v>406</v>
      </c>
      <c r="D1" s="305" t="s">
        <v>398</v>
      </c>
      <c r="E1" s="503" t="s">
        <v>407</v>
      </c>
      <c r="H1" s="310"/>
    </row>
    <row r="2" spans="1:11" s="219" customFormat="1" ht="15.75" x14ac:dyDescent="0.25">
      <c r="A2" s="358" t="str">
        <f>Paramètres!B4</f>
        <v>Acomptes 2023</v>
      </c>
      <c r="B2" s="32"/>
      <c r="C2" s="221"/>
      <c r="D2" s="221"/>
      <c r="E2" s="221"/>
      <c r="F2" s="221"/>
      <c r="G2" s="221"/>
      <c r="H2" s="221"/>
      <c r="I2" s="221"/>
      <c r="J2" s="221"/>
    </row>
    <row r="4" spans="1:11" x14ac:dyDescent="0.25">
      <c r="A4" s="76" t="s">
        <v>509</v>
      </c>
      <c r="B4" s="77"/>
      <c r="C4" s="78" t="s">
        <v>359</v>
      </c>
      <c r="D4" s="78" t="s">
        <v>335</v>
      </c>
      <c r="E4" s="49"/>
      <c r="F4" s="49"/>
      <c r="G4" s="49"/>
      <c r="H4" s="221"/>
      <c r="I4" s="49"/>
      <c r="J4" s="221"/>
    </row>
    <row r="5" spans="1:11" x14ac:dyDescent="0.25">
      <c r="A5" s="662" t="s">
        <v>510</v>
      </c>
      <c r="B5" s="663"/>
      <c r="C5" s="16">
        <f>ABS(E312+F312+G312)</f>
        <v>767033791.52410722</v>
      </c>
      <c r="D5" s="62">
        <f>C5/$C$312</f>
        <v>19.423074317257736</v>
      </c>
      <c r="E5" s="49"/>
      <c r="F5" s="49"/>
      <c r="G5" s="49"/>
      <c r="H5" s="221"/>
      <c r="I5" s="49"/>
      <c r="J5" s="221"/>
    </row>
    <row r="6" spans="1:11" x14ac:dyDescent="0.25">
      <c r="A6" s="664" t="s">
        <v>557</v>
      </c>
      <c r="B6" s="665"/>
      <c r="C6" s="8">
        <f>-Paramètres!B50</f>
        <v>-6175701.6004849747</v>
      </c>
      <c r="D6" s="62">
        <f>C6/$C$312</f>
        <v>-0.15638308569050474</v>
      </c>
      <c r="E6" s="49"/>
      <c r="F6" s="49"/>
      <c r="G6" s="49"/>
      <c r="H6" s="221"/>
      <c r="I6" s="49"/>
      <c r="J6" s="221"/>
    </row>
    <row r="7" spans="1:11" x14ac:dyDescent="0.25">
      <c r="A7" s="662" t="s">
        <v>517</v>
      </c>
      <c r="B7" s="663"/>
      <c r="C7" s="9">
        <f>Paramètres!B51</f>
        <v>450000</v>
      </c>
      <c r="D7" s="62">
        <f>C7/$C$312</f>
        <v>1.1395043529175832E-2</v>
      </c>
      <c r="E7" s="49"/>
      <c r="F7" s="49"/>
      <c r="G7" s="49"/>
      <c r="H7" s="221"/>
      <c r="I7" s="49"/>
      <c r="J7" s="221"/>
    </row>
    <row r="8" spans="1:11" x14ac:dyDescent="0.25">
      <c r="A8" s="347" t="s">
        <v>490</v>
      </c>
      <c r="B8" s="348"/>
      <c r="C8" s="335">
        <f>SUM(C5:C7)</f>
        <v>761308089.92362225</v>
      </c>
      <c r="D8" s="564">
        <f>SUM(D5:D7)</f>
        <v>19.27808627509641</v>
      </c>
      <c r="E8" s="49"/>
      <c r="F8" s="49"/>
      <c r="G8" s="49"/>
      <c r="H8" s="221"/>
      <c r="I8" s="49"/>
      <c r="J8" s="221"/>
    </row>
    <row r="10" spans="1:11" ht="60" customHeight="1" x14ac:dyDescent="0.25">
      <c r="A10" s="666" t="s">
        <v>44</v>
      </c>
      <c r="B10" s="666" t="s">
        <v>84</v>
      </c>
      <c r="C10" s="661" t="s">
        <v>414</v>
      </c>
      <c r="D10" s="661" t="s">
        <v>257</v>
      </c>
      <c r="E10" s="48" t="s">
        <v>506</v>
      </c>
      <c r="F10" s="48" t="s">
        <v>507</v>
      </c>
      <c r="G10" s="309" t="s">
        <v>553</v>
      </c>
      <c r="H10" s="309" t="s">
        <v>511</v>
      </c>
      <c r="I10" s="48" t="s">
        <v>515</v>
      </c>
      <c r="J10" s="363" t="s">
        <v>516</v>
      </c>
      <c r="K10" s="661" t="s">
        <v>512</v>
      </c>
    </row>
    <row r="11" spans="1:11" x14ac:dyDescent="0.25">
      <c r="A11" s="667"/>
      <c r="B11" s="667"/>
      <c r="C11" s="661"/>
      <c r="D11" s="661"/>
      <c r="E11" s="395">
        <f>E312/$C$312</f>
        <v>-11.528875827775645</v>
      </c>
      <c r="F11" s="213">
        <f t="shared" ref="F11:G11" si="0">F312/$C$312</f>
        <v>-3.4507660138431371</v>
      </c>
      <c r="G11" s="395">
        <f t="shared" si="0"/>
        <v>-4.4434324756389563</v>
      </c>
      <c r="H11" s="213">
        <f>H312/C312</f>
        <v>0.15638308569050469</v>
      </c>
      <c r="I11" s="395">
        <f>I312/C312</f>
        <v>-19.266691231567233</v>
      </c>
      <c r="J11" s="213">
        <f>ABS(D8)</f>
        <v>19.27808627509641</v>
      </c>
      <c r="K11" s="661"/>
    </row>
    <row r="12" spans="1:11" x14ac:dyDescent="0.25">
      <c r="A12" s="36">
        <f>Données!A6</f>
        <v>5401</v>
      </c>
      <c r="B12" s="173" t="str">
        <f>Données!B6</f>
        <v>Aigle</v>
      </c>
      <c r="C12" s="26">
        <f>Ecrêtage!C6</f>
        <v>280916.50972222222</v>
      </c>
      <c r="D12" s="12">
        <f>Données!Z6</f>
        <v>10828</v>
      </c>
      <c r="E12" s="41">
        <f>Population!K9</f>
        <v>-5964837.8269617688</v>
      </c>
      <c r="F12" s="238">
        <f>Solidarité!I6</f>
        <v>-4143372.7118722964</v>
      </c>
      <c r="G12" s="41">
        <f>DT!O6</f>
        <v>-4038436.8093749997</v>
      </c>
      <c r="H12" s="238">
        <f>Effort!K6+Aide!I6+Taux!J6</f>
        <v>0</v>
      </c>
      <c r="I12" s="334">
        <f>SUM(E12:H12)</f>
        <v>-14146647.348209064</v>
      </c>
      <c r="J12" s="394">
        <f>C12*$J$11</f>
        <v>5415532.7105239592</v>
      </c>
      <c r="K12" s="519">
        <f>I12+J12</f>
        <v>-8731114.6376851052</v>
      </c>
    </row>
    <row r="13" spans="1:11" s="219" customFormat="1" x14ac:dyDescent="0.25">
      <c r="A13" s="38">
        <f>Données!A7</f>
        <v>5402</v>
      </c>
      <c r="B13" s="27" t="str">
        <f>Données!B7</f>
        <v>Bex</v>
      </c>
      <c r="C13" s="215">
        <f>Ecrêtage!C7</f>
        <v>192666.65084507043</v>
      </c>
      <c r="D13" s="238">
        <f>Données!Z7</f>
        <v>8063</v>
      </c>
      <c r="E13" s="8">
        <f>Population!K10</f>
        <v>-3780717.1026156936</v>
      </c>
      <c r="F13" s="238">
        <f>Solidarité!I7</f>
        <v>-3903122.6159638087</v>
      </c>
      <c r="G13" s="8">
        <f>DT!O7</f>
        <v>-2223118.6067957743</v>
      </c>
      <c r="H13" s="238">
        <f>Effort!K7+Aide!I7+Taux!J7</f>
        <v>0</v>
      </c>
      <c r="I13" s="316">
        <f t="shared" ref="I13:I76" si="1">SUM(E13:H13)</f>
        <v>-9906958.3253752775</v>
      </c>
      <c r="J13" s="394">
        <f t="shared" ref="J13:J76" si="2">C13*$J$11</f>
        <v>3714244.3173251441</v>
      </c>
      <c r="K13" s="520">
        <f t="shared" ref="K13:K76" si="3">I13+J13</f>
        <v>-6192714.0080501335</v>
      </c>
    </row>
    <row r="14" spans="1:11" s="219" customFormat="1" x14ac:dyDescent="0.25">
      <c r="A14" s="38">
        <f>Données!A8</f>
        <v>5403</v>
      </c>
      <c r="B14" s="27" t="str">
        <f>Données!B8</f>
        <v>Chessel</v>
      </c>
      <c r="C14" s="215">
        <f>Ecrêtage!C8</f>
        <v>12085.365135135135</v>
      </c>
      <c r="D14" s="238">
        <f>Données!Z8</f>
        <v>497</v>
      </c>
      <c r="E14" s="8">
        <f>Population!K11</f>
        <v>-64124.999999999985</v>
      </c>
      <c r="F14" s="238">
        <f>Solidarité!I8</f>
        <v>-256765.25808786237</v>
      </c>
      <c r="G14" s="8">
        <f>DT!O8</f>
        <v>-18235.976148648646</v>
      </c>
      <c r="H14" s="238">
        <f>Effort!K8+Aide!I8+Taux!J8</f>
        <v>0</v>
      </c>
      <c r="I14" s="316">
        <f t="shared" si="1"/>
        <v>-339126.23423651099</v>
      </c>
      <c r="J14" s="394">
        <f t="shared" si="2"/>
        <v>232982.71174117731</v>
      </c>
      <c r="K14" s="520">
        <f t="shared" si="3"/>
        <v>-106143.52249533369</v>
      </c>
    </row>
    <row r="15" spans="1:11" s="219" customFormat="1" x14ac:dyDescent="0.25">
      <c r="A15" s="38">
        <f>Données!A9</f>
        <v>5404</v>
      </c>
      <c r="B15" s="27" t="str">
        <f>Données!B9</f>
        <v>Corbeyrier</v>
      </c>
      <c r="C15" s="215">
        <f>Ecrêtage!C9</f>
        <v>11580.799189189189</v>
      </c>
      <c r="D15" s="238">
        <f>Données!Z9</f>
        <v>439</v>
      </c>
      <c r="E15" s="8">
        <f>Population!K12</f>
        <v>-56641.599597585504</v>
      </c>
      <c r="F15" s="238">
        <f>Solidarité!I9</f>
        <v>-206985.36413852783</v>
      </c>
      <c r="G15" s="8">
        <f>DT!O9</f>
        <v>-171028.35547297299</v>
      </c>
      <c r="H15" s="238">
        <f>Effort!K9+Aide!I9+Taux!J9</f>
        <v>0</v>
      </c>
      <c r="I15" s="316">
        <f t="shared" si="1"/>
        <v>-434655.31920908636</v>
      </c>
      <c r="J15" s="394">
        <f t="shared" si="2"/>
        <v>223255.64590375574</v>
      </c>
      <c r="K15" s="520">
        <f t="shared" si="3"/>
        <v>-211399.67330533062</v>
      </c>
    </row>
    <row r="16" spans="1:11" x14ac:dyDescent="0.25">
      <c r="A16" s="38">
        <f>Données!A10</f>
        <v>5405</v>
      </c>
      <c r="B16" s="27" t="str">
        <f>Données!B10</f>
        <v>Gryon</v>
      </c>
      <c r="C16" s="26">
        <f>Ecrêtage!C10</f>
        <v>78106.688299319736</v>
      </c>
      <c r="D16" s="12">
        <f>Données!Z10</f>
        <v>1382</v>
      </c>
      <c r="E16" s="8">
        <f>Population!K13</f>
        <v>-267028.37022132787</v>
      </c>
      <c r="F16" s="238">
        <f>Solidarité!I10</f>
        <v>0</v>
      </c>
      <c r="G16" s="8">
        <f>DT!O10</f>
        <v>-883531.12020408153</v>
      </c>
      <c r="H16" s="238">
        <f>Effort!K10+Aide!I10+Taux!J10</f>
        <v>0</v>
      </c>
      <c r="I16" s="316">
        <f t="shared" si="1"/>
        <v>-1150559.4904254093</v>
      </c>
      <c r="J16" s="394">
        <f t="shared" si="2"/>
        <v>1505747.4756963491</v>
      </c>
      <c r="K16" s="520">
        <f t="shared" si="3"/>
        <v>355187.98527093977</v>
      </c>
    </row>
    <row r="17" spans="1:11" x14ac:dyDescent="0.25">
      <c r="A17" s="38">
        <f>Données!A11</f>
        <v>5406</v>
      </c>
      <c r="B17" s="27" t="str">
        <f>Données!B11</f>
        <v>Lavey-Morcles</v>
      </c>
      <c r="C17" s="26">
        <f>Ecrêtage!C11</f>
        <v>21511.827778375475</v>
      </c>
      <c r="D17" s="12">
        <f>Données!Z11</f>
        <v>966</v>
      </c>
      <c r="E17" s="8">
        <f>Population!K14</f>
        <v>-124637.32394366195</v>
      </c>
      <c r="F17" s="238">
        <f>Solidarité!I11</f>
        <v>-506311.21938141534</v>
      </c>
      <c r="G17" s="8">
        <f>DT!O11</f>
        <v>-162163.78332974715</v>
      </c>
      <c r="H17" s="238">
        <f>Effort!K11+Aide!I11+Taux!J11</f>
        <v>0</v>
      </c>
      <c r="I17" s="316">
        <f t="shared" si="1"/>
        <v>-793112.32665482443</v>
      </c>
      <c r="J17" s="394">
        <f t="shared" si="2"/>
        <v>414706.87184653792</v>
      </c>
      <c r="K17" s="520">
        <f t="shared" si="3"/>
        <v>-378405.45480828651</v>
      </c>
    </row>
    <row r="18" spans="1:11" x14ac:dyDescent="0.25">
      <c r="A18" s="38">
        <f>Données!A12</f>
        <v>5407</v>
      </c>
      <c r="B18" s="27" t="str">
        <f>Données!B12</f>
        <v>Leysin</v>
      </c>
      <c r="C18" s="26">
        <f>Ecrêtage!C12</f>
        <v>90677.609059829061</v>
      </c>
      <c r="D18" s="12">
        <f>Données!Z12</f>
        <v>3637</v>
      </c>
      <c r="E18" s="8">
        <f>Population!K15</f>
        <v>-1180312.8772635814</v>
      </c>
      <c r="F18" s="238">
        <f>Solidarité!I12</f>
        <v>-2033212.7294371536</v>
      </c>
      <c r="G18" s="8">
        <f>DT!O12</f>
        <v>-2047012.8888461541</v>
      </c>
      <c r="H18" s="238">
        <f>Effort!K12+Aide!I12+Taux!J12</f>
        <v>0</v>
      </c>
      <c r="I18" s="316">
        <f t="shared" si="1"/>
        <v>-5260538.4955468895</v>
      </c>
      <c r="J18" s="394">
        <f t="shared" si="2"/>
        <v>1748090.7706748485</v>
      </c>
      <c r="K18" s="520">
        <f t="shared" si="3"/>
        <v>-3512447.724872041</v>
      </c>
    </row>
    <row r="19" spans="1:11" x14ac:dyDescent="0.25">
      <c r="A19" s="38">
        <f>Données!A13</f>
        <v>5408</v>
      </c>
      <c r="B19" s="27" t="str">
        <f>Données!B13</f>
        <v>Noville</v>
      </c>
      <c r="C19" s="26">
        <f>Ecrêtage!C13</f>
        <v>41378.888492569007</v>
      </c>
      <c r="D19" s="12">
        <f>Données!Z13</f>
        <v>1169</v>
      </c>
      <c r="E19" s="8">
        <f>Population!K16</f>
        <v>-190078.37022132793</v>
      </c>
      <c r="F19" s="238">
        <f>Solidarité!I13</f>
        <v>-360760.87580699567</v>
      </c>
      <c r="G19" s="8">
        <f>DT!O13</f>
        <v>-295119.75267515919</v>
      </c>
      <c r="H19" s="238">
        <f>Effort!K13+Aide!I13+Taux!J13</f>
        <v>0</v>
      </c>
      <c r="I19" s="316">
        <f t="shared" si="1"/>
        <v>-845958.99870348279</v>
      </c>
      <c r="J19" s="394">
        <f t="shared" si="2"/>
        <v>797705.78232733929</v>
      </c>
      <c r="K19" s="520">
        <f t="shared" si="3"/>
        <v>-48253.216376143508</v>
      </c>
    </row>
    <row r="20" spans="1:11" x14ac:dyDescent="0.25">
      <c r="A20" s="38">
        <f>Données!A14</f>
        <v>5409</v>
      </c>
      <c r="B20" s="27" t="str">
        <f>Données!B14</f>
        <v>Ollon</v>
      </c>
      <c r="C20" s="26">
        <f>Ecrêtage!C14</f>
        <v>428223.81707013579</v>
      </c>
      <c r="D20" s="12">
        <f>Données!Z14</f>
        <v>7904</v>
      </c>
      <c r="E20" s="8">
        <f>Population!K17</f>
        <v>-3682245.8752515083</v>
      </c>
      <c r="F20" s="238">
        <f>Solidarité!I14</f>
        <v>0</v>
      </c>
      <c r="G20" s="8">
        <f>DT!O14</f>
        <v>-3553837.9847765835</v>
      </c>
      <c r="H20" s="238">
        <f>Effort!K14+Aide!I14+Taux!J14</f>
        <v>0</v>
      </c>
      <c r="I20" s="316">
        <f t="shared" si="1"/>
        <v>-7236083.8600280918</v>
      </c>
      <c r="J20" s="394">
        <f t="shared" si="2"/>
        <v>8255335.6905291807</v>
      </c>
      <c r="K20" s="520">
        <f t="shared" si="3"/>
        <v>1019251.8305010889</v>
      </c>
    </row>
    <row r="21" spans="1:11" x14ac:dyDescent="0.25">
      <c r="A21" s="38">
        <f>Données!A15</f>
        <v>5410</v>
      </c>
      <c r="B21" s="27" t="str">
        <f>Données!B15</f>
        <v>Ormont-Dessous</v>
      </c>
      <c r="C21" s="26">
        <f>Ecrêtage!C15</f>
        <v>38612.897532467534</v>
      </c>
      <c r="D21" s="12">
        <f>Données!Z15</f>
        <v>1162</v>
      </c>
      <c r="E21" s="8">
        <f>Population!K18</f>
        <v>-187549.49698189131</v>
      </c>
      <c r="F21" s="238">
        <f>Solidarité!I15</f>
        <v>-404672.94443617214</v>
      </c>
      <c r="G21" s="8">
        <f>DT!O15</f>
        <v>-1301785.4416558442</v>
      </c>
      <c r="H21" s="238">
        <f>Effort!K15+Aide!I15+Taux!J15</f>
        <v>0</v>
      </c>
      <c r="I21" s="316">
        <f t="shared" si="1"/>
        <v>-1894007.8830739078</v>
      </c>
      <c r="J21" s="394">
        <f t="shared" si="2"/>
        <v>744382.76996236644</v>
      </c>
      <c r="K21" s="520">
        <f t="shared" si="3"/>
        <v>-1149625.1131115414</v>
      </c>
    </row>
    <row r="22" spans="1:11" x14ac:dyDescent="0.25">
      <c r="A22" s="38">
        <f>Données!A16</f>
        <v>5411</v>
      </c>
      <c r="B22" s="27" t="str">
        <f>Données!B16</f>
        <v>Ormont-Dessus</v>
      </c>
      <c r="C22" s="26">
        <f>Ecrêtage!C16</f>
        <v>77406.69241228071</v>
      </c>
      <c r="D22" s="12">
        <f>Données!Z16</f>
        <v>1451</v>
      </c>
      <c r="E22" s="8">
        <f>Population!K19</f>
        <v>-291955.83501006034</v>
      </c>
      <c r="F22" s="238">
        <f>Solidarité!I16</f>
        <v>0</v>
      </c>
      <c r="G22" s="8">
        <f>DT!O16</f>
        <v>-956965.32621710515</v>
      </c>
      <c r="H22" s="238">
        <f>Effort!K16+Aide!I16+Taux!J16</f>
        <v>0</v>
      </c>
      <c r="I22" s="316">
        <f t="shared" si="1"/>
        <v>-1248921.1612271655</v>
      </c>
      <c r="J22" s="394">
        <f t="shared" si="2"/>
        <v>1492252.8945937981</v>
      </c>
      <c r="K22" s="520">
        <f t="shared" si="3"/>
        <v>243331.7333666326</v>
      </c>
    </row>
    <row r="23" spans="1:11" x14ac:dyDescent="0.25">
      <c r="A23" s="38">
        <f>Données!A17</f>
        <v>5412</v>
      </c>
      <c r="B23" s="27" t="str">
        <f>Données!B17</f>
        <v>Rennaz</v>
      </c>
      <c r="C23" s="26">
        <f>Ecrêtage!C17</f>
        <v>28866.898550724636</v>
      </c>
      <c r="D23" s="12">
        <f>Données!Z17</f>
        <v>883</v>
      </c>
      <c r="E23" s="8">
        <f>Population!K20</f>
        <v>-113928.31991951707</v>
      </c>
      <c r="F23" s="238">
        <f>Solidarité!I17</f>
        <v>-255963.69947688683</v>
      </c>
      <c r="G23" s="8">
        <f>DT!O17</f>
        <v>-91936.434782608718</v>
      </c>
      <c r="H23" s="238">
        <f>Effort!K17+Aide!I17+Taux!J17</f>
        <v>0</v>
      </c>
      <c r="I23" s="316">
        <f t="shared" si="1"/>
        <v>-461828.45417901262</v>
      </c>
      <c r="J23" s="394">
        <f t="shared" si="2"/>
        <v>556498.56075532502</v>
      </c>
      <c r="K23" s="520">
        <f t="shared" si="3"/>
        <v>94670.106576312392</v>
      </c>
    </row>
    <row r="24" spans="1:11" x14ac:dyDescent="0.25">
      <c r="A24" s="38">
        <f>Données!A18</f>
        <v>5413</v>
      </c>
      <c r="B24" s="27" t="str">
        <f>Données!B18</f>
        <v>Roche</v>
      </c>
      <c r="C24" s="26">
        <f>Ecrêtage!C18</f>
        <v>43141.688749999994</v>
      </c>
      <c r="D24" s="12">
        <f>Données!Z18</f>
        <v>1874</v>
      </c>
      <c r="E24" s="8">
        <f>Population!K21</f>
        <v>-444772.03219315887</v>
      </c>
      <c r="F24" s="238">
        <f>Solidarité!I18</f>
        <v>-862375.36650705861</v>
      </c>
      <c r="G24" s="8">
        <f>DT!O18</f>
        <v>-80856.367500000037</v>
      </c>
      <c r="H24" s="238">
        <f>Effort!K18+Aide!I18+Taux!J18</f>
        <v>0</v>
      </c>
      <c r="I24" s="316">
        <f t="shared" si="1"/>
        <v>-1388003.7662002174</v>
      </c>
      <c r="J24" s="394">
        <f t="shared" si="2"/>
        <v>831689.19777585601</v>
      </c>
      <c r="K24" s="520">
        <f t="shared" si="3"/>
        <v>-556314.56842436141</v>
      </c>
    </row>
    <row r="25" spans="1:11" x14ac:dyDescent="0.25">
      <c r="A25" s="38">
        <f>Données!A19</f>
        <v>5414</v>
      </c>
      <c r="B25" s="27" t="str">
        <f>Données!B19</f>
        <v>Villeneuve</v>
      </c>
      <c r="C25" s="26">
        <f>Ecrêtage!C19</f>
        <v>185623.95377777779</v>
      </c>
      <c r="D25" s="12">
        <f>Données!Z19</f>
        <v>5921</v>
      </c>
      <c r="E25" s="8">
        <f>Population!K22</f>
        <v>-2454142.4547283696</v>
      </c>
      <c r="F25" s="238">
        <f>Solidarité!I19</f>
        <v>-1787166.5128131907</v>
      </c>
      <c r="G25" s="8">
        <f>DT!O19</f>
        <v>-2341579.0619999999</v>
      </c>
      <c r="H25" s="238">
        <f>Effort!K19+Aide!I19+Taux!J19</f>
        <v>0</v>
      </c>
      <c r="I25" s="316">
        <f t="shared" si="1"/>
        <v>-6582888.0295415604</v>
      </c>
      <c r="J25" s="394">
        <f t="shared" si="2"/>
        <v>3578474.5956525085</v>
      </c>
      <c r="K25" s="520">
        <f t="shared" si="3"/>
        <v>-3004413.4338890519</v>
      </c>
    </row>
    <row r="26" spans="1:11" x14ac:dyDescent="0.25">
      <c r="A26" s="38">
        <f>Données!A20</f>
        <v>5415</v>
      </c>
      <c r="B26" s="27" t="str">
        <f>Données!B20</f>
        <v>Yvorne</v>
      </c>
      <c r="C26" s="26">
        <f>Ecrêtage!C20</f>
        <v>35904.669044289032</v>
      </c>
      <c r="D26" s="12">
        <f>Données!Z20</f>
        <v>1038</v>
      </c>
      <c r="E26" s="8">
        <f>Population!K23</f>
        <v>-142752.31388329976</v>
      </c>
      <c r="F26" s="238">
        <f>Solidarité!I20</f>
        <v>-282849.89951378206</v>
      </c>
      <c r="G26" s="8">
        <f>DT!O20</f>
        <v>-224221.48395104904</v>
      </c>
      <c r="H26" s="238">
        <f>Effort!K20+Aide!I20+Taux!J20</f>
        <v>0</v>
      </c>
      <c r="I26" s="316">
        <f t="shared" si="1"/>
        <v>-649823.69734813087</v>
      </c>
      <c r="J26" s="394">
        <f t="shared" si="2"/>
        <v>692173.3075145873</v>
      </c>
      <c r="K26" s="520">
        <f t="shared" si="3"/>
        <v>42349.610166456434</v>
      </c>
    </row>
    <row r="27" spans="1:11" x14ac:dyDescent="0.25">
      <c r="A27" s="38">
        <f>Données!A21</f>
        <v>5422</v>
      </c>
      <c r="B27" s="27" t="str">
        <f>Données!B21</f>
        <v>Aubonne</v>
      </c>
      <c r="C27" s="26">
        <f>Ecrêtage!C21</f>
        <v>307027.61800000002</v>
      </c>
      <c r="D27" s="12">
        <f>Données!Z21</f>
        <v>3781</v>
      </c>
      <c r="E27" s="8">
        <f>Population!K24</f>
        <v>-1254630.7847082491</v>
      </c>
      <c r="F27" s="238">
        <f>Solidarité!I21</f>
        <v>0</v>
      </c>
      <c r="G27" s="8">
        <f>DT!O21</f>
        <v>0</v>
      </c>
      <c r="H27" s="238">
        <f>Effort!K21+Aide!I21+Taux!J21</f>
        <v>0</v>
      </c>
      <c r="I27" s="316">
        <f t="shared" si="1"/>
        <v>-1254630.7847082491</v>
      </c>
      <c r="J27" s="394">
        <f t="shared" si="2"/>
        <v>5918904.9086413439</v>
      </c>
      <c r="K27" s="520">
        <f t="shared" si="3"/>
        <v>4664274.1239330946</v>
      </c>
    </row>
    <row r="28" spans="1:11" x14ac:dyDescent="0.25">
      <c r="A28" s="38">
        <f>Données!A22</f>
        <v>5423</v>
      </c>
      <c r="B28" s="27" t="str">
        <f>Données!B22</f>
        <v>Ballens</v>
      </c>
      <c r="C28" s="26">
        <f>Ecrêtage!C22</f>
        <v>16194.081232876708</v>
      </c>
      <c r="D28" s="12">
        <f>Données!Z22</f>
        <v>567</v>
      </c>
      <c r="E28" s="8">
        <f>Population!K25</f>
        <v>-73156.69014084505</v>
      </c>
      <c r="F28" s="238">
        <f>Solidarité!I22</f>
        <v>-233833.15049323556</v>
      </c>
      <c r="G28" s="8">
        <f>DT!O22</f>
        <v>-83001.262602739749</v>
      </c>
      <c r="H28" s="238">
        <f>Effort!K22+Aide!I22+Taux!J22</f>
        <v>0</v>
      </c>
      <c r="I28" s="316">
        <f t="shared" si="1"/>
        <v>-389991.10323682032</v>
      </c>
      <c r="J28" s="394">
        <f t="shared" si="2"/>
        <v>312190.89515331679</v>
      </c>
      <c r="K28" s="520">
        <f t="shared" si="3"/>
        <v>-77800.20808350353</v>
      </c>
    </row>
    <row r="29" spans="1:11" x14ac:dyDescent="0.25">
      <c r="A29" s="38">
        <f>Données!A23</f>
        <v>5424</v>
      </c>
      <c r="B29" s="27" t="str">
        <f>Données!B23</f>
        <v>Berolle</v>
      </c>
      <c r="C29" s="26">
        <f>Ecrêtage!C23</f>
        <v>8301.7307284768212</v>
      </c>
      <c r="D29" s="12">
        <f>Données!Z23</f>
        <v>308</v>
      </c>
      <c r="E29" s="8">
        <f>Population!K26</f>
        <v>-39739.436619718304</v>
      </c>
      <c r="F29" s="238">
        <f>Solidarité!I23</f>
        <v>-147142.83213027898</v>
      </c>
      <c r="G29" s="8">
        <f>DT!O23</f>
        <v>-74732.567582781456</v>
      </c>
      <c r="H29" s="238">
        <f>Effort!K23+Aide!I23+Taux!J23</f>
        <v>0</v>
      </c>
      <c r="I29" s="316">
        <f t="shared" si="1"/>
        <v>-261614.83633277874</v>
      </c>
      <c r="J29" s="394">
        <f t="shared" si="2"/>
        <v>160041.48121619513</v>
      </c>
      <c r="K29" s="520">
        <f t="shared" si="3"/>
        <v>-101573.35511658361</v>
      </c>
    </row>
    <row r="30" spans="1:11" x14ac:dyDescent="0.25">
      <c r="A30" s="38">
        <f>Données!A24</f>
        <v>5425</v>
      </c>
      <c r="B30" s="27" t="str">
        <f>Données!B24</f>
        <v>Bière</v>
      </c>
      <c r="C30" s="26">
        <f>Ecrêtage!C24</f>
        <v>44215.914072963518</v>
      </c>
      <c r="D30" s="12">
        <f>Données!Z24</f>
        <v>1634</v>
      </c>
      <c r="E30" s="8">
        <f>Population!K27</f>
        <v>-358067.8068410462</v>
      </c>
      <c r="F30" s="238">
        <f>Solidarité!I24</f>
        <v>-648693.57146876503</v>
      </c>
      <c r="G30" s="8">
        <f>DT!O24</f>
        <v>-746224.33000749617</v>
      </c>
      <c r="H30" s="238">
        <f>Effort!K24+Aide!I24+Taux!J24</f>
        <v>0</v>
      </c>
      <c r="I30" s="316">
        <f t="shared" si="1"/>
        <v>-1752985.7083173073</v>
      </c>
      <c r="J30" s="394">
        <f t="shared" si="2"/>
        <v>852398.20623084018</v>
      </c>
      <c r="K30" s="520">
        <f t="shared" si="3"/>
        <v>-900587.50208646711</v>
      </c>
    </row>
    <row r="31" spans="1:11" x14ac:dyDescent="0.25">
      <c r="A31" s="38">
        <f>Données!A25</f>
        <v>5426</v>
      </c>
      <c r="B31" s="27" t="str">
        <f>Données!B25</f>
        <v>Bougy-Villars</v>
      </c>
      <c r="C31" s="26">
        <f>Ecrêtage!C25</f>
        <v>53043.343074935401</v>
      </c>
      <c r="D31" s="12">
        <f>Données!Z25</f>
        <v>497</v>
      </c>
      <c r="E31" s="8">
        <f>Population!K28</f>
        <v>-64124.999999999985</v>
      </c>
      <c r="F31" s="238">
        <f>Solidarité!I25</f>
        <v>0</v>
      </c>
      <c r="G31" s="8">
        <f>DT!O25</f>
        <v>0</v>
      </c>
      <c r="H31" s="238">
        <f>Effort!K25+Aide!I25+Taux!J25</f>
        <v>0</v>
      </c>
      <c r="I31" s="316">
        <f t="shared" si="1"/>
        <v>-64124.999999999985</v>
      </c>
      <c r="J31" s="394">
        <f t="shared" si="2"/>
        <v>1022574.1441181423</v>
      </c>
      <c r="K31" s="520">
        <f t="shared" si="3"/>
        <v>958449.14411814231</v>
      </c>
    </row>
    <row r="32" spans="1:11" x14ac:dyDescent="0.25">
      <c r="A32" s="38">
        <f>Données!A26</f>
        <v>5427</v>
      </c>
      <c r="B32" s="27" t="str">
        <f>Données!B26</f>
        <v>Féchy</v>
      </c>
      <c r="C32" s="26">
        <f>Ecrêtage!C26</f>
        <v>88211.829663461554</v>
      </c>
      <c r="D32" s="12">
        <f>Données!Z26</f>
        <v>893</v>
      </c>
      <c r="E32" s="8">
        <f>Population!K29</f>
        <v>-115218.56136820924</v>
      </c>
      <c r="F32" s="238">
        <f>Solidarité!I26</f>
        <v>0</v>
      </c>
      <c r="G32" s="8">
        <f>DT!O26</f>
        <v>0</v>
      </c>
      <c r="H32" s="238">
        <f>Effort!K26+Aide!I26+Taux!J26</f>
        <v>0</v>
      </c>
      <c r="I32" s="316">
        <f t="shared" si="1"/>
        <v>-115218.56136820924</v>
      </c>
      <c r="J32" s="394">
        <f t="shared" si="2"/>
        <v>1700555.2627363205</v>
      </c>
      <c r="K32" s="520">
        <f t="shared" si="3"/>
        <v>1585336.7013681112</v>
      </c>
    </row>
    <row r="33" spans="1:11" x14ac:dyDescent="0.25">
      <c r="A33" s="38">
        <f>Données!A27</f>
        <v>5428</v>
      </c>
      <c r="B33" s="27" t="str">
        <f>Données!B27</f>
        <v>Gimel</v>
      </c>
      <c r="C33" s="26">
        <f>Ecrêtage!C27</f>
        <v>70557.620626398202</v>
      </c>
      <c r="D33" s="12">
        <f>Données!Z27</f>
        <v>2402</v>
      </c>
      <c r="E33" s="8">
        <f>Population!K30</f>
        <v>-635521.32796780672</v>
      </c>
      <c r="F33" s="238">
        <f>Solidarité!I27</f>
        <v>-988394.16011500172</v>
      </c>
      <c r="G33" s="8">
        <f>DT!O27</f>
        <v>-567958.8107718121</v>
      </c>
      <c r="H33" s="238">
        <f>Effort!K27+Aide!I27+Taux!J27</f>
        <v>0</v>
      </c>
      <c r="I33" s="316">
        <f t="shared" si="1"/>
        <v>-2191874.2988546207</v>
      </c>
      <c r="J33" s="394">
        <f t="shared" si="2"/>
        <v>1360215.8978012265</v>
      </c>
      <c r="K33" s="520">
        <f t="shared" si="3"/>
        <v>-831658.40105339419</v>
      </c>
    </row>
    <row r="34" spans="1:11" x14ac:dyDescent="0.25">
      <c r="A34" s="38">
        <f>Données!A28</f>
        <v>5429</v>
      </c>
      <c r="B34" s="27" t="str">
        <f>Données!B28</f>
        <v>Longirod</v>
      </c>
      <c r="C34" s="26">
        <f>Ecrêtage!C28</f>
        <v>18573.92709677419</v>
      </c>
      <c r="D34" s="12">
        <f>Données!Z28</f>
        <v>520</v>
      </c>
      <c r="E34" s="8">
        <f>Population!K31</f>
        <v>-67092.555331991942</v>
      </c>
      <c r="F34" s="238">
        <f>Solidarité!I28</f>
        <v>-152391.88969770374</v>
      </c>
      <c r="G34" s="8">
        <f>DT!O28</f>
        <v>-89212.992096774222</v>
      </c>
      <c r="H34" s="238">
        <f>Effort!K28+Aide!I28+Taux!J28</f>
        <v>0</v>
      </c>
      <c r="I34" s="316">
        <f t="shared" si="1"/>
        <v>-308697.43712646991</v>
      </c>
      <c r="J34" s="394">
        <f t="shared" si="2"/>
        <v>358069.76903896383</v>
      </c>
      <c r="K34" s="520">
        <f t="shared" si="3"/>
        <v>49372.331912493915</v>
      </c>
    </row>
    <row r="35" spans="1:11" x14ac:dyDescent="0.25">
      <c r="A35" s="38">
        <f>Données!A29</f>
        <v>5430</v>
      </c>
      <c r="B35" s="27" t="str">
        <f>Données!B29</f>
        <v>Marchissy</v>
      </c>
      <c r="C35" s="26">
        <f>Ecrêtage!C29</f>
        <v>15580.605290322583</v>
      </c>
      <c r="D35" s="12">
        <f>Données!Z29</f>
        <v>485</v>
      </c>
      <c r="E35" s="8">
        <f>Population!K32</f>
        <v>-62576.710261569402</v>
      </c>
      <c r="F35" s="238">
        <f>Solidarité!I29</f>
        <v>-183960.65761192766</v>
      </c>
      <c r="G35" s="8">
        <f>DT!O29</f>
        <v>-60431.368258064504</v>
      </c>
      <c r="H35" s="238">
        <f>Effort!K29+Aide!I29+Taux!J29</f>
        <v>0</v>
      </c>
      <c r="I35" s="316">
        <f t="shared" si="1"/>
        <v>-306968.73613156157</v>
      </c>
      <c r="J35" s="394">
        <f t="shared" si="2"/>
        <v>300364.25300506229</v>
      </c>
      <c r="K35" s="520">
        <f t="shared" si="3"/>
        <v>-6604.4831264992827</v>
      </c>
    </row>
    <row r="36" spans="1:11" x14ac:dyDescent="0.25">
      <c r="A36" s="38">
        <f>Données!A30</f>
        <v>5431</v>
      </c>
      <c r="B36" s="27" t="str">
        <f>Données!B30</f>
        <v>Mollens</v>
      </c>
      <c r="C36" s="26">
        <f>Ecrêtage!C30</f>
        <v>10464.936351351351</v>
      </c>
      <c r="D36" s="12">
        <f>Données!Z30</f>
        <v>319</v>
      </c>
      <c r="E36" s="8">
        <f>Population!K33</f>
        <v>-41158.70221327967</v>
      </c>
      <c r="F36" s="238">
        <f>Solidarité!I30</f>
        <v>-105566.09973001065</v>
      </c>
      <c r="G36" s="8">
        <f>DT!O30</f>
        <v>-38473.929628378377</v>
      </c>
      <c r="H36" s="238">
        <f>Effort!K30+Aide!I30+Taux!J30</f>
        <v>0</v>
      </c>
      <c r="I36" s="316">
        <f t="shared" si="1"/>
        <v>-185198.7315716687</v>
      </c>
      <c r="J36" s="394">
        <f t="shared" si="2"/>
        <v>201743.94584474398</v>
      </c>
      <c r="K36" s="520">
        <f t="shared" si="3"/>
        <v>16545.214273075282</v>
      </c>
    </row>
    <row r="37" spans="1:11" x14ac:dyDescent="0.25">
      <c r="A37" s="38">
        <f>Données!A31</f>
        <v>5434</v>
      </c>
      <c r="B37" s="27" t="str">
        <f>Données!B31</f>
        <v>Saint-George</v>
      </c>
      <c r="C37" s="26">
        <f>Ecrêtage!C31</f>
        <v>43543.93829736211</v>
      </c>
      <c r="D37" s="12">
        <f>Données!Z31</f>
        <v>1072</v>
      </c>
      <c r="E37" s="8">
        <f>Population!K34</f>
        <v>-155035.41247484906</v>
      </c>
      <c r="F37" s="238">
        <f>Solidarité!I31</f>
        <v>-151284.78597191657</v>
      </c>
      <c r="G37" s="8">
        <f>DT!O31</f>
        <v>-72371.620215827337</v>
      </c>
      <c r="H37" s="238">
        <f>Effort!K31+Aide!I31+Taux!J31</f>
        <v>0</v>
      </c>
      <c r="I37" s="316">
        <f t="shared" si="1"/>
        <v>-378691.81866259302</v>
      </c>
      <c r="J37" s="394">
        <f t="shared" si="2"/>
        <v>839443.79925402137</v>
      </c>
      <c r="K37" s="520">
        <f t="shared" si="3"/>
        <v>460751.98059142835</v>
      </c>
    </row>
    <row r="38" spans="1:11" x14ac:dyDescent="0.25">
      <c r="A38" s="38">
        <f>Données!A32</f>
        <v>5435</v>
      </c>
      <c r="B38" s="27" t="str">
        <f>Données!B32</f>
        <v>Saint-Livres</v>
      </c>
      <c r="C38" s="26">
        <f>Ecrêtage!C32</f>
        <v>25853.824637681166</v>
      </c>
      <c r="D38" s="12">
        <f>Données!Z32</f>
        <v>674</v>
      </c>
      <c r="E38" s="8">
        <f>Population!K35</f>
        <v>-86962.27364185109</v>
      </c>
      <c r="F38" s="238">
        <f>Solidarité!I32</f>
        <v>-122732.55687727749</v>
      </c>
      <c r="G38" s="8">
        <f>DT!O32</f>
        <v>-1442.5521739130054</v>
      </c>
      <c r="H38" s="238">
        <f>Effort!K32+Aide!I32+Taux!J32</f>
        <v>0</v>
      </c>
      <c r="I38" s="316">
        <f t="shared" si="1"/>
        <v>-211137.38269304158</v>
      </c>
      <c r="J38" s="394">
        <f t="shared" si="2"/>
        <v>498412.26190643071</v>
      </c>
      <c r="K38" s="520">
        <f t="shared" si="3"/>
        <v>287274.87921338913</v>
      </c>
    </row>
    <row r="39" spans="1:11" x14ac:dyDescent="0.25">
      <c r="A39" s="38">
        <f>Données!A33</f>
        <v>5436</v>
      </c>
      <c r="B39" s="27" t="str">
        <f>Données!B33</f>
        <v>Saint-Oyens</v>
      </c>
      <c r="C39" s="26">
        <f>Ecrêtage!C33</f>
        <v>16868.155185185187</v>
      </c>
      <c r="D39" s="12">
        <f>Données!Z33</f>
        <v>458</v>
      </c>
      <c r="E39" s="8">
        <f>Population!K36</f>
        <v>-59093.058350100589</v>
      </c>
      <c r="F39" s="238">
        <f>Solidarité!I33</f>
        <v>-133282.88131271696</v>
      </c>
      <c r="G39" s="8">
        <f>DT!O33</f>
        <v>0</v>
      </c>
      <c r="H39" s="238">
        <f>Effort!K33+Aide!I33+Taux!J33</f>
        <v>0</v>
      </c>
      <c r="I39" s="316">
        <f t="shared" si="1"/>
        <v>-192375.93966281755</v>
      </c>
      <c r="J39" s="394">
        <f t="shared" si="2"/>
        <v>325185.75096171489</v>
      </c>
      <c r="K39" s="520">
        <f t="shared" si="3"/>
        <v>132809.81129889734</v>
      </c>
    </row>
    <row r="40" spans="1:11" x14ac:dyDescent="0.25">
      <c r="A40" s="38">
        <f>Données!A34</f>
        <v>5437</v>
      </c>
      <c r="B40" s="27" t="str">
        <f>Données!B34</f>
        <v>Saubraz</v>
      </c>
      <c r="C40" s="26">
        <f>Ecrêtage!C34</f>
        <v>13551.123374999999</v>
      </c>
      <c r="D40" s="12">
        <f>Données!Z34</f>
        <v>444</v>
      </c>
      <c r="E40" s="8">
        <f>Population!K37</f>
        <v>-57286.720321931578</v>
      </c>
      <c r="F40" s="238">
        <f>Solidarité!I34</f>
        <v>-197662.85471489766</v>
      </c>
      <c r="G40" s="8">
        <f>DT!O34</f>
        <v>-356802.00975000003</v>
      </c>
      <c r="H40" s="238">
        <f>Effort!K34+Aide!I34+Taux!J34</f>
        <v>0</v>
      </c>
      <c r="I40" s="316">
        <f t="shared" si="1"/>
        <v>-611751.58478682931</v>
      </c>
      <c r="J40" s="394">
        <f t="shared" si="2"/>
        <v>261239.72554772563</v>
      </c>
      <c r="K40" s="520">
        <f t="shared" si="3"/>
        <v>-350511.85923910368</v>
      </c>
    </row>
    <row r="41" spans="1:11" x14ac:dyDescent="0.25">
      <c r="A41" s="38">
        <f>Données!A35</f>
        <v>5451</v>
      </c>
      <c r="B41" s="27" t="str">
        <f>Données!B35</f>
        <v>Avenches</v>
      </c>
      <c r="C41" s="26">
        <f>Ecrêtage!C35</f>
        <v>137788.88576441104</v>
      </c>
      <c r="D41" s="12">
        <f>Données!Z35</f>
        <v>4616</v>
      </c>
      <c r="E41" s="8">
        <f>Population!K38</f>
        <v>-1685571.4285714282</v>
      </c>
      <c r="F41" s="238">
        <f>Solidarité!I35</f>
        <v>-1474603.3927104298</v>
      </c>
      <c r="G41" s="8">
        <f>DT!O35</f>
        <v>-1427687.9354135338</v>
      </c>
      <c r="H41" s="238">
        <f>Effort!K35+Aide!I35+Taux!J35</f>
        <v>0</v>
      </c>
      <c r="I41" s="316">
        <f t="shared" si="1"/>
        <v>-4587862.7566953916</v>
      </c>
      <c r="J41" s="394">
        <f t="shared" si="2"/>
        <v>2656306.0275157196</v>
      </c>
      <c r="K41" s="520">
        <f t="shared" si="3"/>
        <v>-1931556.729179672</v>
      </c>
    </row>
    <row r="42" spans="1:11" x14ac:dyDescent="0.25">
      <c r="A42" s="38">
        <f>Données!A36</f>
        <v>5456</v>
      </c>
      <c r="B42" s="27" t="str">
        <f>Données!B36</f>
        <v>Cudrefin</v>
      </c>
      <c r="C42" s="26">
        <f>Ecrêtage!C36</f>
        <v>64142.52694915254</v>
      </c>
      <c r="D42" s="12">
        <f>Données!Z36</f>
        <v>1836</v>
      </c>
      <c r="E42" s="8">
        <f>Population!K39</f>
        <v>-431043.86317907437</v>
      </c>
      <c r="F42" s="238">
        <f>Solidarité!I36</f>
        <v>-331833.34552926884</v>
      </c>
      <c r="G42" s="8">
        <f>DT!O36</f>
        <v>-281690.83830508473</v>
      </c>
      <c r="H42" s="238">
        <f>Effort!K36+Aide!I36+Taux!J36</f>
        <v>0</v>
      </c>
      <c r="I42" s="316">
        <f t="shared" si="1"/>
        <v>-1044568.0470134279</v>
      </c>
      <c r="J42" s="394">
        <f t="shared" si="2"/>
        <v>1236545.1684284592</v>
      </c>
      <c r="K42" s="520">
        <f t="shared" si="3"/>
        <v>191977.12141503126</v>
      </c>
    </row>
    <row r="43" spans="1:11" x14ac:dyDescent="0.25">
      <c r="A43" s="38">
        <f>Données!A37</f>
        <v>5458</v>
      </c>
      <c r="B43" s="27" t="str">
        <f>Données!B37</f>
        <v>Faoug</v>
      </c>
      <c r="C43" s="26">
        <f>Ecrêtage!C37</f>
        <v>34719.981076923075</v>
      </c>
      <c r="D43" s="12">
        <f>Données!Z37</f>
        <v>866</v>
      </c>
      <c r="E43" s="8">
        <f>Population!K40</f>
        <v>-111734.90945674042</v>
      </c>
      <c r="F43" s="238">
        <f>Solidarité!I37</f>
        <v>-114602.31115157448</v>
      </c>
      <c r="G43" s="8">
        <f>DT!O37</f>
        <v>-131955.11353846156</v>
      </c>
      <c r="H43" s="238">
        <f>Effort!K37+Aide!I37+Taux!J37</f>
        <v>0</v>
      </c>
      <c r="I43" s="316">
        <f t="shared" si="1"/>
        <v>-358292.33414677647</v>
      </c>
      <c r="J43" s="394">
        <f t="shared" si="2"/>
        <v>669334.79067063786</v>
      </c>
      <c r="K43" s="520">
        <f t="shared" si="3"/>
        <v>311042.45652386139</v>
      </c>
    </row>
    <row r="44" spans="1:11" x14ac:dyDescent="0.25">
      <c r="A44" s="38">
        <f>Données!A38</f>
        <v>5464</v>
      </c>
      <c r="B44" s="27" t="str">
        <f>Données!B38</f>
        <v>Vully-les-Lacs</v>
      </c>
      <c r="C44" s="26">
        <f>Ecrêtage!C38</f>
        <v>119166.87835820897</v>
      </c>
      <c r="D44" s="12">
        <f>Données!Z38</f>
        <v>3465</v>
      </c>
      <c r="E44" s="8">
        <f>Population!K41</f>
        <v>-1091544.2655935611</v>
      </c>
      <c r="F44" s="238">
        <f>Solidarité!I38</f>
        <v>-841429.1455302831</v>
      </c>
      <c r="G44" s="8">
        <f>DT!O38</f>
        <v>-299936.22985074623</v>
      </c>
      <c r="H44" s="238">
        <f>Effort!K38+Aide!I38+Taux!J38</f>
        <v>0</v>
      </c>
      <c r="I44" s="316">
        <f t="shared" si="1"/>
        <v>-2232909.6409745906</v>
      </c>
      <c r="J44" s="394">
        <f t="shared" si="2"/>
        <v>2297309.3621234717</v>
      </c>
      <c r="K44" s="520">
        <f t="shared" si="3"/>
        <v>64399.72114888113</v>
      </c>
    </row>
    <row r="45" spans="1:11" x14ac:dyDescent="0.25">
      <c r="A45" s="38">
        <f>Données!A39</f>
        <v>5471</v>
      </c>
      <c r="B45" s="27" t="str">
        <f>Données!B39</f>
        <v>Bettens</v>
      </c>
      <c r="C45" s="26">
        <f>Ecrêtage!C39</f>
        <v>22887.22226984127</v>
      </c>
      <c r="D45" s="12">
        <f>Données!Z39</f>
        <v>626</v>
      </c>
      <c r="E45" s="8">
        <f>Population!K42</f>
        <v>-80769.114688128757</v>
      </c>
      <c r="F45" s="238">
        <f>Solidarité!I39</f>
        <v>-139349.37357603011</v>
      </c>
      <c r="G45" s="8">
        <f>DT!O39</f>
        <v>-26372.416380952382</v>
      </c>
      <c r="H45" s="238">
        <f>Effort!K39+Aide!I39+Taux!J39</f>
        <v>0</v>
      </c>
      <c r="I45" s="316">
        <f t="shared" si="1"/>
        <v>-246490.90464511124</v>
      </c>
      <c r="J45" s="394">
        <f t="shared" si="2"/>
        <v>441221.84551530785</v>
      </c>
      <c r="K45" s="520">
        <f t="shared" si="3"/>
        <v>194730.94087019662</v>
      </c>
    </row>
    <row r="46" spans="1:11" x14ac:dyDescent="0.25">
      <c r="A46" s="38">
        <f>Données!A40</f>
        <v>5472</v>
      </c>
      <c r="B46" s="27" t="str">
        <f>Données!B40</f>
        <v>Bournens</v>
      </c>
      <c r="C46" s="26">
        <f>Ecrêtage!C40</f>
        <v>22175.50986111111</v>
      </c>
      <c r="D46" s="12">
        <f>Données!Z40</f>
        <v>507</v>
      </c>
      <c r="E46" s="8">
        <f>Population!K43</f>
        <v>-65415.241448692141</v>
      </c>
      <c r="F46" s="238">
        <f>Solidarité!I40</f>
        <v>-44037.606696632087</v>
      </c>
      <c r="G46" s="8">
        <f>DT!O40</f>
        <v>-17378.617604166669</v>
      </c>
      <c r="H46" s="238">
        <f>Effort!K40+Aide!I40+Taux!J40</f>
        <v>0</v>
      </c>
      <c r="I46" s="316">
        <f t="shared" si="1"/>
        <v>-126831.46574949089</v>
      </c>
      <c r="J46" s="394">
        <f t="shared" si="2"/>
        <v>427501.3922967512</v>
      </c>
      <c r="K46" s="520">
        <f t="shared" si="3"/>
        <v>300669.92654726031</v>
      </c>
    </row>
    <row r="47" spans="1:11" x14ac:dyDescent="0.25">
      <c r="A47" s="38">
        <f>Données!A41</f>
        <v>5473</v>
      </c>
      <c r="B47" s="27" t="str">
        <f>Données!B41</f>
        <v>Boussens</v>
      </c>
      <c r="C47" s="26">
        <f>Ecrêtage!C41</f>
        <v>37058.091851851859</v>
      </c>
      <c r="D47" s="12">
        <f>Données!Z41</f>
        <v>1001</v>
      </c>
      <c r="E47" s="8">
        <f>Population!K44</f>
        <v>-129385.41247484907</v>
      </c>
      <c r="F47" s="238">
        <f>Solidarité!I41</f>
        <v>-198812.12286227994</v>
      </c>
      <c r="G47" s="8">
        <f>DT!O41</f>
        <v>0</v>
      </c>
      <c r="H47" s="238">
        <f>Effort!K41+Aide!I41+Taux!J41</f>
        <v>0</v>
      </c>
      <c r="I47" s="316">
        <f t="shared" si="1"/>
        <v>-328197.53533712903</v>
      </c>
      <c r="J47" s="394">
        <f t="shared" si="2"/>
        <v>714409.09191044746</v>
      </c>
      <c r="K47" s="520">
        <f t="shared" si="3"/>
        <v>386211.55657331843</v>
      </c>
    </row>
    <row r="48" spans="1:11" x14ac:dyDescent="0.25">
      <c r="A48" s="38">
        <f>Données!A42</f>
        <v>5474</v>
      </c>
      <c r="B48" s="27" t="str">
        <f>Données!B42</f>
        <v>La Chaux (Cossonay)</v>
      </c>
      <c r="C48" s="26">
        <f>Ecrêtage!C42</f>
        <v>12904.367324561405</v>
      </c>
      <c r="D48" s="12">
        <f>Données!Z42</f>
        <v>398</v>
      </c>
      <c r="E48" s="8">
        <f>Population!K45</f>
        <v>-51351.609657947673</v>
      </c>
      <c r="F48" s="238">
        <f>Solidarité!I42</f>
        <v>-142436.99230748546</v>
      </c>
      <c r="G48" s="8">
        <f>DT!O42</f>
        <v>-229772.29605263157</v>
      </c>
      <c r="H48" s="238">
        <f>Effort!K42+Aide!I42+Taux!J42</f>
        <v>0</v>
      </c>
      <c r="I48" s="316">
        <f t="shared" si="1"/>
        <v>-423560.89801806468</v>
      </c>
      <c r="J48" s="394">
        <f t="shared" si="2"/>
        <v>248771.5066084298</v>
      </c>
      <c r="K48" s="520">
        <f t="shared" si="3"/>
        <v>-174789.39140963487</v>
      </c>
    </row>
    <row r="49" spans="1:11" x14ac:dyDescent="0.25">
      <c r="A49" s="38">
        <f>Données!A43</f>
        <v>5475</v>
      </c>
      <c r="B49" s="27" t="str">
        <f>Données!B43</f>
        <v>Chavannes-le-Veyron</v>
      </c>
      <c r="C49" s="26">
        <f>Ecrêtage!C43</f>
        <v>4277.2565333333332</v>
      </c>
      <c r="D49" s="12">
        <f>Données!Z43</f>
        <v>155</v>
      </c>
      <c r="E49" s="8">
        <f>Population!K46</f>
        <v>-19998.742454728366</v>
      </c>
      <c r="F49" s="238">
        <f>Solidarité!I43</f>
        <v>-70837.123227926</v>
      </c>
      <c r="G49" s="8">
        <f>DT!O43</f>
        <v>-27784.268400000001</v>
      </c>
      <c r="H49" s="238">
        <f>Effort!K43+Aide!I43+Taux!J43</f>
        <v>0</v>
      </c>
      <c r="I49" s="316">
        <f t="shared" si="1"/>
        <v>-118620.13408265437</v>
      </c>
      <c r="J49" s="394">
        <f t="shared" si="2"/>
        <v>82457.320470319784</v>
      </c>
      <c r="K49" s="520">
        <f t="shared" si="3"/>
        <v>-36162.81361233459</v>
      </c>
    </row>
    <row r="50" spans="1:11" x14ac:dyDescent="0.25">
      <c r="A50" s="38">
        <f>Données!A44</f>
        <v>5476</v>
      </c>
      <c r="B50" s="27" t="str">
        <f>Données!B44</f>
        <v>Chevilly</v>
      </c>
      <c r="C50" s="26">
        <f>Ecrêtage!C44</f>
        <v>12081.593793103451</v>
      </c>
      <c r="D50" s="12">
        <f>Données!Z44</f>
        <v>322</v>
      </c>
      <c r="E50" s="8">
        <f>Population!K47</f>
        <v>-41545.774647887316</v>
      </c>
      <c r="F50" s="238">
        <f>Solidarité!I44</f>
        <v>-70402.359077575267</v>
      </c>
      <c r="G50" s="8">
        <f>DT!O44</f>
        <v>-8896.6872413792917</v>
      </c>
      <c r="H50" s="238">
        <f>Effort!K44+Aide!I44+Taux!J44</f>
        <v>0</v>
      </c>
      <c r="I50" s="316">
        <f t="shared" si="1"/>
        <v>-120844.82096684187</v>
      </c>
      <c r="J50" s="394">
        <f t="shared" si="2"/>
        <v>232910.00748411761</v>
      </c>
      <c r="K50" s="520">
        <f t="shared" si="3"/>
        <v>112065.18651727574</v>
      </c>
    </row>
    <row r="51" spans="1:11" x14ac:dyDescent="0.25">
      <c r="A51" s="38">
        <f>Données!A45</f>
        <v>5477</v>
      </c>
      <c r="B51" s="27" t="str">
        <f>Données!B45</f>
        <v>Cossonay</v>
      </c>
      <c r="C51" s="26">
        <f>Ecrêtage!C45</f>
        <v>142576.66388489207</v>
      </c>
      <c r="D51" s="12">
        <f>Données!Z45</f>
        <v>4326</v>
      </c>
      <c r="E51" s="8">
        <f>Population!K48</f>
        <v>-1535903.4205231385</v>
      </c>
      <c r="F51" s="238">
        <f>Solidarité!I45</f>
        <v>-1250034.7300754909</v>
      </c>
      <c r="G51" s="8">
        <f>DT!O45</f>
        <v>-815719.26669064758</v>
      </c>
      <c r="H51" s="238">
        <f>Effort!K45+Aide!I45+Taux!J45</f>
        <v>0</v>
      </c>
      <c r="I51" s="316">
        <f t="shared" si="1"/>
        <v>-3601657.4172892771</v>
      </c>
      <c r="J51" s="394">
        <f t="shared" si="2"/>
        <v>2748605.2271883716</v>
      </c>
      <c r="K51" s="520">
        <f t="shared" si="3"/>
        <v>-853052.19010090549</v>
      </c>
    </row>
    <row r="52" spans="1:11" x14ac:dyDescent="0.25">
      <c r="A52" s="38">
        <f>Données!A46</f>
        <v>5479</v>
      </c>
      <c r="B52" s="27" t="str">
        <f>Données!B46</f>
        <v>Cuarnens</v>
      </c>
      <c r="C52" s="26">
        <f>Ecrêtage!C46</f>
        <v>17984.468961038958</v>
      </c>
      <c r="D52" s="12">
        <f>Données!Z46</f>
        <v>531</v>
      </c>
      <c r="E52" s="8">
        <f>Population!K49</f>
        <v>-68511.8209255533</v>
      </c>
      <c r="F52" s="238">
        <f>Solidarité!I46</f>
        <v>-176882.26126236969</v>
      </c>
      <c r="G52" s="8">
        <f>DT!O46</f>
        <v>-96991.334512987029</v>
      </c>
      <c r="H52" s="238">
        <f>Effort!K46+Aide!I46+Taux!J46</f>
        <v>0</v>
      </c>
      <c r="I52" s="316">
        <f t="shared" si="1"/>
        <v>-342385.41670091002</v>
      </c>
      <c r="J52" s="394">
        <f t="shared" si="2"/>
        <v>346706.14424270252</v>
      </c>
      <c r="K52" s="520">
        <f t="shared" si="3"/>
        <v>4320.7275417924975</v>
      </c>
    </row>
    <row r="53" spans="1:11" x14ac:dyDescent="0.25">
      <c r="A53" s="38">
        <f>Données!A47</f>
        <v>5480</v>
      </c>
      <c r="B53" s="27" t="str">
        <f>Données!B47</f>
        <v>Daillens</v>
      </c>
      <c r="C53" s="26">
        <f>Ecrêtage!C47</f>
        <v>41328.998989898995</v>
      </c>
      <c r="D53" s="12">
        <f>Données!Z47</f>
        <v>1051</v>
      </c>
      <c r="E53" s="8">
        <f>Population!K50</f>
        <v>-147448.79275653919</v>
      </c>
      <c r="F53" s="238">
        <f>Solidarité!I47</f>
        <v>-157458.60829577266</v>
      </c>
      <c r="G53" s="8">
        <f>DT!O47</f>
        <v>-138589.50606060604</v>
      </c>
      <c r="H53" s="238">
        <f>Effort!K47+Aide!I47+Taux!J47</f>
        <v>0</v>
      </c>
      <c r="I53" s="316">
        <f t="shared" si="1"/>
        <v>-443496.90711291792</v>
      </c>
      <c r="J53" s="394">
        <f t="shared" si="2"/>
        <v>796744.00819064525</v>
      </c>
      <c r="K53" s="520">
        <f t="shared" si="3"/>
        <v>353247.10107772733</v>
      </c>
    </row>
    <row r="54" spans="1:11" x14ac:dyDescent="0.25">
      <c r="A54" s="38">
        <f>Données!A48</f>
        <v>5481</v>
      </c>
      <c r="B54" s="27" t="str">
        <f>Données!B48</f>
        <v>Dizy</v>
      </c>
      <c r="C54" s="26">
        <f>Ecrêtage!C48</f>
        <v>8120.2678666666679</v>
      </c>
      <c r="D54" s="12">
        <f>Données!Z48</f>
        <v>225</v>
      </c>
      <c r="E54" s="8">
        <f>Population!K51</f>
        <v>-29030.432595573435</v>
      </c>
      <c r="F54" s="238">
        <f>Solidarité!I48</f>
        <v>-59877.558819281556</v>
      </c>
      <c r="G54" s="8">
        <f>DT!O48</f>
        <v>-17276.142799999994</v>
      </c>
      <c r="H54" s="238">
        <f>Effort!K48+Aide!I48+Taux!J48</f>
        <v>0</v>
      </c>
      <c r="I54" s="316">
        <f t="shared" si="1"/>
        <v>-106184.13421485497</v>
      </c>
      <c r="J54" s="394">
        <f t="shared" si="2"/>
        <v>156543.22451049311</v>
      </c>
      <c r="K54" s="520">
        <f t="shared" si="3"/>
        <v>50359.090295638132</v>
      </c>
    </row>
    <row r="55" spans="1:11" x14ac:dyDescent="0.25">
      <c r="A55" s="38">
        <f>Données!A49</f>
        <v>5482</v>
      </c>
      <c r="B55" s="27" t="str">
        <f>Données!B49</f>
        <v>Eclépens</v>
      </c>
      <c r="C55" s="26">
        <f>Ecrêtage!C49</f>
        <v>54169.31369565217</v>
      </c>
      <c r="D55" s="12">
        <f>Données!Z49</f>
        <v>1198</v>
      </c>
      <c r="E55" s="8">
        <f>Population!K52</f>
        <v>-200555.13078470819</v>
      </c>
      <c r="F55" s="238">
        <f>Solidarité!I49</f>
        <v>-27508.62423701429</v>
      </c>
      <c r="G55" s="8">
        <f>DT!O49</f>
        <v>-73340.617826086978</v>
      </c>
      <c r="H55" s="238">
        <f>Effort!K49+Aide!I49+Taux!J49</f>
        <v>0</v>
      </c>
      <c r="I55" s="316">
        <f t="shared" si="1"/>
        <v>-301404.37284780946</v>
      </c>
      <c r="J55" s="394">
        <f t="shared" si="2"/>
        <v>1044280.7028875441</v>
      </c>
      <c r="K55" s="520">
        <f t="shared" si="3"/>
        <v>742876.3300397346</v>
      </c>
    </row>
    <row r="56" spans="1:11" x14ac:dyDescent="0.25">
      <c r="A56" s="38">
        <f>Données!A50</f>
        <v>5483</v>
      </c>
      <c r="B56" s="27" t="str">
        <f>Données!B50</f>
        <v>Ferreyres</v>
      </c>
      <c r="C56" s="26">
        <f>Ecrêtage!C50</f>
        <v>10537.013684210528</v>
      </c>
      <c r="D56" s="12">
        <f>Données!Z50</f>
        <v>319</v>
      </c>
      <c r="E56" s="8">
        <f>Population!K53</f>
        <v>-41158.70221327967</v>
      </c>
      <c r="F56" s="238">
        <f>Solidarité!I50</f>
        <v>-109686.33399031087</v>
      </c>
      <c r="G56" s="8">
        <f>DT!O50</f>
        <v>0</v>
      </c>
      <c r="H56" s="238">
        <f>Effort!K50+Aide!I50+Taux!J50</f>
        <v>0</v>
      </c>
      <c r="I56" s="316">
        <f t="shared" si="1"/>
        <v>-150845.03620359054</v>
      </c>
      <c r="J56" s="394">
        <f t="shared" si="2"/>
        <v>203133.45888608202</v>
      </c>
      <c r="K56" s="520">
        <f t="shared" si="3"/>
        <v>52288.42268249148</v>
      </c>
    </row>
    <row r="57" spans="1:11" x14ac:dyDescent="0.25">
      <c r="A57" s="38">
        <f>Données!A51</f>
        <v>5484</v>
      </c>
      <c r="B57" s="27" t="str">
        <f>Données!B51</f>
        <v>Gollion</v>
      </c>
      <c r="C57" s="26">
        <f>Ecrêtage!C51</f>
        <v>35949.064324324332</v>
      </c>
      <c r="D57" s="12">
        <f>Données!Z51</f>
        <v>1018</v>
      </c>
      <c r="E57" s="8">
        <f>Population!K54</f>
        <v>-135526.96177062372</v>
      </c>
      <c r="F57" s="238">
        <f>Solidarité!I51</f>
        <v>-281032.5521468657</v>
      </c>
      <c r="G57" s="8">
        <f>DT!O51</f>
        <v>-163080.31581081077</v>
      </c>
      <c r="H57" s="238">
        <f>Effort!K51+Aide!I51+Taux!J51</f>
        <v>0</v>
      </c>
      <c r="I57" s="316">
        <f t="shared" si="1"/>
        <v>-579639.82972830022</v>
      </c>
      <c r="J57" s="394">
        <f t="shared" si="2"/>
        <v>693029.16355331487</v>
      </c>
      <c r="K57" s="520">
        <f t="shared" si="3"/>
        <v>113389.33382501465</v>
      </c>
    </row>
    <row r="58" spans="1:11" x14ac:dyDescent="0.25">
      <c r="A58" s="38">
        <f>Données!A52</f>
        <v>5485</v>
      </c>
      <c r="B58" s="27" t="str">
        <f>Données!B52</f>
        <v>Grancy</v>
      </c>
      <c r="C58" s="26">
        <f>Ecrêtage!C52</f>
        <v>24486.752</v>
      </c>
      <c r="D58" s="12">
        <f>Données!Z52</f>
        <v>445</v>
      </c>
      <c r="E58" s="8">
        <f>Population!K55</f>
        <v>-57415.744466800796</v>
      </c>
      <c r="F58" s="238">
        <f>Solidarité!I52</f>
        <v>0</v>
      </c>
      <c r="G58" s="8">
        <f>DT!O52</f>
        <v>-40746.186000000002</v>
      </c>
      <c r="H58" s="238">
        <f>Effort!K52+Aide!I52+Taux!J52</f>
        <v>0</v>
      </c>
      <c r="I58" s="316">
        <f t="shared" si="1"/>
        <v>-98161.930466800797</v>
      </c>
      <c r="J58" s="394">
        <f t="shared" si="2"/>
        <v>472057.71765288955</v>
      </c>
      <c r="K58" s="520">
        <f t="shared" si="3"/>
        <v>373895.78718608874</v>
      </c>
    </row>
    <row r="59" spans="1:11" x14ac:dyDescent="0.25">
      <c r="A59" s="38">
        <f>Données!A53</f>
        <v>5486</v>
      </c>
      <c r="B59" s="27" t="str">
        <f>Données!B53</f>
        <v>L'Isle</v>
      </c>
      <c r="C59" s="26">
        <f>Ecrêtage!C53</f>
        <v>29228.321066666667</v>
      </c>
      <c r="D59" s="12">
        <f>Données!Z53</f>
        <v>1079</v>
      </c>
      <c r="E59" s="8">
        <f>Population!K56</f>
        <v>-157564.28571428568</v>
      </c>
      <c r="F59" s="238">
        <f>Solidarité!I53</f>
        <v>-505407.43166083749</v>
      </c>
      <c r="G59" s="8">
        <f>DT!O53</f>
        <v>-352821.83279999997</v>
      </c>
      <c r="H59" s="238">
        <f>Effort!K53+Aide!I53+Taux!J53</f>
        <v>0</v>
      </c>
      <c r="I59" s="316">
        <f t="shared" si="1"/>
        <v>-1015793.5501751231</v>
      </c>
      <c r="J59" s="394">
        <f t="shared" si="2"/>
        <v>563466.0951994179</v>
      </c>
      <c r="K59" s="520">
        <f t="shared" si="3"/>
        <v>-452327.45497570524</v>
      </c>
    </row>
    <row r="60" spans="1:11" x14ac:dyDescent="0.25">
      <c r="A60" s="38">
        <f>Données!A54</f>
        <v>5487</v>
      </c>
      <c r="B60" s="27" t="str">
        <f>Données!B54</f>
        <v>Lussery-Villars</v>
      </c>
      <c r="C60" s="26">
        <f>Ecrêtage!C54</f>
        <v>16622.186533333337</v>
      </c>
      <c r="D60" s="12">
        <f>Données!Z54</f>
        <v>475</v>
      </c>
      <c r="E60" s="8">
        <f>Population!K57</f>
        <v>-61286.468812877247</v>
      </c>
      <c r="F60" s="238">
        <f>Solidarité!I54</f>
        <v>-138106.78403592421</v>
      </c>
      <c r="G60" s="8">
        <f>DT!O54</f>
        <v>-23756.630799999977</v>
      </c>
      <c r="H60" s="238">
        <f>Effort!K54+Aide!I54+Taux!J54</f>
        <v>0</v>
      </c>
      <c r="I60" s="316">
        <f t="shared" si="1"/>
        <v>-223149.88364880145</v>
      </c>
      <c r="J60" s="394">
        <f t="shared" si="2"/>
        <v>320443.94607034576</v>
      </c>
      <c r="K60" s="520">
        <f t="shared" si="3"/>
        <v>97294.062421544309</v>
      </c>
    </row>
    <row r="61" spans="1:11" x14ac:dyDescent="0.25">
      <c r="A61" s="38">
        <f>Données!A55</f>
        <v>5488</v>
      </c>
      <c r="B61" s="27" t="str">
        <f>Données!B55</f>
        <v>Mauraz</v>
      </c>
      <c r="C61" s="26">
        <f>Ecrêtage!C55</f>
        <v>1729.1580519480517</v>
      </c>
      <c r="D61" s="12">
        <f>Données!Z55</f>
        <v>60</v>
      </c>
      <c r="E61" s="8">
        <f>Population!K58</f>
        <v>-7741.448692152916</v>
      </c>
      <c r="F61" s="238">
        <f>Solidarité!I55</f>
        <v>-27163.142314662091</v>
      </c>
      <c r="G61" s="8">
        <f>DT!O55</f>
        <v>0</v>
      </c>
      <c r="H61" s="238">
        <f>Effort!K55+Aide!I55+Taux!J55</f>
        <v>0</v>
      </c>
      <c r="I61" s="316">
        <f t="shared" si="1"/>
        <v>-34904.591006815004</v>
      </c>
      <c r="J61" s="394">
        <f t="shared" si="2"/>
        <v>33334.85810873218</v>
      </c>
      <c r="K61" s="520">
        <f t="shared" si="3"/>
        <v>-1569.7328980828242</v>
      </c>
    </row>
    <row r="62" spans="1:11" x14ac:dyDescent="0.25">
      <c r="A62" s="38">
        <f>Données!A56</f>
        <v>5489</v>
      </c>
      <c r="B62" s="27" t="str">
        <f>Données!B56</f>
        <v>Mex</v>
      </c>
      <c r="C62" s="26">
        <f>Ecrêtage!C56</f>
        <v>50433.121512605037</v>
      </c>
      <c r="D62" s="12">
        <f>Données!Z56</f>
        <v>795</v>
      </c>
      <c r="E62" s="8">
        <f>Population!K59</f>
        <v>-102574.19517102613</v>
      </c>
      <c r="F62" s="238">
        <f>Solidarité!I56</f>
        <v>0</v>
      </c>
      <c r="G62" s="8">
        <f>DT!O56</f>
        <v>0</v>
      </c>
      <c r="H62" s="238">
        <f>Effort!K56+Aide!I56+Taux!J56</f>
        <v>0</v>
      </c>
      <c r="I62" s="316">
        <f t="shared" si="1"/>
        <v>-102574.19517102613</v>
      </c>
      <c r="J62" s="394">
        <f t="shared" si="2"/>
        <v>972254.06764242065</v>
      </c>
      <c r="K62" s="520">
        <f t="shared" si="3"/>
        <v>869679.87247139448</v>
      </c>
    </row>
    <row r="63" spans="1:11" x14ac:dyDescent="0.25">
      <c r="A63" s="38">
        <f>Données!A57</f>
        <v>5490</v>
      </c>
      <c r="B63" s="27" t="str">
        <f>Données!B57</f>
        <v>Moiry</v>
      </c>
      <c r="C63" s="26">
        <f>Ecrêtage!C57</f>
        <v>9056.7353548387091</v>
      </c>
      <c r="D63" s="12">
        <f>Données!Z57</f>
        <v>301</v>
      </c>
      <c r="E63" s="8">
        <f>Population!K60</f>
        <v>-38836.267605633795</v>
      </c>
      <c r="F63" s="238">
        <f>Solidarité!I57</f>
        <v>-128875.0196490919</v>
      </c>
      <c r="G63" s="8">
        <f>DT!O57</f>
        <v>-13131.087870967745</v>
      </c>
      <c r="H63" s="238">
        <f>Effort!K57+Aide!I57+Taux!J57</f>
        <v>0</v>
      </c>
      <c r="I63" s="316">
        <f t="shared" si="1"/>
        <v>-180842.37512569345</v>
      </c>
      <c r="J63" s="394">
        <f t="shared" si="2"/>
        <v>174596.52554129652</v>
      </c>
      <c r="K63" s="520">
        <f t="shared" si="3"/>
        <v>-6245.8495843969285</v>
      </c>
    </row>
    <row r="64" spans="1:11" x14ac:dyDescent="0.25">
      <c r="A64" s="38">
        <f>Données!A58</f>
        <v>5491</v>
      </c>
      <c r="B64" s="27" t="str">
        <f>Données!B58</f>
        <v>Mont-la-Ville</v>
      </c>
      <c r="C64" s="26">
        <f>Ecrêtage!C58</f>
        <v>13648.672236842105</v>
      </c>
      <c r="D64" s="12">
        <f>Données!Z58</f>
        <v>508</v>
      </c>
      <c r="E64" s="8">
        <f>Population!K61</f>
        <v>-65544.265593561358</v>
      </c>
      <c r="F64" s="238">
        <f>Solidarité!I58</f>
        <v>-246925.70660554641</v>
      </c>
      <c r="G64" s="8">
        <f>DT!O58</f>
        <v>-173596.21657894738</v>
      </c>
      <c r="H64" s="238">
        <f>Effort!K58+Aide!I58+Taux!J58</f>
        <v>0</v>
      </c>
      <c r="I64" s="316">
        <f t="shared" si="1"/>
        <v>-486066.18877805513</v>
      </c>
      <c r="J64" s="394">
        <f t="shared" si="2"/>
        <v>263120.28092235519</v>
      </c>
      <c r="K64" s="520">
        <f t="shared" si="3"/>
        <v>-222945.90785569994</v>
      </c>
    </row>
    <row r="65" spans="1:11" x14ac:dyDescent="0.25">
      <c r="A65" s="38">
        <f>Données!A59</f>
        <v>5492</v>
      </c>
      <c r="B65" s="27" t="str">
        <f>Données!B59</f>
        <v>Montricher</v>
      </c>
      <c r="C65" s="26">
        <f>Ecrêtage!C59</f>
        <v>175265.155</v>
      </c>
      <c r="D65" s="12">
        <f>Données!Z59</f>
        <v>981</v>
      </c>
      <c r="E65" s="8">
        <f>Population!K62</f>
        <v>-126572.68611670018</v>
      </c>
      <c r="F65" s="238">
        <f>Solidarité!I59</f>
        <v>0</v>
      </c>
      <c r="G65" s="8">
        <f>DT!O59</f>
        <v>-170294.88375000001</v>
      </c>
      <c r="H65" s="238">
        <f>Effort!K59+Aide!I59+Taux!J59</f>
        <v>-705530.93269577145</v>
      </c>
      <c r="I65" s="316">
        <f t="shared" si="1"/>
        <v>-1002398.5025624717</v>
      </c>
      <c r="J65" s="394">
        <f t="shared" si="2"/>
        <v>3378776.7791081448</v>
      </c>
      <c r="K65" s="520">
        <f t="shared" si="3"/>
        <v>2376378.2765456731</v>
      </c>
    </row>
    <row r="66" spans="1:11" x14ac:dyDescent="0.25">
      <c r="A66" s="38">
        <f>Données!A60</f>
        <v>5493</v>
      </c>
      <c r="B66" s="27" t="str">
        <f>Données!B60</f>
        <v>Orny</v>
      </c>
      <c r="C66" s="26">
        <f>Ecrêtage!C60</f>
        <v>13489.645489989463</v>
      </c>
      <c r="D66" s="12">
        <f>Données!Z60</f>
        <v>480</v>
      </c>
      <c r="E66" s="8">
        <f>Population!K63</f>
        <v>-61931.589537223328</v>
      </c>
      <c r="F66" s="238">
        <f>Solidarité!I60</f>
        <v>-202629.65085991111</v>
      </c>
      <c r="G66" s="8">
        <f>DT!O60</f>
        <v>0</v>
      </c>
      <c r="H66" s="238">
        <f>Effort!K60+Aide!I60+Taux!J60</f>
        <v>0</v>
      </c>
      <c r="I66" s="316">
        <f t="shared" si="1"/>
        <v>-264561.24039713445</v>
      </c>
      <c r="J66" s="394">
        <f t="shared" si="2"/>
        <v>260054.54957648207</v>
      </c>
      <c r="K66" s="520">
        <f t="shared" si="3"/>
        <v>-4506.6908206523804</v>
      </c>
    </row>
    <row r="67" spans="1:11" x14ac:dyDescent="0.25">
      <c r="A67" s="38">
        <f>Données!A61</f>
        <v>5495</v>
      </c>
      <c r="B67" s="27" t="str">
        <f>Données!B61</f>
        <v>Penthalaz</v>
      </c>
      <c r="C67" s="26">
        <f>Ecrêtage!C61</f>
        <v>95307.914324324302</v>
      </c>
      <c r="D67" s="12">
        <f>Données!Z61</f>
        <v>3210</v>
      </c>
      <c r="E67" s="8">
        <f>Population!K64</f>
        <v>-959939.63782696158</v>
      </c>
      <c r="F67" s="238">
        <f>Solidarité!I61</f>
        <v>-1280987.0968624542</v>
      </c>
      <c r="G67" s="8">
        <f>DT!O61</f>
        <v>-645267.51405405416</v>
      </c>
      <c r="H67" s="238">
        <f>Effort!K61+Aide!I61+Taux!J61</f>
        <v>0</v>
      </c>
      <c r="I67" s="316">
        <f t="shared" si="1"/>
        <v>-2886194.2487434698</v>
      </c>
      <c r="J67" s="394">
        <f t="shared" si="2"/>
        <v>1837354.1950438209</v>
      </c>
      <c r="K67" s="520">
        <f t="shared" si="3"/>
        <v>-1048840.0536996489</v>
      </c>
    </row>
    <row r="68" spans="1:11" x14ac:dyDescent="0.25">
      <c r="A68" s="38">
        <f>Données!A62</f>
        <v>5496</v>
      </c>
      <c r="B68" s="27" t="str">
        <f>Données!B62</f>
        <v>Penthaz</v>
      </c>
      <c r="C68" s="26">
        <f>Ecrêtage!C62</f>
        <v>56262.398705035986</v>
      </c>
      <c r="D68" s="12">
        <f>Données!Z62</f>
        <v>1890</v>
      </c>
      <c r="E68" s="8">
        <f>Population!K65</f>
        <v>-450552.31388329971</v>
      </c>
      <c r="F68" s="238">
        <f>Solidarité!I62</f>
        <v>-662457.5644000154</v>
      </c>
      <c r="G68" s="8">
        <f>DT!O62</f>
        <v>-281652.60776978405</v>
      </c>
      <c r="H68" s="238">
        <f>Effort!K62+Aide!I62+Taux!J62</f>
        <v>0</v>
      </c>
      <c r="I68" s="316">
        <f t="shared" si="1"/>
        <v>-1394662.4860530992</v>
      </c>
      <c r="J68" s="394">
        <f t="shared" si="2"/>
        <v>1084631.3762795562</v>
      </c>
      <c r="K68" s="520">
        <f t="shared" si="3"/>
        <v>-310031.10977354296</v>
      </c>
    </row>
    <row r="69" spans="1:11" x14ac:dyDescent="0.25">
      <c r="A69" s="38">
        <f>Données!A63</f>
        <v>5497</v>
      </c>
      <c r="B69" s="27" t="str">
        <f>Données!B63</f>
        <v>Pompaples</v>
      </c>
      <c r="C69" s="26">
        <f>Ecrêtage!C63</f>
        <v>22253.218787878792</v>
      </c>
      <c r="D69" s="12">
        <f>Données!Z63</f>
        <v>849</v>
      </c>
      <c r="E69" s="8">
        <f>Population!K66</f>
        <v>-109541.49899396376</v>
      </c>
      <c r="F69" s="238">
        <f>Solidarité!I63</f>
        <v>-320919.79928125959</v>
      </c>
      <c r="G69" s="8">
        <f>DT!O63</f>
        <v>-121527.18727272726</v>
      </c>
      <c r="H69" s="238">
        <f>Effort!K63+Aide!I63+Taux!J63</f>
        <v>0</v>
      </c>
      <c r="I69" s="316">
        <f t="shared" si="1"/>
        <v>-551988.48554795061</v>
      </c>
      <c r="J69" s="394">
        <f t="shared" si="2"/>
        <v>428999.47169132368</v>
      </c>
      <c r="K69" s="520">
        <f t="shared" si="3"/>
        <v>-122989.01385662693</v>
      </c>
    </row>
    <row r="70" spans="1:11" x14ac:dyDescent="0.25">
      <c r="A70" s="38">
        <f>Données!A64</f>
        <v>5498</v>
      </c>
      <c r="B70" s="27" t="str">
        <f>Données!B64</f>
        <v>La Sarraz</v>
      </c>
      <c r="C70" s="26">
        <f>Ecrêtage!C64</f>
        <v>74676.731060606064</v>
      </c>
      <c r="D70" s="12">
        <f>Données!Z64</f>
        <v>2620</v>
      </c>
      <c r="E70" s="8">
        <f>Population!K67</f>
        <v>-714277.66599597572</v>
      </c>
      <c r="F70" s="238">
        <f>Solidarité!I64</f>
        <v>-885878.61690829101</v>
      </c>
      <c r="G70" s="8">
        <f>DT!O64</f>
        <v>-533373.86363636365</v>
      </c>
      <c r="H70" s="238">
        <f>Effort!K64+Aide!I64+Taux!J64</f>
        <v>0</v>
      </c>
      <c r="I70" s="316">
        <f t="shared" si="1"/>
        <v>-2133530.1465406306</v>
      </c>
      <c r="J70" s="394">
        <f t="shared" si="2"/>
        <v>1439624.4641285355</v>
      </c>
      <c r="K70" s="520">
        <f t="shared" si="3"/>
        <v>-693905.68241209514</v>
      </c>
    </row>
    <row r="71" spans="1:11" x14ac:dyDescent="0.25">
      <c r="A71" s="38">
        <f>Données!A65</f>
        <v>5499</v>
      </c>
      <c r="B71" s="27" t="str">
        <f>Données!B65</f>
        <v>Senarclens</v>
      </c>
      <c r="C71" s="26">
        <f>Ecrêtage!C65</f>
        <v>18237.495182481751</v>
      </c>
      <c r="D71" s="12">
        <f>Données!Z65</f>
        <v>491</v>
      </c>
      <c r="E71" s="8">
        <f>Population!K68</f>
        <v>-63350.855130784694</v>
      </c>
      <c r="F71" s="238">
        <f>Solidarité!I65</f>
        <v>-99302.588826969659</v>
      </c>
      <c r="G71" s="8">
        <f>DT!O65</f>
        <v>-168899.2789051095</v>
      </c>
      <c r="H71" s="238">
        <f>Effort!K65+Aide!I65+Taux!J65</f>
        <v>0</v>
      </c>
      <c r="I71" s="316">
        <f t="shared" si="1"/>
        <v>-331552.72286286385</v>
      </c>
      <c r="J71" s="394">
        <f t="shared" si="2"/>
        <v>351584.00556953833</v>
      </c>
      <c r="K71" s="520">
        <f t="shared" si="3"/>
        <v>20031.282706674479</v>
      </c>
    </row>
    <row r="72" spans="1:11" x14ac:dyDescent="0.25">
      <c r="A72" s="38">
        <f>Données!A66</f>
        <v>5501</v>
      </c>
      <c r="B72" s="27" t="str">
        <f>Données!B66</f>
        <v>Sullens</v>
      </c>
      <c r="C72" s="26">
        <f>Ecrêtage!C66</f>
        <v>43189.9197080292</v>
      </c>
      <c r="D72" s="12">
        <f>Données!Z66</f>
        <v>1143</v>
      </c>
      <c r="E72" s="8">
        <f>Population!K69</f>
        <v>-180685.41247484906</v>
      </c>
      <c r="F72" s="238">
        <f>Solidarité!I66</f>
        <v>-217392.56837045166</v>
      </c>
      <c r="G72" s="8">
        <f>DT!O66</f>
        <v>-32357.7919708029</v>
      </c>
      <c r="H72" s="238">
        <f>Effort!K66+Aide!I66+Taux!J66</f>
        <v>0</v>
      </c>
      <c r="I72" s="316">
        <f t="shared" si="1"/>
        <v>-430435.77281610359</v>
      </c>
      <c r="J72" s="394">
        <f t="shared" si="2"/>
        <v>832618.99834587367</v>
      </c>
      <c r="K72" s="520">
        <f t="shared" si="3"/>
        <v>402183.22552977008</v>
      </c>
    </row>
    <row r="73" spans="1:11" x14ac:dyDescent="0.25">
      <c r="A73" s="38">
        <f>Données!A67</f>
        <v>5503</v>
      </c>
      <c r="B73" s="27" t="str">
        <f>Données!B67</f>
        <v>Vufflens-la-Ville</v>
      </c>
      <c r="C73" s="26">
        <f>Ecrêtage!C67</f>
        <v>79644.71771144279</v>
      </c>
      <c r="D73" s="12">
        <f>Données!Z67</f>
        <v>1346</v>
      </c>
      <c r="E73" s="8">
        <f>Population!K70</f>
        <v>-254022.73641851102</v>
      </c>
      <c r="F73" s="238">
        <f>Solidarité!I67</f>
        <v>0</v>
      </c>
      <c r="G73" s="8">
        <f>DT!O67</f>
        <v>0</v>
      </c>
      <c r="H73" s="238">
        <f>Effort!K67+Aide!I67+Taux!J67</f>
        <v>0</v>
      </c>
      <c r="I73" s="316">
        <f t="shared" si="1"/>
        <v>-254022.73641851102</v>
      </c>
      <c r="J73" s="394">
        <f t="shared" si="2"/>
        <v>1535397.7393968932</v>
      </c>
      <c r="K73" s="520">
        <f t="shared" si="3"/>
        <v>1281375.0029783822</v>
      </c>
    </row>
    <row r="74" spans="1:11" x14ac:dyDescent="0.25">
      <c r="A74" s="38">
        <f>Données!A68</f>
        <v>5511</v>
      </c>
      <c r="B74" s="27" t="str">
        <f>Données!B68</f>
        <v>Assens</v>
      </c>
      <c r="C74" s="26">
        <f>Ecrêtage!C68</f>
        <v>70063.08636788046</v>
      </c>
      <c r="D74" s="12">
        <f>Données!Z68</f>
        <v>1669</v>
      </c>
      <c r="E74" s="8">
        <f>Population!K71</f>
        <v>-370712.17303822935</v>
      </c>
      <c r="F74" s="238">
        <f>Solidarité!I68</f>
        <v>-190972.82038179148</v>
      </c>
      <c r="G74" s="8">
        <f>DT!O68</f>
        <v>-543830.48179271724</v>
      </c>
      <c r="H74" s="238">
        <f>Effort!K68+Aide!I68+Taux!J68</f>
        <v>0</v>
      </c>
      <c r="I74" s="316">
        <f t="shared" si="1"/>
        <v>-1105515.4752127379</v>
      </c>
      <c r="J74" s="394">
        <f t="shared" si="2"/>
        <v>1350682.2236995306</v>
      </c>
      <c r="K74" s="520">
        <f t="shared" si="3"/>
        <v>245166.74848679267</v>
      </c>
    </row>
    <row r="75" spans="1:11" x14ac:dyDescent="0.25">
      <c r="A75" s="38">
        <f>Données!A69</f>
        <v>5512</v>
      </c>
      <c r="B75" s="27" t="str">
        <f>Données!B69</f>
        <v>Bercher</v>
      </c>
      <c r="C75" s="26">
        <f>Ecrêtage!C69</f>
        <v>40760.724050632911</v>
      </c>
      <c r="D75" s="12">
        <f>Données!Z69</f>
        <v>1320</v>
      </c>
      <c r="E75" s="8">
        <f>Population!K72</f>
        <v>-244629.77867203215</v>
      </c>
      <c r="F75" s="238">
        <f>Solidarité!I69</f>
        <v>-561239.08525625337</v>
      </c>
      <c r="G75" s="8">
        <f>DT!O69</f>
        <v>-230808.15569620254</v>
      </c>
      <c r="H75" s="238">
        <f>Effort!K69+Aide!I69+Taux!J69</f>
        <v>0</v>
      </c>
      <c r="I75" s="316">
        <f t="shared" si="1"/>
        <v>-1036677.0196244881</v>
      </c>
      <c r="J75" s="394">
        <f t="shared" si="2"/>
        <v>785788.75488349842</v>
      </c>
      <c r="K75" s="520">
        <f t="shared" si="3"/>
        <v>-250888.26474098966</v>
      </c>
    </row>
    <row r="76" spans="1:11" x14ac:dyDescent="0.25">
      <c r="A76" s="38">
        <f>Données!A70</f>
        <v>5514</v>
      </c>
      <c r="B76" s="27" t="str">
        <f>Données!B70</f>
        <v>Bottens</v>
      </c>
      <c r="C76" s="26">
        <f>Ecrêtage!C70</f>
        <v>44222.939448275865</v>
      </c>
      <c r="D76" s="12">
        <f>Données!Z70</f>
        <v>1357</v>
      </c>
      <c r="E76" s="8">
        <f>Population!K73</f>
        <v>-257996.68008048285</v>
      </c>
      <c r="F76" s="238">
        <f>Solidarité!I70</f>
        <v>-437223.03493753535</v>
      </c>
      <c r="G76" s="8">
        <f>DT!O70</f>
        <v>-42327.363310344808</v>
      </c>
      <c r="H76" s="238">
        <f>Effort!K70+Aide!I70+Taux!J70</f>
        <v>0</v>
      </c>
      <c r="I76" s="316">
        <f t="shared" si="1"/>
        <v>-737547.0783283629</v>
      </c>
      <c r="J76" s="394">
        <f t="shared" si="2"/>
        <v>852533.64202222659</v>
      </c>
      <c r="K76" s="520">
        <f t="shared" si="3"/>
        <v>114986.56369386369</v>
      </c>
    </row>
    <row r="77" spans="1:11" x14ac:dyDescent="0.25">
      <c r="A77" s="38">
        <f>Données!A71</f>
        <v>5515</v>
      </c>
      <c r="B77" s="27" t="str">
        <f>Données!B71</f>
        <v>Bretigny-sur-Morrens</v>
      </c>
      <c r="C77" s="26">
        <f>Ecrêtage!C71</f>
        <v>32347.747307692302</v>
      </c>
      <c r="D77" s="12">
        <f>Données!Z71</f>
        <v>882</v>
      </c>
      <c r="E77" s="8">
        <f>Population!K74</f>
        <v>-113799.29577464786</v>
      </c>
      <c r="F77" s="238">
        <f>Solidarité!I71</f>
        <v>-241324.58128687349</v>
      </c>
      <c r="G77" s="8">
        <f>DT!O71</f>
        <v>-280521.95567307691</v>
      </c>
      <c r="H77" s="238">
        <f>Effort!K71+Aide!I71+Taux!J71</f>
        <v>0</v>
      </c>
      <c r="I77" s="316">
        <f t="shared" ref="I77:I140" si="4">SUM(E77:H77)</f>
        <v>-635645.83273459831</v>
      </c>
      <c r="J77" s="394">
        <f t="shared" ref="J77:J140" si="5">C77*$J$11</f>
        <v>623602.66340270976</v>
      </c>
      <c r="K77" s="520">
        <f t="shared" ref="K77:K140" si="6">I77+J77</f>
        <v>-12043.169331888552</v>
      </c>
    </row>
    <row r="78" spans="1:11" x14ac:dyDescent="0.25">
      <c r="A78" s="38">
        <f>Données!A72</f>
        <v>5516</v>
      </c>
      <c r="B78" s="27" t="str">
        <f>Données!B72</f>
        <v>Cugy</v>
      </c>
      <c r="C78" s="26">
        <f>Ecrêtage!C72</f>
        <v>111596.10185897433</v>
      </c>
      <c r="D78" s="12">
        <f>Données!Z72</f>
        <v>2733</v>
      </c>
      <c r="E78" s="8">
        <f>Population!K75</f>
        <v>-755100.90543259541</v>
      </c>
      <c r="F78" s="238">
        <f>Solidarité!I72</f>
        <v>-471622.16242421966</v>
      </c>
      <c r="G78" s="8">
        <f>DT!O72</f>
        <v>-265105.63884615398</v>
      </c>
      <c r="H78" s="238">
        <f>Effort!K72+Aide!I72+Taux!J72</f>
        <v>0</v>
      </c>
      <c r="I78" s="316">
        <f t="shared" si="4"/>
        <v>-1491828.706702969</v>
      </c>
      <c r="J78" s="394">
        <f t="shared" si="5"/>
        <v>2151359.2796017542</v>
      </c>
      <c r="K78" s="520">
        <f t="shared" si="6"/>
        <v>659530.57289878512</v>
      </c>
    </row>
    <row r="79" spans="1:11" x14ac:dyDescent="0.25">
      <c r="A79" s="38">
        <f>Données!A73</f>
        <v>5518</v>
      </c>
      <c r="B79" s="27" t="str">
        <f>Données!B73</f>
        <v>Echallens</v>
      </c>
      <c r="C79" s="26">
        <f>Ecrêtage!C73</f>
        <v>183008.89172413788</v>
      </c>
      <c r="D79" s="12">
        <f>Données!Z73</f>
        <v>5739</v>
      </c>
      <c r="E79" s="8">
        <f>Population!K76</f>
        <v>-2341426.961770623</v>
      </c>
      <c r="F79" s="238">
        <f>Solidarité!I73</f>
        <v>-1933465.9682051931</v>
      </c>
      <c r="G79" s="8">
        <f>DT!O73</f>
        <v>-1401361.3996551726</v>
      </c>
      <c r="H79" s="238">
        <f>Effort!K73+Aide!I73+Taux!J73</f>
        <v>0</v>
      </c>
      <c r="I79" s="316">
        <f t="shared" si="4"/>
        <v>-5676254.3296309887</v>
      </c>
      <c r="J79" s="394">
        <f t="shared" si="5"/>
        <v>3528061.2037677076</v>
      </c>
      <c r="K79" s="520">
        <f t="shared" si="6"/>
        <v>-2148193.1258632811</v>
      </c>
    </row>
    <row r="80" spans="1:11" x14ac:dyDescent="0.25">
      <c r="A80" s="38">
        <f>Données!A74</f>
        <v>5520</v>
      </c>
      <c r="B80" s="27" t="str">
        <f>Données!B74</f>
        <v>Essertines-sur-Yverdon</v>
      </c>
      <c r="C80" s="26">
        <f>Ecrêtage!C74</f>
        <v>31695.423698630133</v>
      </c>
      <c r="D80" s="12">
        <f>Données!Z74</f>
        <v>1059</v>
      </c>
      <c r="E80" s="8">
        <f>Population!K77</f>
        <v>-150338.93360160963</v>
      </c>
      <c r="F80" s="238">
        <f>Solidarité!I74</f>
        <v>-405881.31242189382</v>
      </c>
      <c r="G80" s="8">
        <f>DT!O74</f>
        <v>-224013.14003424658</v>
      </c>
      <c r="H80" s="238">
        <f>Effort!K74+Aide!I74+Taux!J74</f>
        <v>0</v>
      </c>
      <c r="I80" s="316">
        <f t="shared" si="4"/>
        <v>-780233.38605775009</v>
      </c>
      <c r="J80" s="394">
        <f t="shared" si="5"/>
        <v>611027.11258792703</v>
      </c>
      <c r="K80" s="520">
        <f t="shared" si="6"/>
        <v>-169206.27346982306</v>
      </c>
    </row>
    <row r="81" spans="1:11" x14ac:dyDescent="0.25">
      <c r="A81" s="38">
        <f>Données!A75</f>
        <v>5521</v>
      </c>
      <c r="B81" s="27" t="str">
        <f>Données!B75</f>
        <v>Etagnières</v>
      </c>
      <c r="C81" s="26">
        <f>Ecrêtage!C75</f>
        <v>42637.34945205479</v>
      </c>
      <c r="D81" s="12">
        <f>Données!Z75</f>
        <v>1148</v>
      </c>
      <c r="E81" s="8">
        <f>Population!K78</f>
        <v>-182491.75050301806</v>
      </c>
      <c r="F81" s="238">
        <f>Solidarité!I75</f>
        <v>-263759.03623838024</v>
      </c>
      <c r="G81" s="8">
        <f>DT!O75</f>
        <v>-97081.653287671259</v>
      </c>
      <c r="H81" s="238">
        <f>Effort!K75+Aide!I75+Taux!J75</f>
        <v>0</v>
      </c>
      <c r="I81" s="316">
        <f t="shared" si="4"/>
        <v>-543332.44002906955</v>
      </c>
      <c r="J81" s="394">
        <f t="shared" si="5"/>
        <v>821966.50127814687</v>
      </c>
      <c r="K81" s="520">
        <f t="shared" si="6"/>
        <v>278634.06124907732</v>
      </c>
    </row>
    <row r="82" spans="1:11" x14ac:dyDescent="0.25">
      <c r="A82" s="38">
        <f>Données!A76</f>
        <v>5522</v>
      </c>
      <c r="B82" s="27" t="str">
        <f>Données!B76</f>
        <v>Fey</v>
      </c>
      <c r="C82" s="26">
        <f>Ecrêtage!C76</f>
        <v>23923.447333333334</v>
      </c>
      <c r="D82" s="12">
        <f>Données!Z76</f>
        <v>754</v>
      </c>
      <c r="E82" s="8">
        <f>Population!K79</f>
        <v>-97284.205231388303</v>
      </c>
      <c r="F82" s="238">
        <f>Solidarité!I76</f>
        <v>-274552.72499564657</v>
      </c>
      <c r="G82" s="8">
        <f>DT!O76</f>
        <v>-34745.565999999999</v>
      </c>
      <c r="H82" s="238">
        <f>Effort!K76+Aide!I76+Taux!J76</f>
        <v>0</v>
      </c>
      <c r="I82" s="316">
        <f t="shared" si="4"/>
        <v>-406582.49622703483</v>
      </c>
      <c r="J82" s="394">
        <f t="shared" si="5"/>
        <v>461198.28168972512</v>
      </c>
      <c r="K82" s="520">
        <f t="shared" si="6"/>
        <v>54615.785462690284</v>
      </c>
    </row>
    <row r="83" spans="1:11" x14ac:dyDescent="0.25">
      <c r="A83" s="38">
        <f>Données!A77</f>
        <v>5523</v>
      </c>
      <c r="B83" s="27" t="str">
        <f>Données!B77</f>
        <v>Froideville</v>
      </c>
      <c r="C83" s="26">
        <f>Ecrêtage!C77</f>
        <v>93735.809027777781</v>
      </c>
      <c r="D83" s="12">
        <f>Données!Z77</f>
        <v>2673</v>
      </c>
      <c r="E83" s="8">
        <f>Population!K80</f>
        <v>-733424.84909456735</v>
      </c>
      <c r="F83" s="238">
        <f>Solidarité!I77</f>
        <v>-712174.65685547527</v>
      </c>
      <c r="G83" s="8">
        <f>DT!O77</f>
        <v>-170553.39583333331</v>
      </c>
      <c r="H83" s="238">
        <f>Effort!K77+Aide!I77+Taux!J77</f>
        <v>0</v>
      </c>
      <c r="I83" s="316">
        <f t="shared" si="4"/>
        <v>-1616152.9017833758</v>
      </c>
      <c r="J83" s="394">
        <f t="shared" si="5"/>
        <v>1807047.0135034609</v>
      </c>
      <c r="K83" s="520">
        <f t="shared" si="6"/>
        <v>190894.11172008514</v>
      </c>
    </row>
    <row r="84" spans="1:11" x14ac:dyDescent="0.25">
      <c r="A84" s="38">
        <f>Données!A78</f>
        <v>5527</v>
      </c>
      <c r="B84" s="27" t="str">
        <f>Données!B78</f>
        <v>Morrens</v>
      </c>
      <c r="C84" s="26">
        <f>Ecrêtage!C78</f>
        <v>39310.034189189188</v>
      </c>
      <c r="D84" s="12">
        <f>Données!Z78</f>
        <v>1156</v>
      </c>
      <c r="E84" s="8">
        <f>Population!K81</f>
        <v>-185381.89134808851</v>
      </c>
      <c r="F84" s="238">
        <f>Solidarité!I78</f>
        <v>-352212.13865808165</v>
      </c>
      <c r="G84" s="8">
        <f>DT!O78</f>
        <v>-24203.794864864874</v>
      </c>
      <c r="H84" s="238">
        <f>Effort!K78+Aide!I78+Taux!J78</f>
        <v>0</v>
      </c>
      <c r="I84" s="316">
        <f t="shared" si="4"/>
        <v>-561797.82487103506</v>
      </c>
      <c r="J84" s="394">
        <f t="shared" si="5"/>
        <v>757822.23057617876</v>
      </c>
      <c r="K84" s="520">
        <f t="shared" si="6"/>
        <v>196024.4057051437</v>
      </c>
    </row>
    <row r="85" spans="1:11" x14ac:dyDescent="0.25">
      <c r="A85" s="38">
        <f>Données!A79</f>
        <v>5529</v>
      </c>
      <c r="B85" s="27" t="str">
        <f>Données!B79</f>
        <v>Oulens-sous-Echallens</v>
      </c>
      <c r="C85" s="26">
        <f>Ecrêtage!C79</f>
        <v>21162.073571428573</v>
      </c>
      <c r="D85" s="12">
        <f>Données!Z79</f>
        <v>619</v>
      </c>
      <c r="E85" s="8">
        <f>Population!K82</f>
        <v>-79865.945674044255</v>
      </c>
      <c r="F85" s="238">
        <f>Solidarité!I79</f>
        <v>-166551.20569361275</v>
      </c>
      <c r="G85" s="8">
        <f>DT!O79</f>
        <v>-137952.30857142856</v>
      </c>
      <c r="H85" s="238">
        <f>Effort!K79+Aide!I79+Taux!J79</f>
        <v>0</v>
      </c>
      <c r="I85" s="316">
        <f t="shared" si="4"/>
        <v>-384369.45993908553</v>
      </c>
      <c r="J85" s="394">
        <f t="shared" si="5"/>
        <v>407964.28006993764</v>
      </c>
      <c r="K85" s="520">
        <f t="shared" si="6"/>
        <v>23594.820130852109</v>
      </c>
    </row>
    <row r="86" spans="1:11" x14ac:dyDescent="0.25">
      <c r="A86" s="38">
        <f>Données!A80</f>
        <v>5530</v>
      </c>
      <c r="B86" s="27" t="str">
        <f>Données!B80</f>
        <v>Pailly</v>
      </c>
      <c r="C86" s="26">
        <f>Ecrêtage!C80</f>
        <v>19308.365285087715</v>
      </c>
      <c r="D86" s="12">
        <f>Données!Z80</f>
        <v>575</v>
      </c>
      <c r="E86" s="8">
        <f>Population!K83</f>
        <v>-74188.883299798777</v>
      </c>
      <c r="F86" s="238">
        <f>Solidarité!I80</f>
        <v>-190434.70710886185</v>
      </c>
      <c r="G86" s="8">
        <f>DT!O80</f>
        <v>-791895.53432565799</v>
      </c>
      <c r="H86" s="238">
        <f>Effort!K80+Aide!I80+Taux!J80</f>
        <v>0</v>
      </c>
      <c r="I86" s="316">
        <f t="shared" si="4"/>
        <v>-1056519.1247343186</v>
      </c>
      <c r="J86" s="394">
        <f t="shared" si="5"/>
        <v>372228.33179699746</v>
      </c>
      <c r="K86" s="520">
        <f t="shared" si="6"/>
        <v>-684290.79293732112</v>
      </c>
    </row>
    <row r="87" spans="1:11" x14ac:dyDescent="0.25">
      <c r="A87" s="38">
        <f>Données!A81</f>
        <v>5531</v>
      </c>
      <c r="B87" s="27" t="str">
        <f>Données!B81</f>
        <v>Penthéréaz</v>
      </c>
      <c r="C87" s="26">
        <f>Ecrêtage!C81</f>
        <v>14300.520945945947</v>
      </c>
      <c r="D87" s="12">
        <f>Données!Z81</f>
        <v>417</v>
      </c>
      <c r="E87" s="8">
        <f>Population!K84</f>
        <v>-53803.068410462765</v>
      </c>
      <c r="F87" s="238">
        <f>Solidarité!I81</f>
        <v>-124419.64023096993</v>
      </c>
      <c r="G87" s="8">
        <f>DT!O81</f>
        <v>-86313.233614864846</v>
      </c>
      <c r="H87" s="238">
        <f>Effort!K81+Aide!I81+Taux!J81</f>
        <v>0</v>
      </c>
      <c r="I87" s="316">
        <f t="shared" si="4"/>
        <v>-264535.94225629757</v>
      </c>
      <c r="J87" s="394">
        <f t="shared" si="5"/>
        <v>275686.67657476931</v>
      </c>
      <c r="K87" s="520">
        <f t="shared" si="6"/>
        <v>11150.734318471747</v>
      </c>
    </row>
    <row r="88" spans="1:11" x14ac:dyDescent="0.25">
      <c r="A88" s="38">
        <f>Données!A82</f>
        <v>5533</v>
      </c>
      <c r="B88" s="27" t="str">
        <f>Données!B82</f>
        <v>Poliez-Pittet</v>
      </c>
      <c r="C88" s="26">
        <f>Ecrêtage!C82</f>
        <v>27495.737397260269</v>
      </c>
      <c r="D88" s="12">
        <f>Données!Z82</f>
        <v>833</v>
      </c>
      <c r="E88" s="8">
        <f>Population!K85</f>
        <v>-107477.11267605632</v>
      </c>
      <c r="F88" s="238">
        <f>Solidarité!I82</f>
        <v>-264669.55734596477</v>
      </c>
      <c r="G88" s="8">
        <f>DT!O82</f>
        <v>-73043.522568493179</v>
      </c>
      <c r="H88" s="238">
        <f>Effort!K82+Aide!I82+Taux!J82</f>
        <v>0</v>
      </c>
      <c r="I88" s="316">
        <f t="shared" si="4"/>
        <v>-445190.19259051431</v>
      </c>
      <c r="J88" s="394">
        <f t="shared" si="5"/>
        <v>530065.19774177822</v>
      </c>
      <c r="K88" s="520">
        <f t="shared" si="6"/>
        <v>84875.005151263904</v>
      </c>
    </row>
    <row r="89" spans="1:11" x14ac:dyDescent="0.25">
      <c r="A89" s="38">
        <f>Données!A83</f>
        <v>5534</v>
      </c>
      <c r="B89" s="27" t="str">
        <f>Données!B83</f>
        <v>Rueyres</v>
      </c>
      <c r="C89" s="26">
        <f>Ecrêtage!C83</f>
        <v>13098.988310502282</v>
      </c>
      <c r="D89" s="12">
        <f>Données!Z83</f>
        <v>304</v>
      </c>
      <c r="E89" s="8">
        <f>Population!K86</f>
        <v>-39223.340040241441</v>
      </c>
      <c r="F89" s="238">
        <f>Solidarité!I83</f>
        <v>-31349.79761480548</v>
      </c>
      <c r="G89" s="8">
        <f>DT!O83</f>
        <v>-3736.5087671232886</v>
      </c>
      <c r="H89" s="238">
        <f>Effort!K83+Aide!I83+Taux!J83</f>
        <v>0</v>
      </c>
      <c r="I89" s="316">
        <f t="shared" si="4"/>
        <v>-74309.646422170204</v>
      </c>
      <c r="J89" s="394">
        <f t="shared" si="5"/>
        <v>252523.42676634234</v>
      </c>
      <c r="K89" s="520">
        <f t="shared" si="6"/>
        <v>178213.78034417215</v>
      </c>
    </row>
    <row r="90" spans="1:11" x14ac:dyDescent="0.25">
      <c r="A90" s="38">
        <f>Données!A84</f>
        <v>5535</v>
      </c>
      <c r="B90" s="27" t="str">
        <f>Données!B84</f>
        <v>Saint-Barthélemy</v>
      </c>
      <c r="C90" s="26">
        <f>Ecrêtage!C84</f>
        <v>25080.037866666662</v>
      </c>
      <c r="D90" s="12">
        <f>Données!Z84</f>
        <v>809</v>
      </c>
      <c r="E90" s="8">
        <f>Population!K87</f>
        <v>-104380.53319919515</v>
      </c>
      <c r="F90" s="238">
        <f>Solidarité!I84</f>
        <v>-307803.90388355585</v>
      </c>
      <c r="G90" s="8">
        <f>DT!O84</f>
        <v>-39753.522800000028</v>
      </c>
      <c r="H90" s="238">
        <f>Effort!K84+Aide!I84+Taux!J84</f>
        <v>0</v>
      </c>
      <c r="I90" s="316">
        <f t="shared" si="4"/>
        <v>-451937.95988275105</v>
      </c>
      <c r="J90" s="394">
        <f t="shared" si="5"/>
        <v>483495.13377628481</v>
      </c>
      <c r="K90" s="520">
        <f t="shared" si="6"/>
        <v>31557.173893533763</v>
      </c>
    </row>
    <row r="91" spans="1:11" x14ac:dyDescent="0.25">
      <c r="A91" s="38">
        <f>Données!A85</f>
        <v>5537</v>
      </c>
      <c r="B91" s="27" t="str">
        <f>Données!B85</f>
        <v>Villars-le-Terroir</v>
      </c>
      <c r="C91" s="26">
        <f>Ecrêtage!C85</f>
        <v>42917.111184210531</v>
      </c>
      <c r="D91" s="12">
        <f>Données!Z85</f>
        <v>1316</v>
      </c>
      <c r="E91" s="8">
        <f>Population!K88</f>
        <v>-243184.70824949694</v>
      </c>
      <c r="F91" s="238">
        <f>Solidarité!I85</f>
        <v>-465240.86529308558</v>
      </c>
      <c r="G91" s="8">
        <f>DT!O85</f>
        <v>-39754.582894736814</v>
      </c>
      <c r="H91" s="238">
        <f>Effort!K85+Aide!I85+Taux!J85</f>
        <v>0</v>
      </c>
      <c r="I91" s="316">
        <f t="shared" si="4"/>
        <v>-748180.15643731935</v>
      </c>
      <c r="J91" s="394">
        <f t="shared" si="5"/>
        <v>827359.77208711568</v>
      </c>
      <c r="K91" s="520">
        <f t="shared" si="6"/>
        <v>79179.615649796324</v>
      </c>
    </row>
    <row r="92" spans="1:11" x14ac:dyDescent="0.25">
      <c r="A92" s="38">
        <f>Données!A86</f>
        <v>5539</v>
      </c>
      <c r="B92" s="27" t="str">
        <f>Données!B86</f>
        <v>Vuarrens</v>
      </c>
      <c r="C92" s="26">
        <f>Ecrêtage!C86</f>
        <v>34556.836734693868</v>
      </c>
      <c r="D92" s="12">
        <f>Données!Z86</f>
        <v>1097</v>
      </c>
      <c r="E92" s="8">
        <f>Population!K89</f>
        <v>-164067.10261569414</v>
      </c>
      <c r="F92" s="238">
        <f>Solidarité!I86</f>
        <v>-389016.38788784057</v>
      </c>
      <c r="G92" s="8">
        <f>DT!O86</f>
        <v>-34429.102040816389</v>
      </c>
      <c r="H92" s="238">
        <f>Effort!K86+Aide!I86+Taux!J86</f>
        <v>0</v>
      </c>
      <c r="I92" s="316">
        <f t="shared" si="4"/>
        <v>-587512.59254435101</v>
      </c>
      <c r="J92" s="394">
        <f t="shared" si="5"/>
        <v>666189.67996584927</v>
      </c>
      <c r="K92" s="520">
        <f t="shared" si="6"/>
        <v>78677.087421498261</v>
      </c>
    </row>
    <row r="93" spans="1:11" x14ac:dyDescent="0.25">
      <c r="A93" s="38">
        <f>Données!A87</f>
        <v>5540</v>
      </c>
      <c r="B93" s="27" t="str">
        <f>Données!B87</f>
        <v>Montilliez</v>
      </c>
      <c r="C93" s="26">
        <f>Ecrêtage!C87</f>
        <v>63309.453137931036</v>
      </c>
      <c r="D93" s="12">
        <f>Données!Z87</f>
        <v>1883</v>
      </c>
      <c r="E93" s="8">
        <f>Population!K90</f>
        <v>-448023.44064386311</v>
      </c>
      <c r="F93" s="238">
        <f>Solidarité!I87</f>
        <v>-565861.38041867665</v>
      </c>
      <c r="G93" s="8">
        <f>DT!O87</f>
        <v>-116972.19131896552</v>
      </c>
      <c r="H93" s="238">
        <f>Effort!K87+Aide!I87+Taux!J87</f>
        <v>0</v>
      </c>
      <c r="I93" s="316">
        <f t="shared" si="4"/>
        <v>-1130857.0123815052</v>
      </c>
      <c r="J93" s="394">
        <f t="shared" si="5"/>
        <v>1220485.0996222077</v>
      </c>
      <c r="K93" s="520">
        <f t="shared" si="6"/>
        <v>89628.087240702473</v>
      </c>
    </row>
    <row r="94" spans="1:11" x14ac:dyDescent="0.25">
      <c r="A94" s="38">
        <f>Données!A88</f>
        <v>5541</v>
      </c>
      <c r="B94" s="27" t="str">
        <f>Données!B88</f>
        <v>Goumoëns</v>
      </c>
      <c r="C94" s="26">
        <f>Ecrêtage!C88</f>
        <v>41276.409536423838</v>
      </c>
      <c r="D94" s="12">
        <f>Données!Z88</f>
        <v>1166</v>
      </c>
      <c r="E94" s="8">
        <f>Population!K91</f>
        <v>-188994.56740442652</v>
      </c>
      <c r="F94" s="238">
        <f>Solidarité!I88</f>
        <v>-332772.76273418171</v>
      </c>
      <c r="G94" s="8">
        <f>DT!O88</f>
        <v>-29549.79278145697</v>
      </c>
      <c r="H94" s="238">
        <f>Effort!K88+Aide!I88+Taux!J88</f>
        <v>0</v>
      </c>
      <c r="I94" s="316">
        <f t="shared" si="4"/>
        <v>-551317.12292006519</v>
      </c>
      <c r="J94" s="394">
        <f t="shared" si="5"/>
        <v>795730.18416939094</v>
      </c>
      <c r="K94" s="520">
        <f t="shared" si="6"/>
        <v>244413.06124932575</v>
      </c>
    </row>
    <row r="95" spans="1:11" x14ac:dyDescent="0.25">
      <c r="A95" s="38">
        <f>Données!A89</f>
        <v>5551</v>
      </c>
      <c r="B95" s="27" t="str">
        <f>Données!B89</f>
        <v>Bonvillars</v>
      </c>
      <c r="C95" s="26">
        <f>Ecrêtage!C89</f>
        <v>18704.487454545451</v>
      </c>
      <c r="D95" s="12">
        <f>Données!Z89</f>
        <v>481</v>
      </c>
      <c r="E95" s="8">
        <f>Population!K92</f>
        <v>-62060.613682092539</v>
      </c>
      <c r="F95" s="238">
        <f>Solidarité!I89</f>
        <v>-52582.506727577078</v>
      </c>
      <c r="G95" s="8">
        <f>DT!O89</f>
        <v>-125017.9596818182</v>
      </c>
      <c r="H95" s="238">
        <f>Effort!K89+Aide!I89+Taux!J89</f>
        <v>0</v>
      </c>
      <c r="I95" s="316">
        <f t="shared" si="4"/>
        <v>-239661.08009148782</v>
      </c>
      <c r="J95" s="394">
        <f t="shared" si="5"/>
        <v>360586.72288018564</v>
      </c>
      <c r="K95" s="520">
        <f t="shared" si="6"/>
        <v>120925.64278869782</v>
      </c>
    </row>
    <row r="96" spans="1:11" x14ac:dyDescent="0.25">
      <c r="A96" s="38">
        <f>Données!A90</f>
        <v>5552</v>
      </c>
      <c r="B96" s="27" t="str">
        <f>Données!B90</f>
        <v>Bullet</v>
      </c>
      <c r="C96" s="26">
        <f>Ecrêtage!C90</f>
        <v>19598.576923076926</v>
      </c>
      <c r="D96" s="12">
        <f>Données!Z90</f>
        <v>657</v>
      </c>
      <c r="E96" s="8">
        <f>Population!K93</f>
        <v>-84768.863179074426</v>
      </c>
      <c r="F96" s="238">
        <f>Solidarité!I90</f>
        <v>-242896.13694341315</v>
      </c>
      <c r="G96" s="8">
        <f>DT!O90</f>
        <v>-207173.10576923075</v>
      </c>
      <c r="H96" s="238">
        <f>Effort!K90+Aide!I90+Taux!J90</f>
        <v>0</v>
      </c>
      <c r="I96" s="316">
        <f t="shared" si="4"/>
        <v>-534838.1058917183</v>
      </c>
      <c r="J96" s="394">
        <f t="shared" si="5"/>
        <v>377823.05679219053</v>
      </c>
      <c r="K96" s="520">
        <f t="shared" si="6"/>
        <v>-157015.04909952777</v>
      </c>
    </row>
    <row r="97" spans="1:11" x14ac:dyDescent="0.25">
      <c r="A97" s="38">
        <f>Données!A91</f>
        <v>5553</v>
      </c>
      <c r="B97" s="27" t="str">
        <f>Données!B91</f>
        <v>Champagne</v>
      </c>
      <c r="C97" s="26">
        <f>Ecrêtage!C91</f>
        <v>40077.283076923086</v>
      </c>
      <c r="D97" s="12">
        <f>Données!Z91</f>
        <v>1085</v>
      </c>
      <c r="E97" s="8">
        <f>Population!K94</f>
        <v>-159731.89134808851</v>
      </c>
      <c r="F97" s="238">
        <f>Solidarité!I91</f>
        <v>-201357.45106013224</v>
      </c>
      <c r="G97" s="8">
        <f>DT!O91</f>
        <v>-238641.33923076917</v>
      </c>
      <c r="H97" s="238">
        <f>Effort!K91+Aide!I91+Taux!J91</f>
        <v>0</v>
      </c>
      <c r="I97" s="316">
        <f t="shared" si="4"/>
        <v>-599730.68163898995</v>
      </c>
      <c r="J97" s="394">
        <f t="shared" si="5"/>
        <v>772613.3208283846</v>
      </c>
      <c r="K97" s="520">
        <f t="shared" si="6"/>
        <v>172882.63918939466</v>
      </c>
    </row>
    <row r="98" spans="1:11" x14ac:dyDescent="0.25">
      <c r="A98" s="38">
        <f>Données!A92</f>
        <v>5554</v>
      </c>
      <c r="B98" s="27" t="str">
        <f>Données!B92</f>
        <v>Concise</v>
      </c>
      <c r="C98" s="26">
        <f>Ecrêtage!C92</f>
        <v>31499.25106666666</v>
      </c>
      <c r="D98" s="12">
        <f>Données!Z92</f>
        <v>1004</v>
      </c>
      <c r="E98" s="8">
        <f>Population!K95</f>
        <v>-130469.21529175047</v>
      </c>
      <c r="F98" s="238">
        <f>Solidarité!I92</f>
        <v>-373592.990324301</v>
      </c>
      <c r="G98" s="8">
        <f>DT!O92</f>
        <v>-244728.74360000002</v>
      </c>
      <c r="H98" s="238">
        <f>Effort!K92+Aide!I92+Taux!J92</f>
        <v>0</v>
      </c>
      <c r="I98" s="316">
        <f t="shared" si="4"/>
        <v>-748790.94921605149</v>
      </c>
      <c r="J98" s="394">
        <f t="shared" si="5"/>
        <v>607245.2796641225</v>
      </c>
      <c r="K98" s="520">
        <f t="shared" si="6"/>
        <v>-141545.66955192899</v>
      </c>
    </row>
    <row r="99" spans="1:11" x14ac:dyDescent="0.25">
      <c r="A99" s="38">
        <f>Données!A93</f>
        <v>5555</v>
      </c>
      <c r="B99" s="27" t="str">
        <f>Données!B93</f>
        <v>Corcelles-près-Concise</v>
      </c>
      <c r="C99" s="26">
        <f>Ecrêtage!C93</f>
        <v>13877.681159420288</v>
      </c>
      <c r="D99" s="12">
        <f>Données!Z93</f>
        <v>417</v>
      </c>
      <c r="E99" s="8">
        <f>Population!K96</f>
        <v>-53803.068410462765</v>
      </c>
      <c r="F99" s="238">
        <f>Solidarité!I93</f>
        <v>-116216.50019202262</v>
      </c>
      <c r="G99" s="8">
        <f>DT!O93</f>
        <v>-208605.65217391305</v>
      </c>
      <c r="H99" s="238">
        <f>Effort!K93+Aide!I93+Taux!J93</f>
        <v>0</v>
      </c>
      <c r="I99" s="316">
        <f t="shared" si="4"/>
        <v>-378625.22077639843</v>
      </c>
      <c r="J99" s="394">
        <f t="shared" si="5"/>
        <v>267535.13468958432</v>
      </c>
      <c r="K99" s="520">
        <f t="shared" si="6"/>
        <v>-111090.08608681412</v>
      </c>
    </row>
    <row r="100" spans="1:11" x14ac:dyDescent="0.25">
      <c r="A100" s="38">
        <f>Données!A94</f>
        <v>5556</v>
      </c>
      <c r="B100" s="27" t="str">
        <f>Données!B94</f>
        <v>Fiez</v>
      </c>
      <c r="C100" s="26">
        <f>Ecrêtage!C94</f>
        <v>14574.59084541063</v>
      </c>
      <c r="D100" s="12">
        <f>Données!Z94</f>
        <v>442</v>
      </c>
      <c r="E100" s="8">
        <f>Population!K97</f>
        <v>-57028.67203219315</v>
      </c>
      <c r="F100" s="238">
        <f>Solidarité!I94</f>
        <v>-125753.20888993426</v>
      </c>
      <c r="G100" s="8">
        <f>DT!O94</f>
        <v>-73389.954927536222</v>
      </c>
      <c r="H100" s="238">
        <f>Effort!K94+Aide!I94+Taux!J94</f>
        <v>0</v>
      </c>
      <c r="I100" s="316">
        <f t="shared" si="4"/>
        <v>-256171.83584966362</v>
      </c>
      <c r="J100" s="394">
        <f t="shared" si="5"/>
        <v>280970.21974205645</v>
      </c>
      <c r="K100" s="520">
        <f t="shared" si="6"/>
        <v>24798.383892392827</v>
      </c>
    </row>
    <row r="101" spans="1:11" x14ac:dyDescent="0.25">
      <c r="A101" s="38">
        <f>Données!A95</f>
        <v>5557</v>
      </c>
      <c r="B101" s="27" t="str">
        <f>Données!B95</f>
        <v>Fontaines-sur-Grandson</v>
      </c>
      <c r="C101" s="26">
        <f>Ecrêtage!C95</f>
        <v>4232.7078260869557</v>
      </c>
      <c r="D101" s="12">
        <f>Données!Z95</f>
        <v>220</v>
      </c>
      <c r="E101" s="8">
        <f>Population!K98</f>
        <v>-28385.311871227357</v>
      </c>
      <c r="F101" s="238">
        <f>Solidarité!I95</f>
        <v>-120062.39343775122</v>
      </c>
      <c r="G101" s="8">
        <f>DT!O95</f>
        <v>-33590.503043478268</v>
      </c>
      <c r="H101" s="238">
        <f>Effort!K95+Aide!I95+Taux!J95</f>
        <v>0</v>
      </c>
      <c r="I101" s="316">
        <f t="shared" si="4"/>
        <v>-182038.20835245683</v>
      </c>
      <c r="J101" s="394">
        <f t="shared" si="5"/>
        <v>81598.506648580107</v>
      </c>
      <c r="K101" s="520">
        <f t="shared" si="6"/>
        <v>-100439.70170387672</v>
      </c>
    </row>
    <row r="102" spans="1:11" x14ac:dyDescent="0.25">
      <c r="A102" s="38">
        <f>Données!A96</f>
        <v>5559</v>
      </c>
      <c r="B102" s="27" t="str">
        <f>Données!B96</f>
        <v>Giez</v>
      </c>
      <c r="C102" s="26">
        <f>Ecrêtage!C96</f>
        <v>23427.520303030306</v>
      </c>
      <c r="D102" s="12">
        <f>Données!Z96</f>
        <v>443</v>
      </c>
      <c r="E102" s="8">
        <f>Population!K99</f>
        <v>-57157.69617706236</v>
      </c>
      <c r="F102" s="238">
        <f>Solidarité!I96</f>
        <v>0</v>
      </c>
      <c r="G102" s="8">
        <f>DT!O96</f>
        <v>0</v>
      </c>
      <c r="H102" s="238">
        <f>Effort!K96+Aide!I96+Taux!J96</f>
        <v>0</v>
      </c>
      <c r="I102" s="316">
        <f t="shared" si="4"/>
        <v>-57157.69617706236</v>
      </c>
      <c r="J102" s="394">
        <f t="shared" si="5"/>
        <v>451637.75761339103</v>
      </c>
      <c r="K102" s="520">
        <f t="shared" si="6"/>
        <v>394480.06143632869</v>
      </c>
    </row>
    <row r="103" spans="1:11" x14ac:dyDescent="0.25">
      <c r="A103" s="38">
        <f>Données!A97</f>
        <v>5560</v>
      </c>
      <c r="B103" s="27" t="str">
        <f>Données!B97</f>
        <v>Grandevent</v>
      </c>
      <c r="C103" s="26">
        <f>Ecrêtage!C97</f>
        <v>7003.3020588235295</v>
      </c>
      <c r="D103" s="12">
        <f>Données!Z97</f>
        <v>238</v>
      </c>
      <c r="E103" s="8">
        <f>Population!K100</f>
        <v>-30707.746478873232</v>
      </c>
      <c r="F103" s="238">
        <f>Solidarité!I97</f>
        <v>-81365.766297776427</v>
      </c>
      <c r="G103" s="8">
        <f>DT!O97</f>
        <v>-15209.461102941175</v>
      </c>
      <c r="H103" s="238">
        <f>Effort!K97+Aide!I97+Taux!J97</f>
        <v>0</v>
      </c>
      <c r="I103" s="316">
        <f t="shared" si="4"/>
        <v>-127282.97387959083</v>
      </c>
      <c r="J103" s="394">
        <f t="shared" si="5"/>
        <v>135010.26130056032</v>
      </c>
      <c r="K103" s="520">
        <f t="shared" si="6"/>
        <v>7727.2874209694855</v>
      </c>
    </row>
    <row r="104" spans="1:11" x14ac:dyDescent="0.25">
      <c r="A104" s="38">
        <f>Données!A98</f>
        <v>5561</v>
      </c>
      <c r="B104" s="27" t="str">
        <f>Données!B98</f>
        <v>Grandson</v>
      </c>
      <c r="C104" s="26">
        <f>Ecrêtage!C98</f>
        <v>114496.59724637681</v>
      </c>
      <c r="D104" s="12">
        <f>Données!Z98</f>
        <v>3366</v>
      </c>
      <c r="E104" s="8">
        <f>Population!K101</f>
        <v>-1040450.7042253519</v>
      </c>
      <c r="F104" s="238">
        <f>Solidarité!I98</f>
        <v>-890985.69288035878</v>
      </c>
      <c r="G104" s="8">
        <f>DT!O98</f>
        <v>-1013270.4165217392</v>
      </c>
      <c r="H104" s="238">
        <f>Effort!K98+Aide!I98+Taux!J98</f>
        <v>0</v>
      </c>
      <c r="I104" s="316">
        <f t="shared" si="4"/>
        <v>-2944706.8136274498</v>
      </c>
      <c r="J104" s="394">
        <f t="shared" si="5"/>
        <v>2207275.279920618</v>
      </c>
      <c r="K104" s="520">
        <f t="shared" si="6"/>
        <v>-737431.53370683175</v>
      </c>
    </row>
    <row r="105" spans="1:11" x14ac:dyDescent="0.25">
      <c r="A105" s="38">
        <f>Données!A99</f>
        <v>5562</v>
      </c>
      <c r="B105" s="27" t="str">
        <f>Données!B99</f>
        <v>Mauborget</v>
      </c>
      <c r="C105" s="26">
        <f>Ecrêtage!C99</f>
        <v>6099.4266904761898</v>
      </c>
      <c r="D105" s="12">
        <f>Données!Z99</f>
        <v>137</v>
      </c>
      <c r="E105" s="8">
        <f>Population!K102</f>
        <v>-17676.307847082491</v>
      </c>
      <c r="F105" s="238">
        <f>Solidarité!I99</f>
        <v>-9148.8083271735431</v>
      </c>
      <c r="G105" s="8">
        <f>DT!O99</f>
        <v>-7336.6198392857186</v>
      </c>
      <c r="H105" s="238">
        <f>Effort!K99+Aide!I99+Taux!J99</f>
        <v>0</v>
      </c>
      <c r="I105" s="316">
        <f t="shared" si="4"/>
        <v>-34161.736013541755</v>
      </c>
      <c r="J105" s="394">
        <f t="shared" si="5"/>
        <v>117585.27396762575</v>
      </c>
      <c r="K105" s="520">
        <f t="shared" si="6"/>
        <v>83423.537954083993</v>
      </c>
    </row>
    <row r="106" spans="1:11" x14ac:dyDescent="0.25">
      <c r="A106" s="38">
        <f>Données!A100</f>
        <v>5563</v>
      </c>
      <c r="B106" s="27" t="str">
        <f>Données!B100</f>
        <v>Mutrux</v>
      </c>
      <c r="C106" s="26">
        <f>Ecrêtage!C100</f>
        <v>4282.2106250000006</v>
      </c>
      <c r="D106" s="12">
        <f>Données!Z100</f>
        <v>151</v>
      </c>
      <c r="E106" s="8">
        <f>Population!K103</f>
        <v>-19482.645875251506</v>
      </c>
      <c r="F106" s="238">
        <f>Solidarité!I100</f>
        <v>-75568.17236060946</v>
      </c>
      <c r="G106" s="8">
        <f>DT!O100</f>
        <v>-21177.236249999994</v>
      </c>
      <c r="H106" s="238">
        <f>Effort!K100+Aide!I100+Taux!J100</f>
        <v>0</v>
      </c>
      <c r="I106" s="316">
        <f t="shared" si="4"/>
        <v>-116228.05448586095</v>
      </c>
      <c r="J106" s="394">
        <f t="shared" si="5"/>
        <v>82552.825876884526</v>
      </c>
      <c r="K106" s="520">
        <f t="shared" si="6"/>
        <v>-33675.228608976424</v>
      </c>
    </row>
    <row r="107" spans="1:11" x14ac:dyDescent="0.25">
      <c r="A107" s="38">
        <f>Données!A101</f>
        <v>5564</v>
      </c>
      <c r="B107" s="27" t="str">
        <f>Données!B101</f>
        <v>Novalles</v>
      </c>
      <c r="C107" s="26">
        <f>Ecrêtage!C101</f>
        <v>2099.5443749999999</v>
      </c>
      <c r="D107" s="12">
        <f>Données!Z101</f>
        <v>103</v>
      </c>
      <c r="E107" s="8">
        <f>Population!K104</f>
        <v>-13289.486921529173</v>
      </c>
      <c r="F107" s="238">
        <f>Solidarité!I101</f>
        <v>-65474.945342345374</v>
      </c>
      <c r="G107" s="8">
        <f>DT!O101</f>
        <v>-31167.075468750005</v>
      </c>
      <c r="H107" s="238">
        <f>Effort!K101+Aide!I101+Taux!J101</f>
        <v>0</v>
      </c>
      <c r="I107" s="316">
        <f t="shared" si="4"/>
        <v>-109931.50773262455</v>
      </c>
      <c r="J107" s="394">
        <f t="shared" si="5"/>
        <v>40475.197599643368</v>
      </c>
      <c r="K107" s="520">
        <f t="shared" si="6"/>
        <v>-69456.310132981191</v>
      </c>
    </row>
    <row r="108" spans="1:11" x14ac:dyDescent="0.25">
      <c r="A108" s="38">
        <f>Données!A102</f>
        <v>5565</v>
      </c>
      <c r="B108" s="27" t="str">
        <f>Données!B102</f>
        <v>Onnens</v>
      </c>
      <c r="C108" s="26">
        <f>Ecrêtage!C102</f>
        <v>22684.162047244088</v>
      </c>
      <c r="D108" s="12">
        <f>Données!Z102</f>
        <v>495</v>
      </c>
      <c r="E108" s="8">
        <f>Population!K105</f>
        <v>-63866.951710261557</v>
      </c>
      <c r="F108" s="238">
        <f>Solidarité!I102</f>
        <v>-16794.510901925805</v>
      </c>
      <c r="G108" s="8">
        <f>DT!O102</f>
        <v>-68071.906181102415</v>
      </c>
      <c r="H108" s="238">
        <f>Effort!K102+Aide!I102+Taux!J102</f>
        <v>0</v>
      </c>
      <c r="I108" s="316">
        <f t="shared" si="4"/>
        <v>-148733.36879328976</v>
      </c>
      <c r="J108" s="394">
        <f t="shared" si="5"/>
        <v>437307.23302503914</v>
      </c>
      <c r="K108" s="520">
        <f t="shared" si="6"/>
        <v>288573.86423174938</v>
      </c>
    </row>
    <row r="109" spans="1:11" x14ac:dyDescent="0.25">
      <c r="A109" s="38">
        <f>Données!A103</f>
        <v>5566</v>
      </c>
      <c r="B109" s="27" t="str">
        <f>Données!B103</f>
        <v>Provence</v>
      </c>
      <c r="C109" s="26">
        <f>Ecrêtage!C103</f>
        <v>9377.2088888888902</v>
      </c>
      <c r="D109" s="12">
        <f>Données!Z103</f>
        <v>403</v>
      </c>
      <c r="E109" s="8">
        <f>Population!K106</f>
        <v>-51996.730382293754</v>
      </c>
      <c r="F109" s="238">
        <f>Solidarité!I103</f>
        <v>-260525.76017435527</v>
      </c>
      <c r="G109" s="8">
        <f>DT!O103</f>
        <v>-395120.4966666667</v>
      </c>
      <c r="H109" s="238">
        <f>Effort!K103+Aide!I103+Taux!J103</f>
        <v>0</v>
      </c>
      <c r="I109" s="316">
        <f t="shared" si="4"/>
        <v>-707642.98722331575</v>
      </c>
      <c r="J109" s="394">
        <f t="shared" si="5"/>
        <v>180774.64197960097</v>
      </c>
      <c r="K109" s="520">
        <f t="shared" si="6"/>
        <v>-526868.34524371475</v>
      </c>
    </row>
    <row r="110" spans="1:11" x14ac:dyDescent="0.25">
      <c r="A110" s="38">
        <f>Données!A104</f>
        <v>5568</v>
      </c>
      <c r="B110" s="27" t="str">
        <f>Données!B104</f>
        <v>Sainte-Croix</v>
      </c>
      <c r="C110" s="26">
        <f>Ecrêtage!C104</f>
        <v>109152.09599999999</v>
      </c>
      <c r="D110" s="12">
        <f>Données!Z104</f>
        <v>4948</v>
      </c>
      <c r="E110" s="8">
        <f>Population!K107</f>
        <v>-1856915.4929577461</v>
      </c>
      <c r="F110" s="238">
        <f>Solidarité!I104</f>
        <v>-2505986.7889419277</v>
      </c>
      <c r="G110" s="8">
        <f>DT!O104</f>
        <v>-1597828.6739999999</v>
      </c>
      <c r="H110" s="238">
        <f>Effort!K104+Aide!I104+Taux!J104</f>
        <v>0</v>
      </c>
      <c r="I110" s="316">
        <f t="shared" si="4"/>
        <v>-5960730.9558996735</v>
      </c>
      <c r="J110" s="394">
        <f t="shared" si="5"/>
        <v>2104243.5237956056</v>
      </c>
      <c r="K110" s="520">
        <f t="shared" si="6"/>
        <v>-3856487.4321040679</v>
      </c>
    </row>
    <row r="111" spans="1:11" x14ac:dyDescent="0.25">
      <c r="A111" s="38">
        <f>Données!A105</f>
        <v>5571</v>
      </c>
      <c r="B111" s="27" t="str">
        <f>Données!B105</f>
        <v>Tévenon</v>
      </c>
      <c r="C111" s="26">
        <f>Ecrêtage!C105</f>
        <v>25324.815594405594</v>
      </c>
      <c r="D111" s="12">
        <f>Données!Z105</f>
        <v>883</v>
      </c>
      <c r="E111" s="8">
        <f>Population!K108</f>
        <v>-113928.31991951707</v>
      </c>
      <c r="F111" s="238">
        <f>Solidarité!I105</f>
        <v>-347187.58993634721</v>
      </c>
      <c r="G111" s="8">
        <f>DT!O105</f>
        <v>-221729.74473776223</v>
      </c>
      <c r="H111" s="238">
        <f>Effort!K105+Aide!I105+Taux!J105</f>
        <v>0</v>
      </c>
      <c r="I111" s="316">
        <f t="shared" si="4"/>
        <v>-682845.6545936265</v>
      </c>
      <c r="J111" s="394">
        <f t="shared" si="5"/>
        <v>488213.979929858</v>
      </c>
      <c r="K111" s="520">
        <f t="shared" si="6"/>
        <v>-194631.6746637685</v>
      </c>
    </row>
    <row r="112" spans="1:11" x14ac:dyDescent="0.25">
      <c r="A112" s="38">
        <f>Données!A106</f>
        <v>5581</v>
      </c>
      <c r="B112" s="27" t="str">
        <f>Données!B106</f>
        <v>Belmont-sur-Lausanne</v>
      </c>
      <c r="C112" s="26">
        <f>Ecrêtage!C106</f>
        <v>215428.66976851854</v>
      </c>
      <c r="D112" s="12">
        <f>Données!Z106</f>
        <v>3871</v>
      </c>
      <c r="E112" s="8">
        <f>Population!K109</f>
        <v>-1301079.4768611668</v>
      </c>
      <c r="F112" s="238">
        <f>Solidarité!I106</f>
        <v>0</v>
      </c>
      <c r="G112" s="8">
        <f>DT!O106</f>
        <v>-816121.98138888879</v>
      </c>
      <c r="H112" s="238">
        <f>Effort!K106+Aide!I106+Taux!J106</f>
        <v>0</v>
      </c>
      <c r="I112" s="316">
        <f t="shared" si="4"/>
        <v>-2117201.4582500556</v>
      </c>
      <c r="J112" s="394">
        <f t="shared" si="5"/>
        <v>4153052.4819267541</v>
      </c>
      <c r="K112" s="520">
        <f t="shared" si="6"/>
        <v>2035851.0236766986</v>
      </c>
    </row>
    <row r="113" spans="1:11" x14ac:dyDescent="0.25">
      <c r="A113" s="38">
        <f>Données!A107</f>
        <v>5582</v>
      </c>
      <c r="B113" s="27" t="str">
        <f>Données!B107</f>
        <v>Cheseaux-sur-Lausanne</v>
      </c>
      <c r="C113" s="26">
        <f>Ecrêtage!C107</f>
        <v>167486.36602739722</v>
      </c>
      <c r="D113" s="12">
        <f>Données!Z107</f>
        <v>4449</v>
      </c>
      <c r="E113" s="8">
        <f>Population!K110</f>
        <v>-1599383.2997987925</v>
      </c>
      <c r="F113" s="238">
        <f>Solidarité!I107</f>
        <v>-974322.4019000025</v>
      </c>
      <c r="G113" s="8">
        <f>DT!O107</f>
        <v>-481633.55383561668</v>
      </c>
      <c r="H113" s="238">
        <f>Effort!K107+Aide!I107+Taux!J107</f>
        <v>0</v>
      </c>
      <c r="I113" s="316">
        <f t="shared" si="4"/>
        <v>-3055339.2555344114</v>
      </c>
      <c r="J113" s="394">
        <f t="shared" si="5"/>
        <v>3228816.6141785397</v>
      </c>
      <c r="K113" s="520">
        <f t="shared" si="6"/>
        <v>173477.35864412831</v>
      </c>
    </row>
    <row r="114" spans="1:11" x14ac:dyDescent="0.25">
      <c r="A114" s="38">
        <f>Données!A108</f>
        <v>5583</v>
      </c>
      <c r="B114" s="27" t="str">
        <f>Données!B108</f>
        <v>Crissier</v>
      </c>
      <c r="C114" s="26">
        <f>Ecrêtage!C108</f>
        <v>337339.7176377952</v>
      </c>
      <c r="D114" s="12">
        <f>Données!Z108</f>
        <v>8974</v>
      </c>
      <c r="E114" s="8">
        <f>Population!K111</f>
        <v>-4344913.8832997978</v>
      </c>
      <c r="F114" s="238">
        <f>Solidarité!I108</f>
        <v>-1495017.7475484854</v>
      </c>
      <c r="G114" s="8">
        <f>DT!O108</f>
        <v>-2916720.1941732289</v>
      </c>
      <c r="H114" s="238">
        <f>Effort!K108+Aide!I108+Taux!J108</f>
        <v>0</v>
      </c>
      <c r="I114" s="316">
        <f t="shared" si="4"/>
        <v>-8756651.8250215128</v>
      </c>
      <c r="J114" s="394">
        <f t="shared" si="5"/>
        <v>6503264.1806380777</v>
      </c>
      <c r="K114" s="520">
        <f t="shared" si="6"/>
        <v>-2253387.6443834351</v>
      </c>
    </row>
    <row r="115" spans="1:11" x14ac:dyDescent="0.25">
      <c r="A115" s="38">
        <f>Données!A109</f>
        <v>5584</v>
      </c>
      <c r="B115" s="27" t="str">
        <f>Données!B109</f>
        <v>Epalinges</v>
      </c>
      <c r="C115" s="26">
        <f>Ecrêtage!C109</f>
        <v>516682.33689922479</v>
      </c>
      <c r="D115" s="12">
        <f>Données!Z109</f>
        <v>9813</v>
      </c>
      <c r="E115" s="8">
        <f>Population!K112</f>
        <v>-5074313.1790744448</v>
      </c>
      <c r="F115" s="238">
        <f>Solidarité!I109</f>
        <v>0</v>
      </c>
      <c r="G115" s="8">
        <f>DT!O109</f>
        <v>-4004004.2286046511</v>
      </c>
      <c r="H115" s="238">
        <f>Effort!K109+Aide!I109+Taux!J109</f>
        <v>0</v>
      </c>
      <c r="I115" s="316">
        <f t="shared" si="4"/>
        <v>-9078317.4076790959</v>
      </c>
      <c r="J115" s="394">
        <f t="shared" si="5"/>
        <v>9960646.6675616838</v>
      </c>
      <c r="K115" s="520">
        <f t="shared" si="6"/>
        <v>882329.25988258794</v>
      </c>
    </row>
    <row r="116" spans="1:11" x14ac:dyDescent="0.25">
      <c r="A116" s="38">
        <f>Données!A110</f>
        <v>5585</v>
      </c>
      <c r="B116" s="27" t="str">
        <f>Données!B110</f>
        <v>Jouxtens-Mézery</v>
      </c>
      <c r="C116" s="26">
        <f>Ecrêtage!C110</f>
        <v>191742.38983050847</v>
      </c>
      <c r="D116" s="12">
        <f>Données!Z110</f>
        <v>1460</v>
      </c>
      <c r="E116" s="8">
        <f>Population!K113</f>
        <v>-295207.24346076453</v>
      </c>
      <c r="F116" s="238">
        <f>Solidarité!I110</f>
        <v>0</v>
      </c>
      <c r="G116" s="8">
        <f>DT!O110</f>
        <v>0</v>
      </c>
      <c r="H116" s="238">
        <f>Effort!K110+Aide!I110+Taux!J110</f>
        <v>0</v>
      </c>
      <c r="I116" s="316">
        <f t="shared" si="4"/>
        <v>-295207.24346076453</v>
      </c>
      <c r="J116" s="394">
        <f t="shared" si="5"/>
        <v>3696426.333745711</v>
      </c>
      <c r="K116" s="520">
        <f t="shared" si="6"/>
        <v>3401219.0902849464</v>
      </c>
    </row>
    <row r="117" spans="1:11" x14ac:dyDescent="0.25">
      <c r="A117" s="38">
        <f>Données!A111</f>
        <v>5586</v>
      </c>
      <c r="B117" s="27" t="str">
        <f>Données!B111</f>
        <v>Lausanne</v>
      </c>
      <c r="C117" s="26">
        <f>Ecrêtage!C111</f>
        <v>6457900.2123142257</v>
      </c>
      <c r="D117" s="12">
        <f>Données!Z111</f>
        <v>140824</v>
      </c>
      <c r="E117" s="8">
        <f>Population!K114</f>
        <v>-146458093.76257545</v>
      </c>
      <c r="F117" s="238">
        <f>Solidarité!I111</f>
        <v>-7193089.2046551788</v>
      </c>
      <c r="G117" s="8">
        <f>DT!O111</f>
        <v>-49571736.976114646</v>
      </c>
      <c r="H117" s="238">
        <f>Effort!K111+Aide!I111+Taux!J111</f>
        <v>0</v>
      </c>
      <c r="I117" s="316">
        <f t="shared" si="4"/>
        <v>-203222919.94334525</v>
      </c>
      <c r="J117" s="394">
        <f t="shared" si="5"/>
        <v>124495957.44895707</v>
      </c>
      <c r="K117" s="520">
        <f t="shared" si="6"/>
        <v>-78726962.494388178</v>
      </c>
    </row>
    <row r="118" spans="1:11" x14ac:dyDescent="0.25">
      <c r="A118" s="38">
        <f>Données!A112</f>
        <v>5587</v>
      </c>
      <c r="B118" s="27" t="str">
        <f>Données!B112</f>
        <v>Le Mont-sur-Lausanne</v>
      </c>
      <c r="C118" s="26">
        <f>Ecrêtage!C112</f>
        <v>494912.33501133788</v>
      </c>
      <c r="D118" s="12">
        <f>Données!Z112</f>
        <v>9217</v>
      </c>
      <c r="E118" s="8">
        <f>Population!K115</f>
        <v>-4551404.1247484898</v>
      </c>
      <c r="F118" s="238">
        <f>Solidarité!I112</f>
        <v>0</v>
      </c>
      <c r="G118" s="8">
        <f>DT!O112</f>
        <v>-2351152.7399319727</v>
      </c>
      <c r="H118" s="238">
        <f>Effort!K112+Aide!I112+Taux!J112</f>
        <v>0</v>
      </c>
      <c r="I118" s="316">
        <f t="shared" si="4"/>
        <v>-6902556.8646804625</v>
      </c>
      <c r="J118" s="394">
        <f t="shared" si="5"/>
        <v>9540962.6929579899</v>
      </c>
      <c r="K118" s="520">
        <f t="shared" si="6"/>
        <v>2638405.8282775274</v>
      </c>
    </row>
    <row r="119" spans="1:11" x14ac:dyDescent="0.25">
      <c r="A119" s="38">
        <f>Données!A113</f>
        <v>5588</v>
      </c>
      <c r="B119" s="27" t="str">
        <f>Données!B113</f>
        <v>Paudex</v>
      </c>
      <c r="C119" s="26">
        <f>Ecrêtage!C113</f>
        <v>140525.78356605806</v>
      </c>
      <c r="D119" s="12">
        <f>Données!Z113</f>
        <v>1545</v>
      </c>
      <c r="E119" s="8">
        <f>Population!K116</f>
        <v>-325914.98993963777</v>
      </c>
      <c r="F119" s="238">
        <f>Solidarité!I113</f>
        <v>0</v>
      </c>
      <c r="G119" s="8">
        <f>DT!O113</f>
        <v>0</v>
      </c>
      <c r="H119" s="238">
        <f>Effort!K113+Aide!I113+Taux!J113</f>
        <v>0</v>
      </c>
      <c r="I119" s="316">
        <f t="shared" si="4"/>
        <v>-325914.98993963777</v>
      </c>
      <c r="J119" s="394">
        <f t="shared" si="5"/>
        <v>2709068.1794619923</v>
      </c>
      <c r="K119" s="520">
        <f t="shared" si="6"/>
        <v>2383153.1895223544</v>
      </c>
    </row>
    <row r="120" spans="1:11" x14ac:dyDescent="0.25">
      <c r="A120" s="38">
        <f>Données!A114</f>
        <v>5589</v>
      </c>
      <c r="B120" s="27" t="str">
        <f>Données!B114</f>
        <v>Prilly</v>
      </c>
      <c r="C120" s="26">
        <f>Ecrêtage!C114</f>
        <v>419337.60911405843</v>
      </c>
      <c r="D120" s="12">
        <f>Données!Z114</f>
        <v>12341</v>
      </c>
      <c r="E120" s="8">
        <f>Population!K117</f>
        <v>-7345086.5191146862</v>
      </c>
      <c r="F120" s="238">
        <f>Solidarité!I114</f>
        <v>-3615923.651067521</v>
      </c>
      <c r="G120" s="8">
        <f>DT!O114</f>
        <v>-3314858.3453156492</v>
      </c>
      <c r="H120" s="238">
        <f>Effort!K114+Aide!I114+Taux!J114</f>
        <v>0</v>
      </c>
      <c r="I120" s="316">
        <f t="shared" si="4"/>
        <v>-14275868.515497856</v>
      </c>
      <c r="J120" s="394">
        <f t="shared" si="5"/>
        <v>8084026.6068934733</v>
      </c>
      <c r="K120" s="520">
        <f t="shared" si="6"/>
        <v>-6191841.9086043825</v>
      </c>
    </row>
    <row r="121" spans="1:11" x14ac:dyDescent="0.25">
      <c r="A121" s="38">
        <f>Données!A115</f>
        <v>5590</v>
      </c>
      <c r="B121" s="27" t="str">
        <f>Données!B115</f>
        <v>Pully</v>
      </c>
      <c r="C121" s="26">
        <f>Ecrêtage!C115</f>
        <v>1602221.7514051518</v>
      </c>
      <c r="D121" s="12">
        <f>Données!Z115</f>
        <v>18946</v>
      </c>
      <c r="E121" s="8">
        <f>Population!K118</f>
        <v>-14366374.044265591</v>
      </c>
      <c r="F121" s="238">
        <f>Solidarité!I115</f>
        <v>0</v>
      </c>
      <c r="G121" s="8">
        <f>DT!O115</f>
        <v>-2491558.4915690892</v>
      </c>
      <c r="H121" s="238">
        <f>Effort!K115+Aide!I115+Taux!J115</f>
        <v>0</v>
      </c>
      <c r="I121" s="316">
        <f t="shared" si="4"/>
        <v>-16857932.535834681</v>
      </c>
      <c r="J121" s="394">
        <f t="shared" si="5"/>
        <v>30887769.155424587</v>
      </c>
      <c r="K121" s="520">
        <f t="shared" si="6"/>
        <v>14029836.619589906</v>
      </c>
    </row>
    <row r="122" spans="1:11" x14ac:dyDescent="0.25">
      <c r="A122" s="38">
        <f>Données!A116</f>
        <v>5591</v>
      </c>
      <c r="B122" s="27" t="str">
        <f>Données!B116</f>
        <v>Renens</v>
      </c>
      <c r="C122" s="26">
        <f>Ecrêtage!C116</f>
        <v>569549.93361781072</v>
      </c>
      <c r="D122" s="12">
        <f>Données!Z116</f>
        <v>20917</v>
      </c>
      <c r="E122" s="8">
        <f>Population!K119</f>
        <v>-16502549.396378266</v>
      </c>
      <c r="F122" s="238">
        <f>Solidarité!I116</f>
        <v>-10257393.530823262</v>
      </c>
      <c r="G122" s="8">
        <f>DT!O116</f>
        <v>-7031430.3982931357</v>
      </c>
      <c r="H122" s="238">
        <f>Effort!K116+Aide!I116+Taux!J116</f>
        <v>870226.423226343</v>
      </c>
      <c r="I122" s="316">
        <f t="shared" si="4"/>
        <v>-32921146.90226832</v>
      </c>
      <c r="J122" s="394">
        <f t="shared" si="5"/>
        <v>10979832.758259589</v>
      </c>
      <c r="K122" s="520">
        <f t="shared" si="6"/>
        <v>-21941314.144008733</v>
      </c>
    </row>
    <row r="123" spans="1:11" x14ac:dyDescent="0.25">
      <c r="A123" s="38">
        <f>Données!A117</f>
        <v>5592</v>
      </c>
      <c r="B123" s="27" t="str">
        <f>Données!B117</f>
        <v>Romanel-sur-Lausanne</v>
      </c>
      <c r="C123" s="26">
        <f>Ecrêtage!C117</f>
        <v>121058.65858156027</v>
      </c>
      <c r="D123" s="12">
        <f>Données!Z117</f>
        <v>3482</v>
      </c>
      <c r="E123" s="8">
        <f>Population!K120</f>
        <v>-1100317.9074446678</v>
      </c>
      <c r="F123" s="238">
        <f>Solidarité!I117</f>
        <v>-910252.81098108029</v>
      </c>
      <c r="G123" s="8">
        <f>DT!O117</f>
        <v>-249523.29851063836</v>
      </c>
      <c r="H123" s="238">
        <f>Effort!K117+Aide!I117+Taux!J117</f>
        <v>0</v>
      </c>
      <c r="I123" s="316">
        <f t="shared" si="4"/>
        <v>-2260094.0169363865</v>
      </c>
      <c r="J123" s="394">
        <f t="shared" si="5"/>
        <v>2333779.2644827594</v>
      </c>
      <c r="K123" s="520">
        <f t="shared" si="6"/>
        <v>73685.247546372935</v>
      </c>
    </row>
    <row r="124" spans="1:11" x14ac:dyDescent="0.25">
      <c r="A124" s="38">
        <f>Données!A118</f>
        <v>5601</v>
      </c>
      <c r="B124" s="27" t="str">
        <f>Données!B118</f>
        <v>Chexbres</v>
      </c>
      <c r="C124" s="26">
        <f>Ecrêtage!C118</f>
        <v>105964.39288888889</v>
      </c>
      <c r="D124" s="12">
        <f>Données!Z118</f>
        <v>2229</v>
      </c>
      <c r="E124" s="8">
        <f>Population!K121</f>
        <v>-573022.03219315887</v>
      </c>
      <c r="F124" s="238">
        <f>Solidarité!I118</f>
        <v>-15979.169737974988</v>
      </c>
      <c r="G124" s="8">
        <f>DT!O118</f>
        <v>-287292.64266666665</v>
      </c>
      <c r="H124" s="238">
        <f>Effort!K118+Aide!I118+Taux!J118</f>
        <v>0</v>
      </c>
      <c r="I124" s="316">
        <f t="shared" si="4"/>
        <v>-876293.84459780052</v>
      </c>
      <c r="J124" s="394">
        <f t="shared" si="5"/>
        <v>2042790.7082002126</v>
      </c>
      <c r="K124" s="520">
        <f t="shared" si="6"/>
        <v>1166496.8636024119</v>
      </c>
    </row>
    <row r="125" spans="1:11" x14ac:dyDescent="0.25">
      <c r="A125" s="38">
        <f>Données!A119</f>
        <v>5604</v>
      </c>
      <c r="B125" s="27" t="str">
        <f>Données!B119</f>
        <v>Forel (Lavaux)</v>
      </c>
      <c r="C125" s="26">
        <f>Ecrêtage!C119</f>
        <v>75806.642898550723</v>
      </c>
      <c r="D125" s="12">
        <f>Données!Z119</f>
        <v>2110</v>
      </c>
      <c r="E125" s="8">
        <f>Population!K122</f>
        <v>-530031.18712273636</v>
      </c>
      <c r="F125" s="238">
        <f>Solidarité!I119</f>
        <v>-481801.05526743887</v>
      </c>
      <c r="G125" s="8">
        <f>DT!O119</f>
        <v>-338142.64260869566</v>
      </c>
      <c r="H125" s="238">
        <f>Effort!K119+Aide!I119+Taux!J119</f>
        <v>0</v>
      </c>
      <c r="I125" s="316">
        <f t="shared" si="4"/>
        <v>-1349974.884998871</v>
      </c>
      <c r="J125" s="394">
        <f t="shared" si="5"/>
        <v>1461407.0020236855</v>
      </c>
      <c r="K125" s="520">
        <f t="shared" si="6"/>
        <v>111432.11702481448</v>
      </c>
    </row>
    <row r="126" spans="1:11" x14ac:dyDescent="0.25">
      <c r="A126" s="38">
        <f>Données!A120</f>
        <v>5606</v>
      </c>
      <c r="B126" s="27" t="str">
        <f>Données!B120</f>
        <v>Lutry</v>
      </c>
      <c r="C126" s="26">
        <f>Ecrêtage!C120</f>
        <v>959386.53714285709</v>
      </c>
      <c r="D126" s="12">
        <f>Données!Z120</f>
        <v>10704</v>
      </c>
      <c r="E126" s="8">
        <f>Population!K123</f>
        <v>-5856044.6680080462</v>
      </c>
      <c r="F126" s="238">
        <f>Solidarité!I120</f>
        <v>0</v>
      </c>
      <c r="G126" s="8">
        <f>DT!O120</f>
        <v>-2054440.2771428574</v>
      </c>
      <c r="H126" s="238">
        <f>Effort!K120+Aide!I120+Taux!J120</f>
        <v>0</v>
      </c>
      <c r="I126" s="316">
        <f t="shared" si="4"/>
        <v>-7910484.9451509034</v>
      </c>
      <c r="J126" s="394">
        <f t="shared" si="5"/>
        <v>18495136.434205987</v>
      </c>
      <c r="K126" s="520">
        <f t="shared" si="6"/>
        <v>10584651.489055082</v>
      </c>
    </row>
    <row r="127" spans="1:11" x14ac:dyDescent="0.25">
      <c r="A127" s="38">
        <f>Données!A121</f>
        <v>5607</v>
      </c>
      <c r="B127" s="27" t="str">
        <f>Données!B121</f>
        <v>Puidoux</v>
      </c>
      <c r="C127" s="26">
        <f>Ecrêtage!C121</f>
        <v>111538.40092668995</v>
      </c>
      <c r="D127" s="12">
        <f>Données!Z121</f>
        <v>2924</v>
      </c>
      <c r="E127" s="8">
        <f>Population!K124</f>
        <v>-824103.01810865174</v>
      </c>
      <c r="F127" s="238">
        <f>Solidarité!I121</f>
        <v>-536431.98691288941</v>
      </c>
      <c r="G127" s="8">
        <f>DT!O121</f>
        <v>-969709.3444398602</v>
      </c>
      <c r="H127" s="238">
        <f>Effort!K121+Aide!I121+Taux!J121</f>
        <v>0</v>
      </c>
      <c r="I127" s="316">
        <f t="shared" si="4"/>
        <v>-2330244.3494614013</v>
      </c>
      <c r="J127" s="394">
        <f t="shared" si="5"/>
        <v>2150246.9160510222</v>
      </c>
      <c r="K127" s="520">
        <f t="shared" si="6"/>
        <v>-179997.4334103791</v>
      </c>
    </row>
    <row r="128" spans="1:11" x14ac:dyDescent="0.25">
      <c r="A128" s="38">
        <f>Données!A122</f>
        <v>5609</v>
      </c>
      <c r="B128" s="27" t="str">
        <f>Données!B122</f>
        <v>Rivaz</v>
      </c>
      <c r="C128" s="26">
        <f>Ecrêtage!C122</f>
        <v>14895.889354838711</v>
      </c>
      <c r="D128" s="12">
        <f>Données!Z122</f>
        <v>331</v>
      </c>
      <c r="E128" s="8">
        <f>Population!K125</f>
        <v>-42706.991951710253</v>
      </c>
      <c r="F128" s="238">
        <f>Solidarité!I122</f>
        <v>-14893.848290278165</v>
      </c>
      <c r="G128" s="8">
        <f>DT!O122</f>
        <v>-50419.413870967735</v>
      </c>
      <c r="H128" s="238">
        <f>Effort!K122+Aide!I122+Taux!J122</f>
        <v>0</v>
      </c>
      <c r="I128" s="316">
        <f t="shared" si="4"/>
        <v>-108020.25411295616</v>
      </c>
      <c r="J128" s="394">
        <f t="shared" si="5"/>
        <v>287164.24012687086</v>
      </c>
      <c r="K128" s="520">
        <f t="shared" si="6"/>
        <v>179143.98601391469</v>
      </c>
    </row>
    <row r="129" spans="1:11" x14ac:dyDescent="0.25">
      <c r="A129" s="38">
        <f>Données!A123</f>
        <v>5610</v>
      </c>
      <c r="B129" s="27" t="str">
        <f>Données!B123</f>
        <v>St-Saphorin (Lavaux)</v>
      </c>
      <c r="C129" s="26">
        <f>Ecrêtage!C123</f>
        <v>23447.805208333331</v>
      </c>
      <c r="D129" s="12">
        <f>Données!Z123</f>
        <v>396</v>
      </c>
      <c r="E129" s="8">
        <f>Population!K126</f>
        <v>-51093.561368209244</v>
      </c>
      <c r="F129" s="238">
        <f>Solidarité!I123</f>
        <v>0</v>
      </c>
      <c r="G129" s="8">
        <f>DT!O123</f>
        <v>-4050.4187500000116</v>
      </c>
      <c r="H129" s="238">
        <f>Effort!K123+Aide!I123+Taux!J123</f>
        <v>0</v>
      </c>
      <c r="I129" s="316">
        <f t="shared" si="4"/>
        <v>-55143.980118209256</v>
      </c>
      <c r="J129" s="394">
        <f t="shared" si="5"/>
        <v>452028.8117679049</v>
      </c>
      <c r="K129" s="520">
        <f t="shared" si="6"/>
        <v>396884.83164969564</v>
      </c>
    </row>
    <row r="130" spans="1:11" x14ac:dyDescent="0.25">
      <c r="A130" s="38">
        <f>Données!A124</f>
        <v>5611</v>
      </c>
      <c r="B130" s="27" t="str">
        <f>Données!B124</f>
        <v>Savigny</v>
      </c>
      <c r="C130" s="26">
        <f>Ecrêtage!C124</f>
        <v>140961.75301932363</v>
      </c>
      <c r="D130" s="12">
        <f>Données!Z124</f>
        <v>3370</v>
      </c>
      <c r="E130" s="8">
        <f>Population!K127</f>
        <v>-1042515.0905432594</v>
      </c>
      <c r="F130" s="238">
        <f>Solidarité!I124</f>
        <v>-391272.01633929735</v>
      </c>
      <c r="G130" s="8">
        <f>DT!O124</f>
        <v>-641114.98188405822</v>
      </c>
      <c r="H130" s="238">
        <f>Effort!K124+Aide!I124+Taux!J124</f>
        <v>0</v>
      </c>
      <c r="I130" s="316">
        <f t="shared" si="4"/>
        <v>-2074902.0887666149</v>
      </c>
      <c r="J130" s="394">
        <f t="shared" si="5"/>
        <v>2717472.836195353</v>
      </c>
      <c r="K130" s="520">
        <f t="shared" si="6"/>
        <v>642570.74742873805</v>
      </c>
    </row>
    <row r="131" spans="1:11" x14ac:dyDescent="0.25">
      <c r="A131" s="38">
        <f>Données!A125</f>
        <v>5613</v>
      </c>
      <c r="B131" s="27" t="str">
        <f>Données!B125</f>
        <v>Bourg-en-Lavaux</v>
      </c>
      <c r="C131" s="26">
        <f>Ecrêtage!C125</f>
        <v>357200.5696533334</v>
      </c>
      <c r="D131" s="12">
        <f>Données!Z125</f>
        <v>5367</v>
      </c>
      <c r="E131" s="8">
        <f>Population!K128</f>
        <v>-2111041.4486921523</v>
      </c>
      <c r="F131" s="238">
        <f>Solidarité!I125</f>
        <v>0</v>
      </c>
      <c r="G131" s="8">
        <f>DT!O125</f>
        <v>0</v>
      </c>
      <c r="H131" s="238">
        <f>Effort!K125+Aide!I125+Taux!J125</f>
        <v>0</v>
      </c>
      <c r="I131" s="316">
        <f t="shared" si="4"/>
        <v>-2111041.4486921523</v>
      </c>
      <c r="J131" s="394">
        <f t="shared" si="5"/>
        <v>6886143.3992905458</v>
      </c>
      <c r="K131" s="520">
        <f t="shared" si="6"/>
        <v>4775101.9505983936</v>
      </c>
    </row>
    <row r="132" spans="1:11" x14ac:dyDescent="0.25">
      <c r="A132" s="38">
        <f>Données!A126</f>
        <v>5621</v>
      </c>
      <c r="B132" s="27" t="str">
        <f>Données!B126</f>
        <v>Aclens</v>
      </c>
      <c r="C132" s="26">
        <f>Ecrêtage!C126</f>
        <v>32245.149105571847</v>
      </c>
      <c r="D132" s="12">
        <f>Données!Z126</f>
        <v>517</v>
      </c>
      <c r="E132" s="8">
        <f>Population!K129</f>
        <v>-66705.482897384296</v>
      </c>
      <c r="F132" s="238">
        <f>Solidarité!I126</f>
        <v>0</v>
      </c>
      <c r="G132" s="8">
        <f>DT!O126</f>
        <v>-36146.105366568918</v>
      </c>
      <c r="H132" s="238">
        <f>Effort!K126+Aide!I126+Taux!J126</f>
        <v>0</v>
      </c>
      <c r="I132" s="316">
        <f t="shared" si="4"/>
        <v>-102851.58826395322</v>
      </c>
      <c r="J132" s="394">
        <f t="shared" si="5"/>
        <v>621624.76641056186</v>
      </c>
      <c r="K132" s="520">
        <f t="shared" si="6"/>
        <v>518773.17814660864</v>
      </c>
    </row>
    <row r="133" spans="1:11" x14ac:dyDescent="0.25">
      <c r="A133" s="38">
        <f>Données!A127</f>
        <v>5622</v>
      </c>
      <c r="B133" s="27" t="str">
        <f>Données!B127</f>
        <v>Bremblens</v>
      </c>
      <c r="C133" s="26">
        <f>Ecrêtage!C127</f>
        <v>28642.58897058824</v>
      </c>
      <c r="D133" s="12">
        <f>Données!Z127</f>
        <v>607</v>
      </c>
      <c r="E133" s="8">
        <f>Population!K130</f>
        <v>-78317.655935613671</v>
      </c>
      <c r="F133" s="238">
        <f>Solidarité!I127</f>
        <v>-8361.3686890908411</v>
      </c>
      <c r="G133" s="8">
        <f>DT!O127</f>
        <v>-10061.46617647056</v>
      </c>
      <c r="H133" s="238">
        <f>Effort!K127+Aide!I127+Taux!J127</f>
        <v>0</v>
      </c>
      <c r="I133" s="316">
        <f t="shared" si="4"/>
        <v>-96740.490801175067</v>
      </c>
      <c r="J133" s="394">
        <f t="shared" si="5"/>
        <v>552174.30131712498</v>
      </c>
      <c r="K133" s="520">
        <f t="shared" si="6"/>
        <v>455433.81051594991</v>
      </c>
    </row>
    <row r="134" spans="1:11" x14ac:dyDescent="0.25">
      <c r="A134" s="38">
        <f>Données!A128</f>
        <v>5623</v>
      </c>
      <c r="B134" s="27" t="str">
        <f>Données!B128</f>
        <v>Buchillon</v>
      </c>
      <c r="C134" s="26">
        <f>Ecrêtage!C128</f>
        <v>89223.972115384619</v>
      </c>
      <c r="D134" s="12">
        <f>Données!Z128</f>
        <v>669</v>
      </c>
      <c r="E134" s="8">
        <f>Population!K131</f>
        <v>-86317.152917505009</v>
      </c>
      <c r="F134" s="238">
        <f>Solidarité!I128</f>
        <v>0</v>
      </c>
      <c r="G134" s="8">
        <f>DT!O128</f>
        <v>0</v>
      </c>
      <c r="H134" s="238">
        <f>Effort!K128+Aide!I128+Taux!J128</f>
        <v>0</v>
      </c>
      <c r="I134" s="316">
        <f t="shared" si="4"/>
        <v>-86317.152917505009</v>
      </c>
      <c r="J134" s="394">
        <f t="shared" si="5"/>
        <v>1720067.432247181</v>
      </c>
      <c r="K134" s="520">
        <f t="shared" si="6"/>
        <v>1633750.2793296759</v>
      </c>
    </row>
    <row r="135" spans="1:11" x14ac:dyDescent="0.25">
      <c r="A135" s="38">
        <f>Données!A129</f>
        <v>5624</v>
      </c>
      <c r="B135" s="27" t="str">
        <f>Données!B129</f>
        <v>Bussigny</v>
      </c>
      <c r="C135" s="26">
        <f>Ecrêtage!C129</f>
        <v>441652.56160000002</v>
      </c>
      <c r="D135" s="12">
        <f>Données!Z129</f>
        <v>10253</v>
      </c>
      <c r="E135" s="8">
        <f>Population!K132</f>
        <v>-5460353.4205231369</v>
      </c>
      <c r="F135" s="238">
        <f>Solidarité!I129</f>
        <v>-777176.91336685268</v>
      </c>
      <c r="G135" s="8">
        <f>DT!O129</f>
        <v>-1390408.8053999995</v>
      </c>
      <c r="H135" s="238">
        <f>Effort!K129+Aide!I129+Taux!J129</f>
        <v>0</v>
      </c>
      <c r="I135" s="316">
        <f t="shared" si="4"/>
        <v>-7627939.1392899882</v>
      </c>
      <c r="J135" s="394">
        <f t="shared" si="5"/>
        <v>8514216.1861421317</v>
      </c>
      <c r="K135" s="520">
        <f t="shared" si="6"/>
        <v>886277.04685214348</v>
      </c>
    </row>
    <row r="136" spans="1:11" x14ac:dyDescent="0.25">
      <c r="A136" s="38">
        <f>Données!A130</f>
        <v>5627</v>
      </c>
      <c r="B136" s="27" t="str">
        <f>Données!B130</f>
        <v>Chavannes-près-Renens</v>
      </c>
      <c r="C136" s="26">
        <f>Ecrêtage!C130</f>
        <v>194013.68774193546</v>
      </c>
      <c r="D136" s="12">
        <f>Données!Z130</f>
        <v>8767</v>
      </c>
      <c r="E136" s="8">
        <f>Population!K133</f>
        <v>-4216715.4929577457</v>
      </c>
      <c r="F136" s="238">
        <f>Solidarité!I130</f>
        <v>-5427854.6209377609</v>
      </c>
      <c r="G136" s="8">
        <f>DT!O130</f>
        <v>-1896664.1235483871</v>
      </c>
      <c r="H136" s="238">
        <f>Effort!K130+Aide!I130+Taux!J130</f>
        <v>824087.78659198305</v>
      </c>
      <c r="I136" s="316">
        <f t="shared" si="4"/>
        <v>-10717146.45085191</v>
      </c>
      <c r="J136" s="394">
        <f t="shared" si="5"/>
        <v>3740212.6108386465</v>
      </c>
      <c r="K136" s="520">
        <f t="shared" si="6"/>
        <v>-6976933.8400132637</v>
      </c>
    </row>
    <row r="137" spans="1:11" x14ac:dyDescent="0.25">
      <c r="A137" s="38">
        <f>Données!A131</f>
        <v>5628</v>
      </c>
      <c r="B137" s="27" t="str">
        <f>Données!B131</f>
        <v>Chigny</v>
      </c>
      <c r="C137" s="26">
        <f>Ecrêtage!C131</f>
        <v>25790.655967741935</v>
      </c>
      <c r="D137" s="12">
        <f>Données!Z131</f>
        <v>405</v>
      </c>
      <c r="E137" s="8">
        <f>Population!K134</f>
        <v>-52254.778672032182</v>
      </c>
      <c r="F137" s="238">
        <f>Solidarité!I131</f>
        <v>0</v>
      </c>
      <c r="G137" s="8">
        <f>DT!O131</f>
        <v>0</v>
      </c>
      <c r="H137" s="238">
        <f>Effort!K131+Aide!I131+Taux!J131</f>
        <v>0</v>
      </c>
      <c r="I137" s="316">
        <f t="shared" si="4"/>
        <v>-52254.778672032182</v>
      </c>
      <c r="J137" s="394">
        <f t="shared" si="5"/>
        <v>497194.4908374591</v>
      </c>
      <c r="K137" s="520">
        <f t="shared" si="6"/>
        <v>444939.71216542693</v>
      </c>
    </row>
    <row r="138" spans="1:11" x14ac:dyDescent="0.25">
      <c r="A138" s="38">
        <f>Données!A132</f>
        <v>5629</v>
      </c>
      <c r="B138" s="27" t="str">
        <f>Données!B132</f>
        <v>Clarmont</v>
      </c>
      <c r="C138" s="26">
        <f>Ecrêtage!C132</f>
        <v>9947.9383673469401</v>
      </c>
      <c r="D138" s="12">
        <f>Données!Z132</f>
        <v>211</v>
      </c>
      <c r="E138" s="8">
        <f>Population!K135</f>
        <v>-27224.09456740442</v>
      </c>
      <c r="F138" s="238">
        <f>Solidarité!I132</f>
        <v>-3580.1342117896861</v>
      </c>
      <c r="G138" s="8">
        <f>DT!O132</f>
        <v>-48849.369795918363</v>
      </c>
      <c r="H138" s="238">
        <f>Effort!K132+Aide!I132+Taux!J132</f>
        <v>0</v>
      </c>
      <c r="I138" s="316">
        <f t="shared" si="4"/>
        <v>-79653.598575112468</v>
      </c>
      <c r="J138" s="394">
        <f t="shared" si="5"/>
        <v>191777.21410505605</v>
      </c>
      <c r="K138" s="520">
        <f t="shared" si="6"/>
        <v>112123.61552994358</v>
      </c>
    </row>
    <row r="139" spans="1:11" x14ac:dyDescent="0.25">
      <c r="A139" s="38">
        <f>Données!A133</f>
        <v>5631</v>
      </c>
      <c r="B139" s="27" t="str">
        <f>Données!B133</f>
        <v>Denens</v>
      </c>
      <c r="C139" s="26">
        <f>Ecrêtage!C133</f>
        <v>43289.846911764696</v>
      </c>
      <c r="D139" s="12">
        <f>Données!Z133</f>
        <v>733</v>
      </c>
      <c r="E139" s="8">
        <f>Population!K136</f>
        <v>-94574.698189134782</v>
      </c>
      <c r="F139" s="238">
        <f>Solidarité!I133</f>
        <v>0</v>
      </c>
      <c r="G139" s="8">
        <f>DT!O133</f>
        <v>0</v>
      </c>
      <c r="H139" s="238">
        <f>Effort!K133+Aide!I133+Taux!J133</f>
        <v>0</v>
      </c>
      <c r="I139" s="316">
        <f t="shared" si="4"/>
        <v>-94574.698189134782</v>
      </c>
      <c r="J139" s="394">
        <f t="shared" si="5"/>
        <v>834545.40360071568</v>
      </c>
      <c r="K139" s="520">
        <f t="shared" si="6"/>
        <v>739970.70541158086</v>
      </c>
    </row>
    <row r="140" spans="1:11" x14ac:dyDescent="0.25">
      <c r="A140" s="38">
        <f>Données!A134</f>
        <v>5632</v>
      </c>
      <c r="B140" s="27" t="str">
        <f>Données!B134</f>
        <v>Denges</v>
      </c>
      <c r="C140" s="26">
        <f>Ecrêtage!C134</f>
        <v>80504.673548387087</v>
      </c>
      <c r="D140" s="12">
        <f>Données!Z134</f>
        <v>1744</v>
      </c>
      <c r="E140" s="8">
        <f>Population!K137</f>
        <v>-397807.24346076453</v>
      </c>
      <c r="F140" s="238">
        <f>Solidarité!I134</f>
        <v>-47454.169588496334</v>
      </c>
      <c r="G140" s="8">
        <f>DT!O134</f>
        <v>-105412.95870967748</v>
      </c>
      <c r="H140" s="238">
        <f>Effort!K134+Aide!I134+Taux!J134</f>
        <v>0</v>
      </c>
      <c r="I140" s="316">
        <f t="shared" si="4"/>
        <v>-550674.3717589383</v>
      </c>
      <c r="J140" s="394">
        <f t="shared" si="5"/>
        <v>1551976.0422142781</v>
      </c>
      <c r="K140" s="520">
        <f t="shared" si="6"/>
        <v>1001301.6704553398</v>
      </c>
    </row>
    <row r="141" spans="1:11" x14ac:dyDescent="0.25">
      <c r="A141" s="38">
        <f>Données!A135</f>
        <v>5633</v>
      </c>
      <c r="B141" s="27" t="str">
        <f>Données!B135</f>
        <v>Echandens</v>
      </c>
      <c r="C141" s="26">
        <f>Ecrêtage!C135</f>
        <v>168819.8966942149</v>
      </c>
      <c r="D141" s="12">
        <f>Données!Z135</f>
        <v>2775</v>
      </c>
      <c r="E141" s="8">
        <f>Population!K138</f>
        <v>-770274.14486921509</v>
      </c>
      <c r="F141" s="238">
        <f>Solidarité!I135</f>
        <v>0</v>
      </c>
      <c r="G141" s="8">
        <f>DT!O135</f>
        <v>-603676.36983471061</v>
      </c>
      <c r="H141" s="238">
        <f>Effort!K135+Aide!I135+Taux!J135</f>
        <v>0</v>
      </c>
      <c r="I141" s="316">
        <f t="shared" ref="I141:I204" si="7">SUM(E141:H141)</f>
        <v>-1373950.5147039257</v>
      </c>
      <c r="J141" s="394">
        <f t="shared" ref="J141:J204" si="8">C141*$J$11</f>
        <v>3254524.5334239379</v>
      </c>
      <c r="K141" s="520">
        <f t="shared" ref="K141:K204" si="9">I141+J141</f>
        <v>1880574.0187200122</v>
      </c>
    </row>
    <row r="142" spans="1:11" x14ac:dyDescent="0.25">
      <c r="A142" s="38">
        <f>Données!A136</f>
        <v>5634</v>
      </c>
      <c r="B142" s="27" t="str">
        <f>Données!B136</f>
        <v>Echichens</v>
      </c>
      <c r="C142" s="26">
        <f>Ecrêtage!C136</f>
        <v>152560.86727272728</v>
      </c>
      <c r="D142" s="12">
        <f>Données!Z136</f>
        <v>3142</v>
      </c>
      <c r="E142" s="8">
        <f>Population!K139</f>
        <v>-924845.07042253506</v>
      </c>
      <c r="F142" s="238">
        <f>Solidarité!I136</f>
        <v>0</v>
      </c>
      <c r="G142" s="8">
        <f>DT!O136</f>
        <v>-125455.54636363633</v>
      </c>
      <c r="H142" s="238">
        <f>Effort!K136+Aide!I136+Taux!J136</f>
        <v>0</v>
      </c>
      <c r="I142" s="316">
        <f t="shared" si="7"/>
        <v>-1050300.6167861714</v>
      </c>
      <c r="J142" s="394">
        <f t="shared" si="8"/>
        <v>2941081.561487169</v>
      </c>
      <c r="K142" s="520">
        <f t="shared" si="9"/>
        <v>1890780.9447009976</v>
      </c>
    </row>
    <row r="143" spans="1:11" x14ac:dyDescent="0.25">
      <c r="A143" s="38">
        <f>Données!A137</f>
        <v>5635</v>
      </c>
      <c r="B143" s="27" t="str">
        <f>Données!B137</f>
        <v>Ecublens</v>
      </c>
      <c r="C143" s="26">
        <f>Ecrêtage!C137</f>
        <v>655936.21421333333</v>
      </c>
      <c r="D143" s="12">
        <f>Données!Z137</f>
        <v>13214</v>
      </c>
      <c r="E143" s="8">
        <f>Population!K140</f>
        <v>-8246191.1468812861</v>
      </c>
      <c r="F143" s="238">
        <f>Solidarité!I137</f>
        <v>0</v>
      </c>
      <c r="G143" s="8">
        <f>DT!O137</f>
        <v>-2560358.46472</v>
      </c>
      <c r="H143" s="238">
        <f>Effort!K137+Aide!I137+Taux!J137</f>
        <v>0</v>
      </c>
      <c r="I143" s="316">
        <f t="shared" si="7"/>
        <v>-10806549.611601286</v>
      </c>
      <c r="J143" s="394">
        <f t="shared" si="8"/>
        <v>12645194.928564759</v>
      </c>
      <c r="K143" s="520">
        <f t="shared" si="9"/>
        <v>1838645.3169634733</v>
      </c>
    </row>
    <row r="144" spans="1:11" x14ac:dyDescent="0.25">
      <c r="A144" s="38">
        <f>Données!A138</f>
        <v>5636</v>
      </c>
      <c r="B144" s="27" t="str">
        <f>Données!B138</f>
        <v>Etoy</v>
      </c>
      <c r="C144" s="26">
        <f>Ecrêtage!C138</f>
        <v>186941.23816666668</v>
      </c>
      <c r="D144" s="12">
        <f>Données!Z138</f>
        <v>2918</v>
      </c>
      <c r="E144" s="8">
        <f>Population!K141</f>
        <v>-821935.41247484903</v>
      </c>
      <c r="F144" s="238">
        <f>Solidarité!I138</f>
        <v>0</v>
      </c>
      <c r="G144" s="8">
        <f>DT!O138</f>
        <v>0</v>
      </c>
      <c r="H144" s="238">
        <f>Effort!K138+Aide!I138+Taux!J138</f>
        <v>0</v>
      </c>
      <c r="I144" s="316">
        <f t="shared" si="7"/>
        <v>-821935.41247484903</v>
      </c>
      <c r="J144" s="394">
        <f t="shared" si="8"/>
        <v>3603869.3177503459</v>
      </c>
      <c r="K144" s="520">
        <f t="shared" si="9"/>
        <v>2781933.9052754967</v>
      </c>
    </row>
    <row r="145" spans="1:11" x14ac:dyDescent="0.25">
      <c r="A145" s="38">
        <f>Données!A139</f>
        <v>5637</v>
      </c>
      <c r="B145" s="27" t="str">
        <f>Données!B139</f>
        <v>Lavigny</v>
      </c>
      <c r="C145" s="26">
        <f>Ecrêtage!C139</f>
        <v>37899.400821917814</v>
      </c>
      <c r="D145" s="12">
        <f>Données!Z139</f>
        <v>1026</v>
      </c>
      <c r="E145" s="8">
        <f>Population!K142</f>
        <v>-138417.10261569414</v>
      </c>
      <c r="F145" s="238">
        <f>Solidarité!I139</f>
        <v>-240131.46481004922</v>
      </c>
      <c r="G145" s="8">
        <f>DT!O139</f>
        <v>-114600.59506849312</v>
      </c>
      <c r="H145" s="238">
        <f>Effort!K139+Aide!I139+Taux!J139</f>
        <v>0</v>
      </c>
      <c r="I145" s="316">
        <f t="shared" si="7"/>
        <v>-493149.16249423643</v>
      </c>
      <c r="J145" s="394">
        <f t="shared" si="8"/>
        <v>730627.9188193914</v>
      </c>
      <c r="K145" s="520">
        <f t="shared" si="9"/>
        <v>237478.75632515497</v>
      </c>
    </row>
    <row r="146" spans="1:11" x14ac:dyDescent="0.25">
      <c r="A146" s="38">
        <f>Données!A140</f>
        <v>5638</v>
      </c>
      <c r="B146" s="27" t="str">
        <f>Données!B140</f>
        <v>Lonay</v>
      </c>
      <c r="C146" s="26">
        <f>Ecrêtage!C140</f>
        <v>174116.12454545454</v>
      </c>
      <c r="D146" s="12">
        <f>Données!Z140</f>
        <v>2751</v>
      </c>
      <c r="E146" s="8">
        <f>Population!K143</f>
        <v>-761603.72233400401</v>
      </c>
      <c r="F146" s="238">
        <f>Solidarité!I140</f>
        <v>0</v>
      </c>
      <c r="G146" s="8">
        <f>DT!O140</f>
        <v>-369142.50272727275</v>
      </c>
      <c r="H146" s="238">
        <f>Effort!K140+Aide!I140+Taux!J140</f>
        <v>0</v>
      </c>
      <c r="I146" s="316">
        <f t="shared" si="7"/>
        <v>-1130746.2250612767</v>
      </c>
      <c r="J146" s="394">
        <f t="shared" si="8"/>
        <v>3356625.6708727041</v>
      </c>
      <c r="K146" s="520">
        <f t="shared" si="9"/>
        <v>2225879.4458114272</v>
      </c>
    </row>
    <row r="147" spans="1:11" x14ac:dyDescent="0.25">
      <c r="A147" s="38">
        <f>Données!A141</f>
        <v>5639</v>
      </c>
      <c r="B147" s="27" t="str">
        <f>Données!B141</f>
        <v>Lully</v>
      </c>
      <c r="C147" s="26">
        <f>Ecrêtage!C141</f>
        <v>53706.334426229514</v>
      </c>
      <c r="D147" s="12">
        <f>Données!Z141</f>
        <v>828</v>
      </c>
      <c r="E147" s="8">
        <f>Population!K144</f>
        <v>-106831.99195171024</v>
      </c>
      <c r="F147" s="238">
        <f>Solidarité!I141</f>
        <v>0</v>
      </c>
      <c r="G147" s="8">
        <f>DT!O141</f>
        <v>0</v>
      </c>
      <c r="H147" s="238">
        <f>Effort!K141+Aide!I141+Taux!J141</f>
        <v>0</v>
      </c>
      <c r="I147" s="316">
        <f t="shared" si="7"/>
        <v>-106831.99195171024</v>
      </c>
      <c r="J147" s="394">
        <f t="shared" si="8"/>
        <v>1035355.348588033</v>
      </c>
      <c r="K147" s="520">
        <f t="shared" si="9"/>
        <v>928523.3566363228</v>
      </c>
    </row>
    <row r="148" spans="1:11" x14ac:dyDescent="0.25">
      <c r="A148" s="38">
        <f>Données!A142</f>
        <v>5640</v>
      </c>
      <c r="B148" s="27" t="str">
        <f>Données!B142</f>
        <v>Lussy-sur-Morges</v>
      </c>
      <c r="C148" s="26">
        <f>Ecrêtage!C142</f>
        <v>70525.081395348854</v>
      </c>
      <c r="D148" s="12">
        <f>Données!Z142</f>
        <v>740</v>
      </c>
      <c r="E148" s="8">
        <f>Population!K145</f>
        <v>-95477.867203219299</v>
      </c>
      <c r="F148" s="238">
        <f>Solidarité!I142</f>
        <v>0</v>
      </c>
      <c r="G148" s="8">
        <f>DT!O142</f>
        <v>0</v>
      </c>
      <c r="H148" s="238">
        <f>Effort!K142+Aide!I142+Taux!J142</f>
        <v>0</v>
      </c>
      <c r="I148" s="316">
        <f t="shared" si="7"/>
        <v>-95477.867203219299</v>
      </c>
      <c r="J148" s="394">
        <f t="shared" si="8"/>
        <v>1359588.6036977319</v>
      </c>
      <c r="K148" s="520">
        <f t="shared" si="9"/>
        <v>1264110.7364945125</v>
      </c>
    </row>
    <row r="149" spans="1:11" x14ac:dyDescent="0.25">
      <c r="A149" s="38">
        <f>Données!A143</f>
        <v>5642</v>
      </c>
      <c r="B149" s="27" t="str">
        <f>Données!B143</f>
        <v>Morges</v>
      </c>
      <c r="C149" s="26">
        <f>Ecrêtage!C143</f>
        <v>838094.10597014928</v>
      </c>
      <c r="D149" s="12">
        <f>Données!Z143</f>
        <v>16885</v>
      </c>
      <c r="E149" s="8">
        <f>Population!K146</f>
        <v>-12132656.438631788</v>
      </c>
      <c r="F149" s="238">
        <f>Solidarité!I143</f>
        <v>0</v>
      </c>
      <c r="G149" s="8">
        <f>DT!O143</f>
        <v>-933637.61417910433</v>
      </c>
      <c r="H149" s="238">
        <f>Effort!K143+Aide!I143+Taux!J143</f>
        <v>0</v>
      </c>
      <c r="I149" s="316">
        <f t="shared" si="7"/>
        <v>-13066294.052810892</v>
      </c>
      <c r="J149" s="394">
        <f t="shared" si="8"/>
        <v>16156850.48154233</v>
      </c>
      <c r="K149" s="520">
        <f t="shared" si="9"/>
        <v>3090556.4287314378</v>
      </c>
    </row>
    <row r="150" spans="1:11" x14ac:dyDescent="0.25">
      <c r="A150" s="38">
        <f>Données!A144</f>
        <v>5643</v>
      </c>
      <c r="B150" s="27" t="str">
        <f>Données!B144</f>
        <v>Préverenges</v>
      </c>
      <c r="C150" s="26">
        <f>Ecrêtage!C144</f>
        <v>257720.44144</v>
      </c>
      <c r="D150" s="12">
        <f>Données!Z144</f>
        <v>5208</v>
      </c>
      <c r="E150" s="8">
        <f>Population!K147</f>
        <v>-2012570.2213279675</v>
      </c>
      <c r="F150" s="238">
        <f>Solidarité!I144</f>
        <v>0</v>
      </c>
      <c r="G150" s="8">
        <f>DT!O144</f>
        <v>0</v>
      </c>
      <c r="H150" s="238">
        <f>Effort!K144+Aide!I144+Taux!J144</f>
        <v>0</v>
      </c>
      <c r="I150" s="316">
        <f t="shared" si="7"/>
        <v>-2012570.2213279675</v>
      </c>
      <c r="J150" s="394">
        <f t="shared" si="8"/>
        <v>4968356.9049362522</v>
      </c>
      <c r="K150" s="520">
        <f t="shared" si="9"/>
        <v>2955786.6836082847</v>
      </c>
    </row>
    <row r="151" spans="1:11" x14ac:dyDescent="0.25">
      <c r="A151" s="38">
        <f>Données!A145</f>
        <v>5645</v>
      </c>
      <c r="B151" s="27" t="str">
        <f>Données!B145</f>
        <v>Romanel-sur-Morges</v>
      </c>
      <c r="C151" s="26">
        <f>Ecrêtage!C145</f>
        <v>26576.594107142857</v>
      </c>
      <c r="D151" s="12">
        <f>Données!Z145</f>
        <v>466</v>
      </c>
      <c r="E151" s="8">
        <f>Population!K148</f>
        <v>-60125.251509054309</v>
      </c>
      <c r="F151" s="238">
        <f>Solidarité!I145</f>
        <v>0</v>
      </c>
      <c r="G151" s="8">
        <f>DT!O145</f>
        <v>-291.18535714285827</v>
      </c>
      <c r="H151" s="238">
        <f>Effort!K145+Aide!I145+Taux!J145</f>
        <v>0</v>
      </c>
      <c r="I151" s="316">
        <f t="shared" si="7"/>
        <v>-60416.436866197168</v>
      </c>
      <c r="J151" s="394">
        <f t="shared" si="8"/>
        <v>512345.87409571884</v>
      </c>
      <c r="K151" s="520">
        <f t="shared" si="9"/>
        <v>451929.43722952169</v>
      </c>
    </row>
    <row r="152" spans="1:11" x14ac:dyDescent="0.25">
      <c r="A152" s="38">
        <f>Données!A146</f>
        <v>5646</v>
      </c>
      <c r="B152" s="27" t="str">
        <f>Données!B146</f>
        <v>Saint-Prex</v>
      </c>
      <c r="C152" s="26">
        <f>Ecrêtage!C146</f>
        <v>527362.62542372884</v>
      </c>
      <c r="D152" s="12">
        <f>Données!Z146</f>
        <v>5866</v>
      </c>
      <c r="E152" s="8">
        <f>Population!K149</f>
        <v>-2420080.0804828969</v>
      </c>
      <c r="F152" s="238">
        <f>Solidarité!I146</f>
        <v>0</v>
      </c>
      <c r="G152" s="8">
        <f>DT!O146</f>
        <v>0</v>
      </c>
      <c r="H152" s="238">
        <f>Effort!K146+Aide!I146+Taux!J146</f>
        <v>0</v>
      </c>
      <c r="I152" s="316">
        <f t="shared" si="7"/>
        <v>-2420080.0804828969</v>
      </c>
      <c r="J152" s="394">
        <f t="shared" si="8"/>
        <v>10166542.191179996</v>
      </c>
      <c r="K152" s="520">
        <f t="shared" si="9"/>
        <v>7746462.1106970999</v>
      </c>
    </row>
    <row r="153" spans="1:11" x14ac:dyDescent="0.25">
      <c r="A153" s="38">
        <f>Données!A147</f>
        <v>5648</v>
      </c>
      <c r="B153" s="27" t="str">
        <f>Données!B147</f>
        <v>Saint-Sulpice</v>
      </c>
      <c r="C153" s="26">
        <f>Ecrêtage!C147</f>
        <v>394357.66704545449</v>
      </c>
      <c r="D153" s="12">
        <f>Données!Z147</f>
        <v>4932</v>
      </c>
      <c r="E153" s="8">
        <f>Population!K150</f>
        <v>-1848657.9476861162</v>
      </c>
      <c r="F153" s="238">
        <f>Solidarité!I147</f>
        <v>0</v>
      </c>
      <c r="G153" s="8">
        <f>DT!O147</f>
        <v>0</v>
      </c>
      <c r="H153" s="238">
        <f>Effort!K147+Aide!I147+Taux!J147</f>
        <v>0</v>
      </c>
      <c r="I153" s="316">
        <f t="shared" si="7"/>
        <v>-1848657.9476861162</v>
      </c>
      <c r="J153" s="394">
        <f t="shared" si="8"/>
        <v>7602461.1285480158</v>
      </c>
      <c r="K153" s="520">
        <f t="shared" si="9"/>
        <v>5753803.1808618996</v>
      </c>
    </row>
    <row r="154" spans="1:11" x14ac:dyDescent="0.25">
      <c r="A154" s="38">
        <f>Données!A148</f>
        <v>5649</v>
      </c>
      <c r="B154" s="27" t="str">
        <f>Données!B148</f>
        <v>Tolochenaz</v>
      </c>
      <c r="C154" s="26">
        <f>Ecrêtage!C148</f>
        <v>155562.29718749996</v>
      </c>
      <c r="D154" s="12">
        <f>Données!Z148</f>
        <v>1886</v>
      </c>
      <c r="E154" s="8">
        <f>Population!K151</f>
        <v>-449107.24346076453</v>
      </c>
      <c r="F154" s="238">
        <f>Solidarité!I148</f>
        <v>0</v>
      </c>
      <c r="G154" s="8">
        <f>DT!O148</f>
        <v>-201581.71687500022</v>
      </c>
      <c r="H154" s="238">
        <f>Effort!K148+Aide!I148+Taux!J148</f>
        <v>0</v>
      </c>
      <c r="I154" s="316">
        <f t="shared" si="7"/>
        <v>-650688.9603357648</v>
      </c>
      <c r="J154" s="394">
        <f t="shared" si="8"/>
        <v>2998943.3863328118</v>
      </c>
      <c r="K154" s="520">
        <f t="shared" si="9"/>
        <v>2348254.4259970468</v>
      </c>
    </row>
    <row r="155" spans="1:11" x14ac:dyDescent="0.25">
      <c r="A155" s="38">
        <f>Données!A149</f>
        <v>5650</v>
      </c>
      <c r="B155" s="27" t="str">
        <f>Données!B149</f>
        <v>Vaux-sur-Morges</v>
      </c>
      <c r="C155" s="26">
        <f>Ecrêtage!C149</f>
        <v>83125.210178571419</v>
      </c>
      <c r="D155" s="12">
        <f>Données!Z149</f>
        <v>196</v>
      </c>
      <c r="E155" s="8">
        <f>Population!K152</f>
        <v>-25288.73239436619</v>
      </c>
      <c r="F155" s="238">
        <f>Solidarité!I149</f>
        <v>0</v>
      </c>
      <c r="G155" s="8">
        <f>DT!O149</f>
        <v>0</v>
      </c>
      <c r="H155" s="238">
        <f>Effort!K149+Aide!I149+Taux!J149</f>
        <v>-925296.66034894448</v>
      </c>
      <c r="I155" s="316">
        <f t="shared" si="7"/>
        <v>-950585.39274331066</v>
      </c>
      <c r="J155" s="394">
        <f t="shared" si="8"/>
        <v>1602494.9734580221</v>
      </c>
      <c r="K155" s="520">
        <f t="shared" si="9"/>
        <v>651909.58071471145</v>
      </c>
    </row>
    <row r="156" spans="1:11" x14ac:dyDescent="0.25">
      <c r="A156" s="38">
        <f>Données!A150</f>
        <v>5651</v>
      </c>
      <c r="B156" s="27" t="str">
        <f>Données!B150</f>
        <v>Villars-Sainte-Croix</v>
      </c>
      <c r="C156" s="26">
        <f>Ecrêtage!C150</f>
        <v>57448.170743801653</v>
      </c>
      <c r="D156" s="12">
        <f>Données!Z150</f>
        <v>958</v>
      </c>
      <c r="E156" s="8">
        <f>Population!K153</f>
        <v>-123605.13078470822</v>
      </c>
      <c r="F156" s="238">
        <f>Solidarité!I150</f>
        <v>0</v>
      </c>
      <c r="G156" s="8">
        <f>DT!O150</f>
        <v>0</v>
      </c>
      <c r="H156" s="238">
        <f>Effort!K150+Aide!I150+Taux!J150</f>
        <v>0</v>
      </c>
      <c r="I156" s="316">
        <f t="shared" si="7"/>
        <v>-123605.13078470822</v>
      </c>
      <c r="J156" s="394">
        <f t="shared" si="8"/>
        <v>1107490.7919454777</v>
      </c>
      <c r="K156" s="520">
        <f t="shared" si="9"/>
        <v>983885.66116076952</v>
      </c>
    </row>
    <row r="157" spans="1:11" x14ac:dyDescent="0.25">
      <c r="A157" s="38">
        <f>Données!A151</f>
        <v>5652</v>
      </c>
      <c r="B157" s="27" t="str">
        <f>Données!B151</f>
        <v>Villars-sous-Yens</v>
      </c>
      <c r="C157" s="26">
        <f>Ecrêtage!C151</f>
        <v>25907.601491228066</v>
      </c>
      <c r="D157" s="12">
        <f>Données!Z151</f>
        <v>626</v>
      </c>
      <c r="E157" s="8">
        <f>Population!K154</f>
        <v>-80769.114688128757</v>
      </c>
      <c r="F157" s="238">
        <f>Solidarité!I151</f>
        <v>-94567.686735690571</v>
      </c>
      <c r="G157" s="8">
        <f>DT!O151</f>
        <v>-26150.391052631603</v>
      </c>
      <c r="H157" s="238">
        <f>Effort!K151+Aide!I151+Taux!J151</f>
        <v>0</v>
      </c>
      <c r="I157" s="316">
        <f t="shared" si="7"/>
        <v>-201487.19247645093</v>
      </c>
      <c r="J157" s="394">
        <f t="shared" si="8"/>
        <v>499448.97672871104</v>
      </c>
      <c r="K157" s="520">
        <f t="shared" si="9"/>
        <v>297961.78425226011</v>
      </c>
    </row>
    <row r="158" spans="1:11" x14ac:dyDescent="0.25">
      <c r="A158" s="38">
        <f>Données!A152</f>
        <v>5653</v>
      </c>
      <c r="B158" s="27" t="str">
        <f>Données!B152</f>
        <v>Vufflens-le-Château</v>
      </c>
      <c r="C158" s="26">
        <f>Ecrêtage!C152</f>
        <v>67686.262735042736</v>
      </c>
      <c r="D158" s="12">
        <f>Données!Z152</f>
        <v>894</v>
      </c>
      <c r="E158" s="8">
        <f>Population!K155</f>
        <v>-115347.58551307845</v>
      </c>
      <c r="F158" s="238">
        <f>Solidarité!I152</f>
        <v>0</v>
      </c>
      <c r="G158" s="8">
        <f>DT!O152</f>
        <v>0</v>
      </c>
      <c r="H158" s="238">
        <f>Effort!K152+Aide!I152+Taux!J152</f>
        <v>0</v>
      </c>
      <c r="I158" s="316">
        <f t="shared" si="7"/>
        <v>-115347.58551307845</v>
      </c>
      <c r="J158" s="394">
        <f t="shared" si="8"/>
        <v>1304861.612644997</v>
      </c>
      <c r="K158" s="520">
        <f t="shared" si="9"/>
        <v>1189514.0271319186</v>
      </c>
    </row>
    <row r="159" spans="1:11" x14ac:dyDescent="0.25">
      <c r="A159" s="38">
        <f>Données!A153</f>
        <v>5654</v>
      </c>
      <c r="B159" s="27" t="str">
        <f>Données!B153</f>
        <v>Vullierens</v>
      </c>
      <c r="C159" s="26">
        <f>Ecrêtage!C153</f>
        <v>20663.918947368424</v>
      </c>
      <c r="D159" s="12">
        <f>Données!Z153</f>
        <v>560</v>
      </c>
      <c r="E159" s="8">
        <f>Population!K156</f>
        <v>-72253.521126760548</v>
      </c>
      <c r="F159" s="238">
        <f>Solidarité!I153</f>
        <v>-142565.45338971991</v>
      </c>
      <c r="G159" s="8">
        <f>DT!O153</f>
        <v>-102292.98631578946</v>
      </c>
      <c r="H159" s="238">
        <f>Effort!K153+Aide!I153+Taux!J153</f>
        <v>0</v>
      </c>
      <c r="I159" s="316">
        <f t="shared" si="7"/>
        <v>-317111.96083226992</v>
      </c>
      <c r="J159" s="394">
        <f t="shared" si="8"/>
        <v>398360.81224896788</v>
      </c>
      <c r="K159" s="520">
        <f t="shared" si="9"/>
        <v>81248.851416697958</v>
      </c>
    </row>
    <row r="160" spans="1:11" x14ac:dyDescent="0.25">
      <c r="A160" s="38">
        <f>Données!A154</f>
        <v>5655</v>
      </c>
      <c r="B160" s="27" t="str">
        <f>Données!B154</f>
        <v>Yens</v>
      </c>
      <c r="C160" s="26">
        <f>Ecrêtage!C154</f>
        <v>73733.325734265731</v>
      </c>
      <c r="D160" s="12">
        <f>Données!Z154</f>
        <v>1499</v>
      </c>
      <c r="E160" s="8">
        <f>Population!K157</f>
        <v>-309296.68008048285</v>
      </c>
      <c r="F160" s="238">
        <f>Solidarité!I154</f>
        <v>0</v>
      </c>
      <c r="G160" s="8">
        <f>DT!O154</f>
        <v>0</v>
      </c>
      <c r="H160" s="238">
        <f>Effort!K154+Aide!I154+Taux!J154</f>
        <v>0</v>
      </c>
      <c r="I160" s="316">
        <f t="shared" si="7"/>
        <v>-309296.68008048285</v>
      </c>
      <c r="J160" s="394">
        <f t="shared" si="8"/>
        <v>1421437.414854961</v>
      </c>
      <c r="K160" s="520">
        <f t="shared" si="9"/>
        <v>1112140.7347744782</v>
      </c>
    </row>
    <row r="161" spans="1:11" x14ac:dyDescent="0.25">
      <c r="A161" s="38">
        <f>Données!A155</f>
        <v>5656</v>
      </c>
      <c r="B161" s="27" t="str">
        <f>Données!B155</f>
        <v>Hautemorges</v>
      </c>
      <c r="C161" s="26">
        <f>Ecrêtage!C155</f>
        <v>172159.8076957982</v>
      </c>
      <c r="D161" s="12">
        <f>Données!Z155</f>
        <v>4173</v>
      </c>
      <c r="E161" s="8">
        <f>Population!K158</f>
        <v>-1456940.6438631788</v>
      </c>
      <c r="F161" s="238">
        <f>Solidarité!I155</f>
        <v>-600689.64954826084</v>
      </c>
      <c r="G161" s="8">
        <f>DT!O155</f>
        <v>-1973553.5480533619</v>
      </c>
      <c r="H161" s="238">
        <f>Effort!K155+Aide!I155+Taux!J155</f>
        <v>0</v>
      </c>
      <c r="I161" s="316">
        <f t="shared" si="7"/>
        <v>-4031183.8414648017</v>
      </c>
      <c r="J161" s="394">
        <f t="shared" si="8"/>
        <v>3318911.6258636047</v>
      </c>
      <c r="K161" s="520">
        <f t="shared" si="9"/>
        <v>-712272.21560119698</v>
      </c>
    </row>
    <row r="162" spans="1:11" x14ac:dyDescent="0.25">
      <c r="A162" s="38">
        <f>Données!A156</f>
        <v>5661</v>
      </c>
      <c r="B162" s="27" t="str">
        <f>Données!B156</f>
        <v>Boulens</v>
      </c>
      <c r="C162" s="26">
        <f>Ecrêtage!C156</f>
        <v>11226.317902097902</v>
      </c>
      <c r="D162" s="12">
        <f>Données!Z156</f>
        <v>371</v>
      </c>
      <c r="E162" s="8">
        <f>Population!K159</f>
        <v>-47867.95774647886</v>
      </c>
      <c r="F162" s="238">
        <f>Solidarité!I156</f>
        <v>-133908.43515905473</v>
      </c>
      <c r="G162" s="8">
        <f>DT!O156</f>
        <v>-17356.604160839161</v>
      </c>
      <c r="H162" s="238">
        <f>Effort!K156+Aide!I156+Taux!J156</f>
        <v>0</v>
      </c>
      <c r="I162" s="316">
        <f t="shared" si="7"/>
        <v>-199132.99706637277</v>
      </c>
      <c r="J162" s="394">
        <f t="shared" si="8"/>
        <v>216421.92506830269</v>
      </c>
      <c r="K162" s="520">
        <f t="shared" si="9"/>
        <v>17288.928001929919</v>
      </c>
    </row>
    <row r="163" spans="1:11" x14ac:dyDescent="0.25">
      <c r="A163" s="38">
        <f>Données!A157</f>
        <v>5663</v>
      </c>
      <c r="B163" s="27" t="str">
        <f>Données!B157</f>
        <v>Bussy-sur-Moudon</v>
      </c>
      <c r="C163" s="26">
        <f>Ecrêtage!C157</f>
        <v>5263.613630573248</v>
      </c>
      <c r="D163" s="12">
        <f>Données!Z157</f>
        <v>236</v>
      </c>
      <c r="E163" s="8">
        <f>Population!K160</f>
        <v>-30449.6981891348</v>
      </c>
      <c r="F163" s="238">
        <f>Solidarité!I157</f>
        <v>-148900.40176794777</v>
      </c>
      <c r="G163" s="8">
        <f>DT!O157</f>
        <v>-10937.318216560512</v>
      </c>
      <c r="H163" s="238">
        <f>Effort!K157+Aide!I157+Taux!J157</f>
        <v>0</v>
      </c>
      <c r="I163" s="316">
        <f t="shared" si="7"/>
        <v>-190287.41817364309</v>
      </c>
      <c r="J163" s="394">
        <f t="shared" si="8"/>
        <v>101472.39768896451</v>
      </c>
      <c r="K163" s="520">
        <f t="shared" si="9"/>
        <v>-88815.020484678578</v>
      </c>
    </row>
    <row r="164" spans="1:11" x14ac:dyDescent="0.25">
      <c r="A164" s="38">
        <f>Données!A158</f>
        <v>5665</v>
      </c>
      <c r="B164" s="27" t="str">
        <f>Données!B158</f>
        <v>Chavannes-sur-Moudon</v>
      </c>
      <c r="C164" s="26">
        <f>Ecrêtage!C158</f>
        <v>4920.7560000000012</v>
      </c>
      <c r="D164" s="12">
        <f>Données!Z158</f>
        <v>222</v>
      </c>
      <c r="E164" s="8">
        <f>Population!K161</f>
        <v>-28643.360160965789</v>
      </c>
      <c r="F164" s="238">
        <f>Solidarité!I158</f>
        <v>-111975.68989320725</v>
      </c>
      <c r="G164" s="8">
        <f>DT!O158</f>
        <v>-2567.2139999999927</v>
      </c>
      <c r="H164" s="238">
        <f>Effort!K158+Aide!I158+Taux!J158</f>
        <v>0</v>
      </c>
      <c r="I164" s="316">
        <f t="shared" si="7"/>
        <v>-143186.26405417302</v>
      </c>
      <c r="J164" s="394">
        <f t="shared" si="8"/>
        <v>94862.758706698325</v>
      </c>
      <c r="K164" s="520">
        <f t="shared" si="9"/>
        <v>-48323.505347474696</v>
      </c>
    </row>
    <row r="165" spans="1:11" x14ac:dyDescent="0.25">
      <c r="A165" s="38">
        <f>Données!A159</f>
        <v>5669</v>
      </c>
      <c r="B165" s="27" t="str">
        <f>Données!B159</f>
        <v>Curtilles</v>
      </c>
      <c r="C165" s="26">
        <f>Ecrêtage!C159</f>
        <v>9337.6116438356166</v>
      </c>
      <c r="D165" s="12">
        <f>Données!Z159</f>
        <v>296</v>
      </c>
      <c r="E165" s="8">
        <f>Population!K162</f>
        <v>-38191.146881287721</v>
      </c>
      <c r="F165" s="238">
        <f>Solidarité!I159</f>
        <v>-103261.68413841329</v>
      </c>
      <c r="G165" s="8">
        <f>DT!O159</f>
        <v>-60.080136986300204</v>
      </c>
      <c r="H165" s="238">
        <f>Effort!K159+Aide!I159+Taux!J159</f>
        <v>0</v>
      </c>
      <c r="I165" s="316">
        <f t="shared" si="7"/>
        <v>-141512.9111566873</v>
      </c>
      <c r="J165" s="394">
        <f t="shared" si="8"/>
        <v>180011.28287320782</v>
      </c>
      <c r="K165" s="520">
        <f t="shared" si="9"/>
        <v>38498.371716520516</v>
      </c>
    </row>
    <row r="166" spans="1:11" x14ac:dyDescent="0.25">
      <c r="A166" s="38">
        <f>Données!A160</f>
        <v>5671</v>
      </c>
      <c r="B166" s="27" t="str">
        <f>Données!B160</f>
        <v>Dompierre</v>
      </c>
      <c r="C166" s="26">
        <f>Ecrêtage!C160</f>
        <v>6463.499743589743</v>
      </c>
      <c r="D166" s="12">
        <f>Données!Z160</f>
        <v>246</v>
      </c>
      <c r="E166" s="8">
        <f>Population!K163</f>
        <v>-31739.939637826956</v>
      </c>
      <c r="F166" s="238">
        <f>Solidarité!I160</f>
        <v>-129496.46703592414</v>
      </c>
      <c r="G166" s="8">
        <f>DT!O160</f>
        <v>0</v>
      </c>
      <c r="H166" s="238">
        <f>Effort!K160+Aide!I160+Taux!J160</f>
        <v>0</v>
      </c>
      <c r="I166" s="316">
        <f t="shared" si="7"/>
        <v>-161236.4066737511</v>
      </c>
      <c r="J166" s="394">
        <f t="shared" si="8"/>
        <v>124603.90569598658</v>
      </c>
      <c r="K166" s="520">
        <f t="shared" si="9"/>
        <v>-36632.500977764517</v>
      </c>
    </row>
    <row r="167" spans="1:11" x14ac:dyDescent="0.25">
      <c r="A167" s="38">
        <f>Données!A161</f>
        <v>5673</v>
      </c>
      <c r="B167" s="27" t="str">
        <f>Données!B161</f>
        <v>Hermenches</v>
      </c>
      <c r="C167" s="26">
        <f>Ecrêtage!C161</f>
        <v>10227.21768707483</v>
      </c>
      <c r="D167" s="12">
        <f>Données!Z161</f>
        <v>371</v>
      </c>
      <c r="E167" s="8">
        <f>Population!K164</f>
        <v>-47867.95774647886</v>
      </c>
      <c r="F167" s="238">
        <f>Solidarité!I161</f>
        <v>-163066.64339739559</v>
      </c>
      <c r="G167" s="8">
        <f>DT!O161</f>
        <v>-218478.03061224488</v>
      </c>
      <c r="H167" s="238">
        <f>Effort!K161+Aide!I161+Taux!J161</f>
        <v>0</v>
      </c>
      <c r="I167" s="316">
        <f t="shared" si="7"/>
        <v>-429412.63175611931</v>
      </c>
      <c r="J167" s="394">
        <f t="shared" si="8"/>
        <v>197161.18492562053</v>
      </c>
      <c r="K167" s="520">
        <f t="shared" si="9"/>
        <v>-232251.44683049878</v>
      </c>
    </row>
    <row r="168" spans="1:11" x14ac:dyDescent="0.25">
      <c r="A168" s="38">
        <f>Données!A162</f>
        <v>5674</v>
      </c>
      <c r="B168" s="27" t="str">
        <f>Données!B162</f>
        <v>Lovatens</v>
      </c>
      <c r="C168" s="26">
        <f>Ecrêtage!C162</f>
        <v>4222.7066666666669</v>
      </c>
      <c r="D168" s="12">
        <f>Données!Z162</f>
        <v>146</v>
      </c>
      <c r="E168" s="8">
        <f>Population!K165</f>
        <v>-18837.525150905429</v>
      </c>
      <c r="F168" s="238">
        <f>Solidarité!I162</f>
        <v>-62368.898473175388</v>
      </c>
      <c r="G168" s="8">
        <f>DT!O162</f>
        <v>-25705.01</v>
      </c>
      <c r="H168" s="238">
        <f>Effort!K162+Aide!I162+Taux!J162</f>
        <v>0</v>
      </c>
      <c r="I168" s="316">
        <f t="shared" si="7"/>
        <v>-106911.4336240808</v>
      </c>
      <c r="J168" s="394">
        <f t="shared" si="8"/>
        <v>81405.70343442478</v>
      </c>
      <c r="K168" s="520">
        <f t="shared" si="9"/>
        <v>-25505.730189656024</v>
      </c>
    </row>
    <row r="169" spans="1:11" x14ac:dyDescent="0.25">
      <c r="A169" s="38">
        <f>Données!A163</f>
        <v>5675</v>
      </c>
      <c r="B169" s="27" t="str">
        <f>Données!B163</f>
        <v>Lucens</v>
      </c>
      <c r="C169" s="26">
        <f>Ecrêtage!C163</f>
        <v>105149.82705723906</v>
      </c>
      <c r="D169" s="12">
        <f>Données!Z163</f>
        <v>4373</v>
      </c>
      <c r="E169" s="8">
        <f>Population!K166</f>
        <v>-1560159.9597585509</v>
      </c>
      <c r="F169" s="238">
        <f>Solidarité!I163</f>
        <v>-1901366.3570146945</v>
      </c>
      <c r="G169" s="8">
        <f>DT!O163</f>
        <v>-527686.78765656566</v>
      </c>
      <c r="H169" s="238">
        <f>Effort!K163+Aide!I163+Taux!J163</f>
        <v>0</v>
      </c>
      <c r="I169" s="316">
        <f t="shared" si="7"/>
        <v>-3989213.1044298108</v>
      </c>
      <c r="J169" s="394">
        <f t="shared" si="8"/>
        <v>2027087.4378209214</v>
      </c>
      <c r="K169" s="520">
        <f t="shared" si="9"/>
        <v>-1962125.6666088894</v>
      </c>
    </row>
    <row r="170" spans="1:11" x14ac:dyDescent="0.25">
      <c r="A170" s="38">
        <f>Données!A164</f>
        <v>5678</v>
      </c>
      <c r="B170" s="27" t="str">
        <f>Données!B164</f>
        <v>Moudon</v>
      </c>
      <c r="C170" s="26">
        <f>Ecrêtage!C164</f>
        <v>124814.5703448276</v>
      </c>
      <c r="D170" s="12">
        <f>Données!Z164</f>
        <v>6120</v>
      </c>
      <c r="E170" s="8">
        <f>Population!K167</f>
        <v>-2577386.3179074442</v>
      </c>
      <c r="F170" s="238">
        <f>Solidarité!I164</f>
        <v>-3538920.8607334904</v>
      </c>
      <c r="G170" s="8">
        <f>DT!O164</f>
        <v>-1335281.5779310344</v>
      </c>
      <c r="H170" s="238">
        <f>Effort!K164+Aide!I164+Taux!J164</f>
        <v>191479.85073430795</v>
      </c>
      <c r="I170" s="316">
        <f t="shared" si="7"/>
        <v>-7260108.9058376607</v>
      </c>
      <c r="J170" s="394">
        <f t="shared" si="8"/>
        <v>2406186.0554966764</v>
      </c>
      <c r="K170" s="520">
        <f t="shared" si="9"/>
        <v>-4853922.8503409848</v>
      </c>
    </row>
    <row r="171" spans="1:11" x14ac:dyDescent="0.25">
      <c r="A171" s="38">
        <f>Données!A165</f>
        <v>5680</v>
      </c>
      <c r="B171" s="27" t="str">
        <f>Données!B165</f>
        <v>Ogens</v>
      </c>
      <c r="C171" s="26">
        <f>Ecrêtage!C165</f>
        <v>8501.7127777777787</v>
      </c>
      <c r="D171" s="12">
        <f>Données!Z165</f>
        <v>321</v>
      </c>
      <c r="E171" s="8">
        <f>Population!K168</f>
        <v>-41416.750503018098</v>
      </c>
      <c r="F171" s="238">
        <f>Solidarité!I165</f>
        <v>-167333.25683004904</v>
      </c>
      <c r="G171" s="8">
        <f>DT!O165</f>
        <v>-18396.438749999994</v>
      </c>
      <c r="H171" s="238">
        <f>Effort!K165+Aide!I165+Taux!J165</f>
        <v>0</v>
      </c>
      <c r="I171" s="316">
        <f t="shared" si="7"/>
        <v>-227146.44608306713</v>
      </c>
      <c r="J171" s="394">
        <f t="shared" si="8"/>
        <v>163896.75241608956</v>
      </c>
      <c r="K171" s="520">
        <f t="shared" si="9"/>
        <v>-63249.693666977575</v>
      </c>
    </row>
    <row r="172" spans="1:11" x14ac:dyDescent="0.25">
      <c r="A172" s="38">
        <f>Données!A166</f>
        <v>5683</v>
      </c>
      <c r="B172" s="27" t="str">
        <f>Données!B166</f>
        <v>Prévonloup</v>
      </c>
      <c r="C172" s="26">
        <f>Ecrêtage!C166</f>
        <v>5386.3598620689654</v>
      </c>
      <c r="D172" s="12">
        <f>Données!Z166</f>
        <v>215</v>
      </c>
      <c r="E172" s="8">
        <f>Population!K169</f>
        <v>-27740.191146881283</v>
      </c>
      <c r="F172" s="238">
        <f>Solidarité!I166</f>
        <v>-103294.40187286001</v>
      </c>
      <c r="G172" s="8">
        <f>DT!O166</f>
        <v>0</v>
      </c>
      <c r="H172" s="238">
        <f>Effort!K166+Aide!I166+Taux!J166</f>
        <v>0</v>
      </c>
      <c r="I172" s="316">
        <f t="shared" si="7"/>
        <v>-131034.5930197413</v>
      </c>
      <c r="J172" s="394">
        <f t="shared" si="8"/>
        <v>103838.71012968192</v>
      </c>
      <c r="K172" s="520">
        <f t="shared" si="9"/>
        <v>-27195.88289005938</v>
      </c>
    </row>
    <row r="173" spans="1:11" x14ac:dyDescent="0.25">
      <c r="A173" s="38">
        <f>Données!A167</f>
        <v>5684</v>
      </c>
      <c r="B173" s="27" t="str">
        <f>Données!B167</f>
        <v>Rossenges</v>
      </c>
      <c r="C173" s="26">
        <f>Ecrêtage!C167</f>
        <v>3253.4312666666665</v>
      </c>
      <c r="D173" s="12">
        <f>Données!Z167</f>
        <v>93</v>
      </c>
      <c r="E173" s="8">
        <f>Population!K170</f>
        <v>-11999.245472837019</v>
      </c>
      <c r="F173" s="238">
        <f>Solidarité!I167</f>
        <v>-27062.727821167842</v>
      </c>
      <c r="G173" s="8">
        <f>DT!O167</f>
        <v>0</v>
      </c>
      <c r="H173" s="238">
        <f>Effort!K167+Aide!I167+Taux!J167</f>
        <v>0</v>
      </c>
      <c r="I173" s="316">
        <f t="shared" si="7"/>
        <v>-39061.973294004863</v>
      </c>
      <c r="J173" s="394">
        <f t="shared" si="8"/>
        <v>62719.928648896188</v>
      </c>
      <c r="K173" s="520">
        <f t="shared" si="9"/>
        <v>23657.955354891325</v>
      </c>
    </row>
    <row r="174" spans="1:11" x14ac:dyDescent="0.25">
      <c r="A174" s="38">
        <f>Données!A168</f>
        <v>5688</v>
      </c>
      <c r="B174" s="27" t="str">
        <f>Données!B168</f>
        <v>Syens</v>
      </c>
      <c r="C174" s="26">
        <f>Ecrêtage!C168</f>
        <v>6192.4015384615377</v>
      </c>
      <c r="D174" s="12">
        <f>Données!Z168</f>
        <v>161</v>
      </c>
      <c r="E174" s="8">
        <f>Population!K171</f>
        <v>-20772.887323943658</v>
      </c>
      <c r="F174" s="238">
        <f>Solidarité!I168</f>
        <v>-25736.029453393934</v>
      </c>
      <c r="G174" s="8">
        <f>DT!O168</f>
        <v>-24258.28961538462</v>
      </c>
      <c r="H174" s="238">
        <f>Effort!K168+Aide!I168+Taux!J168</f>
        <v>0</v>
      </c>
      <c r="I174" s="316">
        <f t="shared" si="7"/>
        <v>-70767.206392722219</v>
      </c>
      <c r="J174" s="394">
        <f t="shared" si="8"/>
        <v>119377.65110850126</v>
      </c>
      <c r="K174" s="520">
        <f t="shared" si="9"/>
        <v>48610.444715779042</v>
      </c>
    </row>
    <row r="175" spans="1:11" x14ac:dyDescent="0.25">
      <c r="A175" s="38">
        <f>Données!A169</f>
        <v>5690</v>
      </c>
      <c r="B175" s="27" t="str">
        <f>Données!B169</f>
        <v>Villars-le-Comte</v>
      </c>
      <c r="C175" s="26">
        <f>Ecrêtage!C169</f>
        <v>3509.9673809523806</v>
      </c>
      <c r="D175" s="12">
        <f>Données!Z169</f>
        <v>133</v>
      </c>
      <c r="E175" s="8">
        <f>Population!K172</f>
        <v>-17160.211267605631</v>
      </c>
      <c r="F175" s="238">
        <f>Solidarité!I169</f>
        <v>-56084.407210746576</v>
      </c>
      <c r="G175" s="8">
        <f>DT!O169</f>
        <v>-20979.945714285717</v>
      </c>
      <c r="H175" s="238">
        <f>Effort!K169+Aide!I169+Taux!J169</f>
        <v>0</v>
      </c>
      <c r="I175" s="316">
        <f t="shared" si="7"/>
        <v>-94224.564192637918</v>
      </c>
      <c r="J175" s="394">
        <f t="shared" si="8"/>
        <v>67665.453992774186</v>
      </c>
      <c r="K175" s="520">
        <f t="shared" si="9"/>
        <v>-26559.110199863731</v>
      </c>
    </row>
    <row r="176" spans="1:11" x14ac:dyDescent="0.25">
      <c r="A176" s="38">
        <f>Données!A170</f>
        <v>5692</v>
      </c>
      <c r="B176" s="27" t="str">
        <f>Données!B170</f>
        <v>Vucherens</v>
      </c>
      <c r="C176" s="26">
        <f>Ecrêtage!C170</f>
        <v>18792.58012987013</v>
      </c>
      <c r="D176" s="12">
        <f>Données!Z170</f>
        <v>623</v>
      </c>
      <c r="E176" s="8">
        <f>Population!K173</f>
        <v>-80382.042253521111</v>
      </c>
      <c r="F176" s="238">
        <f>Solidarité!I170</f>
        <v>-262191.58372737223</v>
      </c>
      <c r="G176" s="8">
        <f>DT!O170</f>
        <v>-80131.769220779213</v>
      </c>
      <c r="H176" s="238">
        <f>Effort!K170+Aide!I170+Taux!J170</f>
        <v>0</v>
      </c>
      <c r="I176" s="316">
        <f t="shared" si="7"/>
        <v>-422705.39520167257</v>
      </c>
      <c r="J176" s="394">
        <f t="shared" si="8"/>
        <v>362284.98107529886</v>
      </c>
      <c r="K176" s="520">
        <f t="shared" si="9"/>
        <v>-60420.414126373711</v>
      </c>
    </row>
    <row r="177" spans="1:11" x14ac:dyDescent="0.25">
      <c r="A177" s="38">
        <f>Données!A171</f>
        <v>5693</v>
      </c>
      <c r="B177" s="27" t="str">
        <f>Données!B171</f>
        <v>Montanaire</v>
      </c>
      <c r="C177" s="26">
        <f>Ecrêtage!C171</f>
        <v>75687.075428571436</v>
      </c>
      <c r="D177" s="12">
        <f>Données!Z171</f>
        <v>2768</v>
      </c>
      <c r="E177" s="8">
        <f>Population!K174</f>
        <v>-767745.27162977844</v>
      </c>
      <c r="F177" s="238">
        <f>Solidarité!I171</f>
        <v>-1115600.6636261365</v>
      </c>
      <c r="G177" s="8">
        <f>DT!O171</f>
        <v>-493661.49085714284</v>
      </c>
      <c r="H177" s="238">
        <f>Effort!K171+Aide!I171+Taux!J171</f>
        <v>0</v>
      </c>
      <c r="I177" s="316">
        <f t="shared" si="7"/>
        <v>-2377007.4261130579</v>
      </c>
      <c r="J177" s="394">
        <f t="shared" si="8"/>
        <v>1459101.9700217296</v>
      </c>
      <c r="K177" s="520">
        <f t="shared" si="9"/>
        <v>-917905.45609132829</v>
      </c>
    </row>
    <row r="178" spans="1:11" x14ac:dyDescent="0.25">
      <c r="A178" s="38">
        <f>Données!A172</f>
        <v>5701</v>
      </c>
      <c r="B178" s="27" t="str">
        <f>Données!B172</f>
        <v>Arnex-sur-Nyon</v>
      </c>
      <c r="C178" s="26">
        <f>Ecrêtage!C172</f>
        <v>14488.632285714286</v>
      </c>
      <c r="D178" s="12">
        <f>Données!Z172</f>
        <v>226</v>
      </c>
      <c r="E178" s="8">
        <f>Population!K175</f>
        <v>-29159.456740442649</v>
      </c>
      <c r="F178" s="238">
        <f>Solidarité!I172</f>
        <v>0</v>
      </c>
      <c r="G178" s="8">
        <f>DT!O172</f>
        <v>0</v>
      </c>
      <c r="H178" s="238">
        <f>Effort!K172+Aide!I172+Taux!J172</f>
        <v>0</v>
      </c>
      <c r="I178" s="316">
        <f t="shared" si="7"/>
        <v>-29159.456740442649</v>
      </c>
      <c r="J178" s="394">
        <f t="shared" si="8"/>
        <v>279313.10321214731</v>
      </c>
      <c r="K178" s="520">
        <f t="shared" si="9"/>
        <v>250153.64647170465</v>
      </c>
    </row>
    <row r="179" spans="1:11" x14ac:dyDescent="0.25">
      <c r="A179" s="38">
        <f>Données!A173</f>
        <v>5702</v>
      </c>
      <c r="B179" s="27" t="str">
        <f>Données!B173</f>
        <v>Arzier-Le Muids</v>
      </c>
      <c r="C179" s="26">
        <f>Ecrêtage!C173</f>
        <v>174855.39411458338</v>
      </c>
      <c r="D179" s="12">
        <f>Données!Z173</f>
        <v>2947</v>
      </c>
      <c r="E179" s="8">
        <f>Population!K176</f>
        <v>-832412.17303822935</v>
      </c>
      <c r="F179" s="238">
        <f>Solidarité!I173</f>
        <v>0</v>
      </c>
      <c r="G179" s="8">
        <f>DT!O173</f>
        <v>-468295.20441406243</v>
      </c>
      <c r="H179" s="238">
        <f>Effort!K173+Aide!I173+Taux!J173</f>
        <v>0</v>
      </c>
      <c r="I179" s="316">
        <f t="shared" si="7"/>
        <v>-1300707.3774522918</v>
      </c>
      <c r="J179" s="394">
        <f t="shared" si="8"/>
        <v>3370877.3734069234</v>
      </c>
      <c r="K179" s="520">
        <f t="shared" si="9"/>
        <v>2070169.9959546316</v>
      </c>
    </row>
    <row r="180" spans="1:11" x14ac:dyDescent="0.25">
      <c r="A180" s="38">
        <f>Données!A174</f>
        <v>5703</v>
      </c>
      <c r="B180" s="27" t="str">
        <f>Données!B174</f>
        <v>Bassins</v>
      </c>
      <c r="C180" s="26">
        <f>Ecrêtage!C174</f>
        <v>66798.778167487675</v>
      </c>
      <c r="D180" s="12">
        <f>Données!Z174</f>
        <v>1487</v>
      </c>
      <c r="E180" s="8">
        <f>Population!K177</f>
        <v>-304961.4688128772</v>
      </c>
      <c r="F180" s="238">
        <f>Solidarité!I174</f>
        <v>-94016.223324267281</v>
      </c>
      <c r="G180" s="8">
        <f>DT!O174</f>
        <v>0</v>
      </c>
      <c r="H180" s="238">
        <f>Effort!K174+Aide!I174+Taux!J174</f>
        <v>0</v>
      </c>
      <c r="I180" s="316">
        <f t="shared" si="7"/>
        <v>-398977.69213714451</v>
      </c>
      <c r="J180" s="394">
        <f t="shared" si="8"/>
        <v>1287752.6085838538</v>
      </c>
      <c r="K180" s="520">
        <f t="shared" si="9"/>
        <v>888774.91644670931</v>
      </c>
    </row>
    <row r="181" spans="1:11" x14ac:dyDescent="0.25">
      <c r="A181" s="38">
        <f>Données!A175</f>
        <v>5704</v>
      </c>
      <c r="B181" s="27" t="str">
        <f>Données!B175</f>
        <v>Begnins</v>
      </c>
      <c r="C181" s="26">
        <f>Ecrêtage!C175</f>
        <v>146339.67776000002</v>
      </c>
      <c r="D181" s="12">
        <f>Données!Z175</f>
        <v>1941</v>
      </c>
      <c r="E181" s="8">
        <f>Population!K178</f>
        <v>-468976.96177062363</v>
      </c>
      <c r="F181" s="238">
        <f>Solidarité!I175</f>
        <v>0</v>
      </c>
      <c r="G181" s="8">
        <f>DT!O175</f>
        <v>0</v>
      </c>
      <c r="H181" s="238">
        <f>Effort!K175+Aide!I175+Taux!J175</f>
        <v>0</v>
      </c>
      <c r="I181" s="316">
        <f t="shared" si="7"/>
        <v>-468976.96177062363</v>
      </c>
      <c r="J181" s="394">
        <f t="shared" si="8"/>
        <v>2821148.9333270877</v>
      </c>
      <c r="K181" s="520">
        <f t="shared" si="9"/>
        <v>2352171.9715564642</v>
      </c>
    </row>
    <row r="182" spans="1:11" x14ac:dyDescent="0.25">
      <c r="A182" s="38">
        <f>Données!A176</f>
        <v>5705</v>
      </c>
      <c r="B182" s="27" t="str">
        <f>Données!B176</f>
        <v>Bogis-Bossey</v>
      </c>
      <c r="C182" s="26">
        <f>Ecrêtage!C176</f>
        <v>51950.537852349</v>
      </c>
      <c r="D182" s="12">
        <f>Données!Z176</f>
        <v>888</v>
      </c>
      <c r="E182" s="8">
        <f>Population!K179</f>
        <v>-114573.44064386316</v>
      </c>
      <c r="F182" s="238">
        <f>Solidarité!I176</f>
        <v>0</v>
      </c>
      <c r="G182" s="8">
        <f>DT!O176</f>
        <v>0</v>
      </c>
      <c r="H182" s="238">
        <f>Effort!K176+Aide!I176+Taux!J176</f>
        <v>0</v>
      </c>
      <c r="I182" s="316">
        <f t="shared" si="7"/>
        <v>-114573.44064386316</v>
      </c>
      <c r="J182" s="394">
        <f t="shared" si="8"/>
        <v>1001506.9507552458</v>
      </c>
      <c r="K182" s="520">
        <f t="shared" si="9"/>
        <v>886933.51011138258</v>
      </c>
    </row>
    <row r="183" spans="1:11" x14ac:dyDescent="0.25">
      <c r="A183" s="38">
        <f>Données!A177</f>
        <v>5706</v>
      </c>
      <c r="B183" s="27" t="str">
        <f>Données!B177</f>
        <v>Borex</v>
      </c>
      <c r="C183" s="26">
        <f>Ecrêtage!C177</f>
        <v>71207.729649122819</v>
      </c>
      <c r="D183" s="12">
        <f>Données!Z177</f>
        <v>1165</v>
      </c>
      <c r="E183" s="8">
        <f>Population!K180</f>
        <v>-188633.29979879272</v>
      </c>
      <c r="F183" s="238">
        <f>Solidarité!I177</f>
        <v>0</v>
      </c>
      <c r="G183" s="8">
        <f>DT!O177</f>
        <v>0</v>
      </c>
      <c r="H183" s="238">
        <f>Effort!K177+Aide!I177+Taux!J177</f>
        <v>0</v>
      </c>
      <c r="I183" s="316">
        <f t="shared" si="7"/>
        <v>-188633.29979879272</v>
      </c>
      <c r="J183" s="394">
        <f t="shared" si="8"/>
        <v>1372748.7556295304</v>
      </c>
      <c r="K183" s="520">
        <f t="shared" si="9"/>
        <v>1184115.4558307377</v>
      </c>
    </row>
    <row r="184" spans="1:11" x14ac:dyDescent="0.25">
      <c r="A184" s="38">
        <f>Données!A178</f>
        <v>5707</v>
      </c>
      <c r="B184" s="27" t="str">
        <f>Données!B178</f>
        <v>Chavannes-de-Bogis</v>
      </c>
      <c r="C184" s="26">
        <f>Ecrêtage!C178</f>
        <v>88004.58971264369</v>
      </c>
      <c r="D184" s="12">
        <f>Données!Z178</f>
        <v>1330</v>
      </c>
      <c r="E184" s="8">
        <f>Population!K181</f>
        <v>-248242.45472837018</v>
      </c>
      <c r="F184" s="238">
        <f>Solidarité!I178</f>
        <v>0</v>
      </c>
      <c r="G184" s="8">
        <f>DT!O178</f>
        <v>0</v>
      </c>
      <c r="H184" s="238">
        <f>Effort!K178+Aide!I178+Taux!J178</f>
        <v>0</v>
      </c>
      <c r="I184" s="316">
        <f t="shared" si="7"/>
        <v>-248242.45472837018</v>
      </c>
      <c r="J184" s="394">
        <f t="shared" si="8"/>
        <v>1696560.073084807</v>
      </c>
      <c r="K184" s="520">
        <f t="shared" si="9"/>
        <v>1448317.618356437</v>
      </c>
    </row>
    <row r="185" spans="1:11" x14ac:dyDescent="0.25">
      <c r="A185" s="38">
        <f>Données!A179</f>
        <v>5708</v>
      </c>
      <c r="B185" s="27" t="str">
        <f>Données!B179</f>
        <v>Chavannes-des-Bois</v>
      </c>
      <c r="C185" s="26">
        <f>Ecrêtage!C179</f>
        <v>66993.89235294117</v>
      </c>
      <c r="D185" s="12">
        <f>Données!Z179</f>
        <v>1005</v>
      </c>
      <c r="E185" s="8">
        <f>Population!K182</f>
        <v>-130830.48289738428</v>
      </c>
      <c r="F185" s="238">
        <f>Solidarité!I179</f>
        <v>0</v>
      </c>
      <c r="G185" s="8">
        <f>DT!O179</f>
        <v>0</v>
      </c>
      <c r="H185" s="238">
        <f>Effort!K179+Aide!I179+Taux!J179</f>
        <v>0</v>
      </c>
      <c r="I185" s="316">
        <f t="shared" si="7"/>
        <v>-130830.48289738428</v>
      </c>
      <c r="J185" s="394">
        <f t="shared" si="8"/>
        <v>1291514.0366845215</v>
      </c>
      <c r="K185" s="520">
        <f t="shared" si="9"/>
        <v>1160683.5537871371</v>
      </c>
    </row>
    <row r="186" spans="1:11" x14ac:dyDescent="0.25">
      <c r="A186" s="38">
        <f>Données!A180</f>
        <v>5709</v>
      </c>
      <c r="B186" s="27" t="str">
        <f>Données!B180</f>
        <v>Chéserex</v>
      </c>
      <c r="C186" s="26">
        <f>Ecrêtage!C180</f>
        <v>88341.005087719284</v>
      </c>
      <c r="D186" s="12">
        <f>Données!Z180</f>
        <v>1263</v>
      </c>
      <c r="E186" s="8">
        <f>Population!K183</f>
        <v>-224037.52515090539</v>
      </c>
      <c r="F186" s="238">
        <f>Solidarité!I180</f>
        <v>0</v>
      </c>
      <c r="G186" s="8">
        <f>DT!O180</f>
        <v>0</v>
      </c>
      <c r="H186" s="238">
        <f>Effort!K180+Aide!I180+Taux!J180</f>
        <v>0</v>
      </c>
      <c r="I186" s="316">
        <f t="shared" si="7"/>
        <v>-224037.52515090539</v>
      </c>
      <c r="J186" s="394">
        <f t="shared" si="8"/>
        <v>1703045.5177097833</v>
      </c>
      <c r="K186" s="520">
        <f t="shared" si="9"/>
        <v>1479007.9925588779</v>
      </c>
    </row>
    <row r="187" spans="1:11" x14ac:dyDescent="0.25">
      <c r="A187" s="38">
        <f>Données!A181</f>
        <v>5710</v>
      </c>
      <c r="B187" s="27" t="str">
        <f>Données!B181</f>
        <v>Coinsins</v>
      </c>
      <c r="C187" s="26">
        <f>Ecrêtage!C181</f>
        <v>43388.780196078442</v>
      </c>
      <c r="D187" s="12">
        <f>Données!Z181</f>
        <v>508</v>
      </c>
      <c r="E187" s="8">
        <f>Population!K184</f>
        <v>-65544.265593561358</v>
      </c>
      <c r="F187" s="238">
        <f>Solidarité!I181</f>
        <v>0</v>
      </c>
      <c r="G187" s="8">
        <f>DT!O181</f>
        <v>0</v>
      </c>
      <c r="H187" s="238">
        <f>Effort!K181+Aide!I181+Taux!J181</f>
        <v>0</v>
      </c>
      <c r="I187" s="316">
        <f t="shared" si="7"/>
        <v>-65544.265593561358</v>
      </c>
      <c r="J187" s="394">
        <f t="shared" si="8"/>
        <v>836452.64799119474</v>
      </c>
      <c r="K187" s="520">
        <f t="shared" si="9"/>
        <v>770908.3823976334</v>
      </c>
    </row>
    <row r="188" spans="1:11" x14ac:dyDescent="0.25">
      <c r="A188" s="38">
        <f>Données!A182</f>
        <v>5711</v>
      </c>
      <c r="B188" s="27" t="str">
        <f>Données!B182</f>
        <v>Commugny</v>
      </c>
      <c r="C188" s="26">
        <f>Ecrêtage!C182</f>
        <v>286267.46263340261</v>
      </c>
      <c r="D188" s="12">
        <f>Données!Z182</f>
        <v>3001</v>
      </c>
      <c r="E188" s="8">
        <f>Population!K185</f>
        <v>-852075.45271629759</v>
      </c>
      <c r="F188" s="238">
        <f>Solidarité!I182</f>
        <v>0</v>
      </c>
      <c r="G188" s="8">
        <f>DT!O182</f>
        <v>0</v>
      </c>
      <c r="H188" s="238">
        <f>Effort!K182+Aide!I182+Taux!J182</f>
        <v>0</v>
      </c>
      <c r="I188" s="316">
        <f t="shared" si="7"/>
        <v>-852075.45271629759</v>
      </c>
      <c r="J188" s="394">
        <f t="shared" si="8"/>
        <v>5518688.8423996735</v>
      </c>
      <c r="K188" s="520">
        <f t="shared" si="9"/>
        <v>4666613.3896833761</v>
      </c>
    </row>
    <row r="189" spans="1:11" x14ac:dyDescent="0.25">
      <c r="A189" s="38">
        <f>Données!A183</f>
        <v>5712</v>
      </c>
      <c r="B189" s="27" t="str">
        <f>Données!B183</f>
        <v>Coppet</v>
      </c>
      <c r="C189" s="26">
        <f>Ecrêtage!C183</f>
        <v>333743.32396226411</v>
      </c>
      <c r="D189" s="12">
        <f>Données!Z183</f>
        <v>3211</v>
      </c>
      <c r="E189" s="8">
        <f>Population!K186</f>
        <v>-960455.73440643842</v>
      </c>
      <c r="F189" s="238">
        <f>Solidarité!I183</f>
        <v>0</v>
      </c>
      <c r="G189" s="8">
        <f>DT!O183</f>
        <v>0</v>
      </c>
      <c r="H189" s="238">
        <f>Effort!K183+Aide!I183+Taux!J183</f>
        <v>0</v>
      </c>
      <c r="I189" s="316">
        <f t="shared" si="7"/>
        <v>-960455.73440643842</v>
      </c>
      <c r="J189" s="394">
        <f t="shared" si="8"/>
        <v>6433932.5930819781</v>
      </c>
      <c r="K189" s="520">
        <f t="shared" si="9"/>
        <v>5473476.8586755395</v>
      </c>
    </row>
    <row r="190" spans="1:11" x14ac:dyDescent="0.25">
      <c r="A190" s="38">
        <f>Données!A184</f>
        <v>5713</v>
      </c>
      <c r="B190" s="27" t="str">
        <f>Données!B184</f>
        <v>Crans</v>
      </c>
      <c r="C190" s="26">
        <f>Ecrêtage!C184</f>
        <v>302501.76750000002</v>
      </c>
      <c r="D190" s="12">
        <f>Données!Z184</f>
        <v>2373</v>
      </c>
      <c r="E190" s="8">
        <f>Population!K187</f>
        <v>-625044.5674044264</v>
      </c>
      <c r="F190" s="238">
        <f>Solidarité!I184</f>
        <v>0</v>
      </c>
      <c r="G190" s="8">
        <f>DT!O184</f>
        <v>0</v>
      </c>
      <c r="H190" s="238">
        <f>Effort!K184+Aide!I184+Taux!J184</f>
        <v>0</v>
      </c>
      <c r="I190" s="316">
        <f t="shared" si="7"/>
        <v>-625044.5674044264</v>
      </c>
      <c r="J190" s="394">
        <f t="shared" si="8"/>
        <v>5831655.1722341552</v>
      </c>
      <c r="K190" s="520">
        <f t="shared" si="9"/>
        <v>5206610.6048297286</v>
      </c>
    </row>
    <row r="191" spans="1:11" x14ac:dyDescent="0.25">
      <c r="A191" s="38">
        <f>Données!A185</f>
        <v>5714</v>
      </c>
      <c r="B191" s="27" t="str">
        <f>Données!B185</f>
        <v>Crassier</v>
      </c>
      <c r="C191" s="26">
        <f>Ecrêtage!C185</f>
        <v>62133.653235294114</v>
      </c>
      <c r="D191" s="12">
        <f>Données!Z185</f>
        <v>1228</v>
      </c>
      <c r="E191" s="8">
        <f>Population!K188</f>
        <v>-211393.15895372228</v>
      </c>
      <c r="F191" s="238">
        <f>Solidarité!I185</f>
        <v>0</v>
      </c>
      <c r="G191" s="8">
        <f>DT!O185</f>
        <v>0</v>
      </c>
      <c r="H191" s="238">
        <f>Effort!K185+Aide!I185+Taux!J185</f>
        <v>0</v>
      </c>
      <c r="I191" s="316">
        <f t="shared" si="7"/>
        <v>-211393.15895372228</v>
      </c>
      <c r="J191" s="394">
        <f t="shared" si="8"/>
        <v>1197817.9276569232</v>
      </c>
      <c r="K191" s="520">
        <f t="shared" si="9"/>
        <v>986424.76870320085</v>
      </c>
    </row>
    <row r="192" spans="1:11" x14ac:dyDescent="0.25">
      <c r="A192" s="38">
        <f>Données!A186</f>
        <v>5715</v>
      </c>
      <c r="B192" s="27" t="str">
        <f>Données!B186</f>
        <v>Duillier</v>
      </c>
      <c r="C192" s="26">
        <f>Ecrêtage!C186</f>
        <v>70392.808484848487</v>
      </c>
      <c r="D192" s="12">
        <f>Données!Z186</f>
        <v>1146</v>
      </c>
      <c r="E192" s="8">
        <f>Population!K189</f>
        <v>-181769.21529175047</v>
      </c>
      <c r="F192" s="238">
        <f>Solidarité!I186</f>
        <v>0</v>
      </c>
      <c r="G192" s="8">
        <f>DT!O186</f>
        <v>0</v>
      </c>
      <c r="H192" s="238">
        <f>Effort!K186+Aide!I186+Taux!J186</f>
        <v>0</v>
      </c>
      <c r="I192" s="316">
        <f t="shared" si="7"/>
        <v>-181769.21529175047</v>
      </c>
      <c r="J192" s="394">
        <f t="shared" si="8"/>
        <v>1357038.6351172477</v>
      </c>
      <c r="K192" s="520">
        <f t="shared" si="9"/>
        <v>1175269.4198254973</v>
      </c>
    </row>
    <row r="193" spans="1:11" x14ac:dyDescent="0.25">
      <c r="A193" s="38">
        <f>Données!A187</f>
        <v>5716</v>
      </c>
      <c r="B193" s="27" t="str">
        <f>Données!B187</f>
        <v>Eysins</v>
      </c>
      <c r="C193" s="26">
        <f>Ecrêtage!C187</f>
        <v>203469.72924369748</v>
      </c>
      <c r="D193" s="12">
        <f>Données!Z187</f>
        <v>1736</v>
      </c>
      <c r="E193" s="8">
        <f>Population!K190</f>
        <v>-394917.10261569411</v>
      </c>
      <c r="F193" s="238">
        <f>Solidarité!I187</f>
        <v>0</v>
      </c>
      <c r="G193" s="8">
        <f>DT!O187</f>
        <v>0</v>
      </c>
      <c r="H193" s="238">
        <f>Effort!K187+Aide!I187+Taux!J187</f>
        <v>0</v>
      </c>
      <c r="I193" s="316">
        <f t="shared" si="7"/>
        <v>-394917.10261569411</v>
      </c>
      <c r="J193" s="394">
        <f t="shared" si="8"/>
        <v>3922506.994730507</v>
      </c>
      <c r="K193" s="520">
        <f t="shared" si="9"/>
        <v>3527589.892114813</v>
      </c>
    </row>
    <row r="194" spans="1:11" x14ac:dyDescent="0.25">
      <c r="A194" s="38">
        <f>Données!A188</f>
        <v>5717</v>
      </c>
      <c r="B194" s="27" t="str">
        <f>Données!B188</f>
        <v>Founex</v>
      </c>
      <c r="C194" s="26">
        <f>Ecrêtage!C188</f>
        <v>390717.85842105263</v>
      </c>
      <c r="D194" s="12">
        <f>Données!Z188</f>
        <v>3822</v>
      </c>
      <c r="E194" s="8">
        <f>Population!K191</f>
        <v>-1275790.7444668005</v>
      </c>
      <c r="F194" s="238">
        <f>Solidarité!I188</f>
        <v>0</v>
      </c>
      <c r="G194" s="8">
        <f>DT!O188</f>
        <v>0</v>
      </c>
      <c r="H194" s="238">
        <f>Effort!K188+Aide!I188+Taux!J188</f>
        <v>0</v>
      </c>
      <c r="I194" s="316">
        <f t="shared" si="7"/>
        <v>-1275790.7444668005</v>
      </c>
      <c r="J194" s="394">
        <f t="shared" si="8"/>
        <v>7532292.5838619573</v>
      </c>
      <c r="K194" s="520">
        <f t="shared" si="9"/>
        <v>6256501.8393951571</v>
      </c>
    </row>
    <row r="195" spans="1:11" x14ac:dyDescent="0.25">
      <c r="A195" s="38">
        <f>Données!A189</f>
        <v>5718</v>
      </c>
      <c r="B195" s="27" t="str">
        <f>Données!B189</f>
        <v>Genolier</v>
      </c>
      <c r="C195" s="26">
        <f>Ecrêtage!C189</f>
        <v>192258.25363636363</v>
      </c>
      <c r="D195" s="12">
        <f>Données!Z189</f>
        <v>2022</v>
      </c>
      <c r="E195" s="8">
        <f>Population!K192</f>
        <v>-498239.6378269617</v>
      </c>
      <c r="F195" s="238">
        <f>Solidarité!I189</f>
        <v>0</v>
      </c>
      <c r="G195" s="8">
        <f>DT!O189</f>
        <v>0</v>
      </c>
      <c r="H195" s="238">
        <f>Effort!K189+Aide!I189+Taux!J189</f>
        <v>0</v>
      </c>
      <c r="I195" s="316">
        <f t="shared" si="7"/>
        <v>-498239.6378269617</v>
      </c>
      <c r="J195" s="394">
        <f t="shared" si="8"/>
        <v>3706371.200701186</v>
      </c>
      <c r="K195" s="520">
        <f t="shared" si="9"/>
        <v>3208131.562874224</v>
      </c>
    </row>
    <row r="196" spans="1:11" x14ac:dyDescent="0.25">
      <c r="A196" s="38">
        <f>Données!A190</f>
        <v>5719</v>
      </c>
      <c r="B196" s="27" t="str">
        <f>Données!B190</f>
        <v>Gingins</v>
      </c>
      <c r="C196" s="26">
        <f>Ecrêtage!C190</f>
        <v>151290.43366666668</v>
      </c>
      <c r="D196" s="12">
        <f>Données!Z190</f>
        <v>1265</v>
      </c>
      <c r="E196" s="8">
        <f>Population!K193</f>
        <v>-224760.06036217301</v>
      </c>
      <c r="F196" s="238">
        <f>Solidarité!I190</f>
        <v>0</v>
      </c>
      <c r="G196" s="8">
        <f>DT!O190</f>
        <v>0</v>
      </c>
      <c r="H196" s="238">
        <f>Effort!K190+Aide!I190+Taux!J190</f>
        <v>0</v>
      </c>
      <c r="I196" s="316">
        <f t="shared" si="7"/>
        <v>-224760.06036217301</v>
      </c>
      <c r="J196" s="394">
        <f t="shared" si="8"/>
        <v>2916590.0328227505</v>
      </c>
      <c r="K196" s="520">
        <f t="shared" si="9"/>
        <v>2691829.9724605773</v>
      </c>
    </row>
    <row r="197" spans="1:11" x14ac:dyDescent="0.25">
      <c r="A197" s="38">
        <f>Données!A191</f>
        <v>5720</v>
      </c>
      <c r="B197" s="27" t="str">
        <f>Données!B191</f>
        <v>Givrins</v>
      </c>
      <c r="C197" s="26">
        <f>Ecrêtage!C191</f>
        <v>74789.584809286913</v>
      </c>
      <c r="D197" s="12">
        <f>Données!Z191</f>
        <v>1010</v>
      </c>
      <c r="E197" s="8">
        <f>Population!K194</f>
        <v>-132636.8209255533</v>
      </c>
      <c r="F197" s="238">
        <f>Solidarité!I191</f>
        <v>0</v>
      </c>
      <c r="G197" s="8">
        <f>DT!O191</f>
        <v>-45797.561393034819</v>
      </c>
      <c r="H197" s="238">
        <f>Effort!K191+Aide!I191+Taux!J191</f>
        <v>0</v>
      </c>
      <c r="I197" s="316">
        <f t="shared" si="7"/>
        <v>-178434.38231858812</v>
      </c>
      <c r="J197" s="394">
        <f t="shared" si="8"/>
        <v>1441800.0684320729</v>
      </c>
      <c r="K197" s="520">
        <f t="shared" si="9"/>
        <v>1263365.6861134847</v>
      </c>
    </row>
    <row r="198" spans="1:11" x14ac:dyDescent="0.25">
      <c r="A198" s="38">
        <f>Données!A192</f>
        <v>5721</v>
      </c>
      <c r="B198" s="27" t="str">
        <f>Données!B192</f>
        <v>Gland</v>
      </c>
      <c r="C198" s="26">
        <f>Ecrêtage!C192</f>
        <v>722641.89508196723</v>
      </c>
      <c r="D198" s="12">
        <f>Données!Z192</f>
        <v>13306</v>
      </c>
      <c r="E198" s="8">
        <f>Population!K195</f>
        <v>-8341152.9175050287</v>
      </c>
      <c r="F198" s="238">
        <f>Solidarité!I192</f>
        <v>0</v>
      </c>
      <c r="G198" s="8">
        <f>DT!O192</f>
        <v>0</v>
      </c>
      <c r="H198" s="238">
        <f>Effort!K192+Aide!I192+Taux!J192</f>
        <v>0</v>
      </c>
      <c r="I198" s="316">
        <f t="shared" si="7"/>
        <v>-8341152.9175050287</v>
      </c>
      <c r="J198" s="394">
        <f t="shared" si="8"/>
        <v>13931152.799389333</v>
      </c>
      <c r="K198" s="520">
        <f t="shared" si="9"/>
        <v>5589999.8818843039</v>
      </c>
    </row>
    <row r="199" spans="1:11" x14ac:dyDescent="0.25">
      <c r="A199" s="38">
        <f>Données!A193</f>
        <v>5722</v>
      </c>
      <c r="B199" s="27" t="str">
        <f>Données!B193</f>
        <v>Grens</v>
      </c>
      <c r="C199" s="26">
        <f>Ecrêtage!C193</f>
        <v>22316.235806451619</v>
      </c>
      <c r="D199" s="12">
        <f>Données!Z193</f>
        <v>401</v>
      </c>
      <c r="E199" s="8">
        <f>Population!K196</f>
        <v>-51738.682092555318</v>
      </c>
      <c r="F199" s="238">
        <f>Solidarité!I193</f>
        <v>0</v>
      </c>
      <c r="G199" s="8">
        <f>DT!O193</f>
        <v>0</v>
      </c>
      <c r="H199" s="238">
        <f>Effort!K193+Aide!I193+Taux!J193</f>
        <v>0</v>
      </c>
      <c r="I199" s="316">
        <f t="shared" si="7"/>
        <v>-51738.682092555318</v>
      </c>
      <c r="J199" s="394">
        <f t="shared" si="8"/>
        <v>430214.31921217003</v>
      </c>
      <c r="K199" s="520">
        <f t="shared" si="9"/>
        <v>378475.63711961469</v>
      </c>
    </row>
    <row r="200" spans="1:11" x14ac:dyDescent="0.25">
      <c r="A200" s="38">
        <f>Données!A194</f>
        <v>5723</v>
      </c>
      <c r="B200" s="27" t="str">
        <f>Données!B194</f>
        <v>Mies</v>
      </c>
      <c r="C200" s="26">
        <f>Ecrêtage!C194</f>
        <v>245963.39999999997</v>
      </c>
      <c r="D200" s="12">
        <f>Données!Z194</f>
        <v>2195</v>
      </c>
      <c r="E200" s="8">
        <f>Population!K197</f>
        <v>-560738.93360160955</v>
      </c>
      <c r="F200" s="238">
        <f>Solidarité!I194</f>
        <v>0</v>
      </c>
      <c r="G200" s="8">
        <f>DT!O194</f>
        <v>0</v>
      </c>
      <c r="H200" s="238">
        <f>Effort!K194+Aide!I194+Taux!J194</f>
        <v>0</v>
      </c>
      <c r="I200" s="316">
        <f t="shared" si="7"/>
        <v>-560738.93360160955</v>
      </c>
      <c r="J200" s="394">
        <f t="shared" si="8"/>
        <v>4741703.6457160478</v>
      </c>
      <c r="K200" s="520">
        <f t="shared" si="9"/>
        <v>4180964.7121144384</v>
      </c>
    </row>
    <row r="201" spans="1:11" x14ac:dyDescent="0.25">
      <c r="A201" s="38">
        <f>Données!A195</f>
        <v>5724</v>
      </c>
      <c r="B201" s="27" t="str">
        <f>Données!B195</f>
        <v>Nyon</v>
      </c>
      <c r="C201" s="26">
        <f>Ecrêtage!C195</f>
        <v>1461398.290765027</v>
      </c>
      <c r="D201" s="12">
        <f>Données!Z195</f>
        <v>22124</v>
      </c>
      <c r="E201" s="8">
        <f>Population!K198</f>
        <v>-17810699.396378264</v>
      </c>
      <c r="F201" s="238">
        <f>Solidarité!I195</f>
        <v>0</v>
      </c>
      <c r="G201" s="8">
        <f>DT!O195</f>
        <v>-814663.2554098377</v>
      </c>
      <c r="H201" s="238">
        <f>Effort!K195+Aide!I195+Taux!J195</f>
        <v>0</v>
      </c>
      <c r="I201" s="316">
        <f t="shared" si="7"/>
        <v>-18625362.651788101</v>
      </c>
      <c r="J201" s="394">
        <f t="shared" si="8"/>
        <v>28172962.331646621</v>
      </c>
      <c r="K201" s="520">
        <f t="shared" si="9"/>
        <v>9547599.6798585206</v>
      </c>
    </row>
    <row r="202" spans="1:11" x14ac:dyDescent="0.25">
      <c r="A202" s="38">
        <f>Données!A196</f>
        <v>5725</v>
      </c>
      <c r="B202" s="27" t="str">
        <f>Données!B196</f>
        <v>Prangins</v>
      </c>
      <c r="C202" s="26">
        <f>Ecrêtage!C196</f>
        <v>354965.57820779225</v>
      </c>
      <c r="D202" s="12">
        <f>Données!Z196</f>
        <v>4060</v>
      </c>
      <c r="E202" s="8">
        <f>Population!K199</f>
        <v>-1398621.7303822935</v>
      </c>
      <c r="F202" s="238">
        <f>Solidarité!I196</f>
        <v>0</v>
      </c>
      <c r="G202" s="8">
        <f>DT!O196</f>
        <v>0</v>
      </c>
      <c r="H202" s="238">
        <f>Effort!K196+Aide!I196+Taux!J196</f>
        <v>0</v>
      </c>
      <c r="I202" s="316">
        <f t="shared" si="7"/>
        <v>-1398621.7303822935</v>
      </c>
      <c r="J202" s="394">
        <f t="shared" si="8"/>
        <v>6843057.0413793009</v>
      </c>
      <c r="K202" s="520">
        <f t="shared" si="9"/>
        <v>5444435.3109970074</v>
      </c>
    </row>
    <row r="203" spans="1:11" x14ac:dyDescent="0.25">
      <c r="A203" s="38">
        <f>Données!A197</f>
        <v>5726</v>
      </c>
      <c r="B203" s="27" t="str">
        <f>Données!B197</f>
        <v>La Rippe</v>
      </c>
      <c r="C203" s="26">
        <f>Ecrêtage!C197</f>
        <v>70364.194375000006</v>
      </c>
      <c r="D203" s="12">
        <f>Données!Z197</f>
        <v>1165</v>
      </c>
      <c r="E203" s="8">
        <f>Population!K200</f>
        <v>-188633.29979879272</v>
      </c>
      <c r="F203" s="238">
        <f>Solidarité!I197</f>
        <v>0</v>
      </c>
      <c r="G203" s="8">
        <f>DT!O197</f>
        <v>0</v>
      </c>
      <c r="H203" s="238">
        <f>Effort!K197+Aide!I197+Taux!J197</f>
        <v>0</v>
      </c>
      <c r="I203" s="316">
        <f t="shared" si="7"/>
        <v>-188633.29979879272</v>
      </c>
      <c r="J203" s="394">
        <f t="shared" si="8"/>
        <v>1356487.0098389036</v>
      </c>
      <c r="K203" s="520">
        <f t="shared" si="9"/>
        <v>1167853.7100401109</v>
      </c>
    </row>
    <row r="204" spans="1:11" x14ac:dyDescent="0.25">
      <c r="A204" s="38">
        <f>Données!A198</f>
        <v>5727</v>
      </c>
      <c r="B204" s="27" t="str">
        <f>Données!B198</f>
        <v>Saint-Cergue</v>
      </c>
      <c r="C204" s="26">
        <f>Ecrêtage!C198</f>
        <v>106171.3535858586</v>
      </c>
      <c r="D204" s="12">
        <f>Données!Z198</f>
        <v>2755</v>
      </c>
      <c r="E204" s="8">
        <f>Population!K201</f>
        <v>-763048.79275653907</v>
      </c>
      <c r="F204" s="238">
        <f>Solidarité!I198</f>
        <v>-450421.29479885375</v>
      </c>
      <c r="G204" s="8">
        <f>DT!O198</f>
        <v>-471354.61329545447</v>
      </c>
      <c r="H204" s="238">
        <f>Effort!K198+Aide!I198+Taux!J198</f>
        <v>0</v>
      </c>
      <c r="I204" s="316">
        <f t="shared" si="7"/>
        <v>-1684824.7008508474</v>
      </c>
      <c r="J204" s="394">
        <f t="shared" si="8"/>
        <v>2046780.5143719485</v>
      </c>
      <c r="K204" s="520">
        <f t="shared" si="9"/>
        <v>361955.81352110114</v>
      </c>
    </row>
    <row r="205" spans="1:11" x14ac:dyDescent="0.25">
      <c r="A205" s="38">
        <f>Données!A199</f>
        <v>5728</v>
      </c>
      <c r="B205" s="27" t="str">
        <f>Données!B199</f>
        <v>Signy-Avenex</v>
      </c>
      <c r="C205" s="26">
        <f>Ecrêtage!C199</f>
        <v>56428.273965517248</v>
      </c>
      <c r="D205" s="12">
        <f>Données!Z199</f>
        <v>584</v>
      </c>
      <c r="E205" s="8">
        <f>Population!K202</f>
        <v>-75350.100603621715</v>
      </c>
      <c r="F205" s="238">
        <f>Solidarité!I199</f>
        <v>0</v>
      </c>
      <c r="G205" s="8">
        <f>DT!O199</f>
        <v>0</v>
      </c>
      <c r="H205" s="238">
        <f>Effort!K199+Aide!I199+Taux!J199</f>
        <v>0</v>
      </c>
      <c r="I205" s="316">
        <f t="shared" ref="I205:I268" si="10">SUM(E205:H205)</f>
        <v>-75350.100603621715</v>
      </c>
      <c r="J205" s="394">
        <f t="shared" ref="J205:J268" si="11">C205*$J$11</f>
        <v>1087829.1338620181</v>
      </c>
      <c r="K205" s="520">
        <f t="shared" ref="K205:K268" si="12">I205+J205</f>
        <v>1012479.0332583964</v>
      </c>
    </row>
    <row r="206" spans="1:11" x14ac:dyDescent="0.25">
      <c r="A206" s="38">
        <f>Données!A200</f>
        <v>5729</v>
      </c>
      <c r="B206" s="27" t="str">
        <f>Données!B200</f>
        <v>Tannay</v>
      </c>
      <c r="C206" s="26">
        <f>Ecrêtage!C200</f>
        <v>161668.92523415975</v>
      </c>
      <c r="D206" s="12">
        <f>Données!Z200</f>
        <v>1644</v>
      </c>
      <c r="E206" s="8">
        <f>Population!K203</f>
        <v>-361680.48289738421</v>
      </c>
      <c r="F206" s="238">
        <f>Solidarité!I200</f>
        <v>0</v>
      </c>
      <c r="G206" s="8">
        <f>DT!O200</f>
        <v>0</v>
      </c>
      <c r="H206" s="238">
        <f>Effort!K200+Aide!I200+Taux!J200</f>
        <v>0</v>
      </c>
      <c r="I206" s="316">
        <f t="shared" si="10"/>
        <v>-361680.48289738421</v>
      </c>
      <c r="J206" s="394">
        <f t="shared" si="11"/>
        <v>3116667.4886662425</v>
      </c>
      <c r="K206" s="520">
        <f t="shared" si="12"/>
        <v>2754987.0057688584</v>
      </c>
    </row>
    <row r="207" spans="1:11" x14ac:dyDescent="0.25">
      <c r="A207" s="38">
        <f>Données!A201</f>
        <v>5730</v>
      </c>
      <c r="B207" s="27" t="str">
        <f>Données!B201</f>
        <v>Trélex</v>
      </c>
      <c r="C207" s="26">
        <f>Ecrêtage!C201</f>
        <v>125084.29905905908</v>
      </c>
      <c r="D207" s="12">
        <f>Données!Z201</f>
        <v>1439</v>
      </c>
      <c r="E207" s="8">
        <f>Population!K204</f>
        <v>-287620.62374245469</v>
      </c>
      <c r="F207" s="238">
        <f>Solidarité!I201</f>
        <v>0</v>
      </c>
      <c r="G207" s="8">
        <f>DT!O201</f>
        <v>0</v>
      </c>
      <c r="H207" s="238">
        <f>Effort!K201+Aide!I201+Taux!J201</f>
        <v>0</v>
      </c>
      <c r="I207" s="316">
        <f t="shared" si="10"/>
        <v>-287620.62374245469</v>
      </c>
      <c r="J207" s="394">
        <f t="shared" si="11"/>
        <v>2411385.9089205014</v>
      </c>
      <c r="K207" s="520">
        <f t="shared" si="12"/>
        <v>2123765.2851780467</v>
      </c>
    </row>
    <row r="208" spans="1:11" x14ac:dyDescent="0.25">
      <c r="A208" s="38">
        <f>Données!A202</f>
        <v>5731</v>
      </c>
      <c r="B208" s="27" t="str">
        <f>Données!B202</f>
        <v>Le Vaud</v>
      </c>
      <c r="C208" s="26">
        <f>Ecrêtage!C202</f>
        <v>69594.777477477473</v>
      </c>
      <c r="D208" s="12">
        <f>Données!Z202</f>
        <v>1387</v>
      </c>
      <c r="E208" s="8">
        <f>Population!K205</f>
        <v>-268834.70824949694</v>
      </c>
      <c r="F208" s="238">
        <f>Solidarité!I202</f>
        <v>0</v>
      </c>
      <c r="G208" s="8">
        <f>DT!O202</f>
        <v>-154720.33513513516</v>
      </c>
      <c r="H208" s="238">
        <f>Effort!K202+Aide!I202+Taux!J202</f>
        <v>0</v>
      </c>
      <c r="I208" s="316">
        <f t="shared" si="10"/>
        <v>-423555.0433846321</v>
      </c>
      <c r="J208" s="394">
        <f t="shared" si="11"/>
        <v>1341654.1245069471</v>
      </c>
      <c r="K208" s="520">
        <f t="shared" si="12"/>
        <v>918099.08112231502</v>
      </c>
    </row>
    <row r="209" spans="1:11" x14ac:dyDescent="0.25">
      <c r="A209" s="38">
        <f>Données!A203</f>
        <v>5732</v>
      </c>
      <c r="B209" s="27" t="str">
        <f>Données!B203</f>
        <v>Vich</v>
      </c>
      <c r="C209" s="26">
        <f>Ecrêtage!C203</f>
        <v>86531.798253968242</v>
      </c>
      <c r="D209" s="12">
        <f>Données!Z203</f>
        <v>1157</v>
      </c>
      <c r="E209" s="8">
        <f>Population!K206</f>
        <v>-185743.1589537223</v>
      </c>
      <c r="F209" s="238">
        <f>Solidarité!I203</f>
        <v>0</v>
      </c>
      <c r="G209" s="8">
        <f>DT!O203</f>
        <v>0</v>
      </c>
      <c r="H209" s="238">
        <f>Effort!K203+Aide!I203+Taux!J203</f>
        <v>0</v>
      </c>
      <c r="I209" s="316">
        <f t="shared" si="10"/>
        <v>-185743.1589537223</v>
      </c>
      <c r="J209" s="394">
        <f t="shared" si="11"/>
        <v>1668167.4722792367</v>
      </c>
      <c r="K209" s="520">
        <f t="shared" si="12"/>
        <v>1482424.3133255143</v>
      </c>
    </row>
    <row r="210" spans="1:11" x14ac:dyDescent="0.25">
      <c r="A210" s="38">
        <f>Données!A204</f>
        <v>5741</v>
      </c>
      <c r="B210" s="27" t="str">
        <f>Données!B204</f>
        <v>L'Abergement</v>
      </c>
      <c r="C210" s="26">
        <f>Ecrêtage!C204</f>
        <v>8987.1447119341574</v>
      </c>
      <c r="D210" s="12">
        <f>Données!Z204</f>
        <v>254</v>
      </c>
      <c r="E210" s="8">
        <f>Population!K207</f>
        <v>-32772.132796780679</v>
      </c>
      <c r="F210" s="238">
        <f>Solidarité!I204</f>
        <v>-83553.905479063586</v>
      </c>
      <c r="G210" s="8">
        <f>DT!O204</f>
        <v>-108747.52319444444</v>
      </c>
      <c r="H210" s="238">
        <f>Effort!K204+Aide!I204+Taux!J204</f>
        <v>0</v>
      </c>
      <c r="I210" s="316">
        <f t="shared" si="10"/>
        <v>-225073.56147028873</v>
      </c>
      <c r="J210" s="394">
        <f t="shared" si="11"/>
        <v>173254.95112344317</v>
      </c>
      <c r="K210" s="520">
        <f t="shared" si="12"/>
        <v>-51818.610346845555</v>
      </c>
    </row>
    <row r="211" spans="1:11" x14ac:dyDescent="0.25">
      <c r="A211" s="38">
        <f>Données!A205</f>
        <v>5742</v>
      </c>
      <c r="B211" s="27" t="str">
        <f>Données!B205</f>
        <v>Agiez</v>
      </c>
      <c r="C211" s="26">
        <f>Ecrêtage!C205</f>
        <v>10159.753552631579</v>
      </c>
      <c r="D211" s="12">
        <f>Données!Z205</f>
        <v>375</v>
      </c>
      <c r="E211" s="8">
        <f>Population!K208</f>
        <v>-48384.054325955723</v>
      </c>
      <c r="F211" s="238">
        <f>Solidarité!I205</f>
        <v>-180329.09132153561</v>
      </c>
      <c r="G211" s="8">
        <f>DT!O205</f>
        <v>-51880.663519736838</v>
      </c>
      <c r="H211" s="238">
        <f>Effort!K205+Aide!I205+Taux!J205</f>
        <v>0</v>
      </c>
      <c r="I211" s="316">
        <f t="shared" si="10"/>
        <v>-280593.80916722817</v>
      </c>
      <c r="J211" s="394">
        <f t="shared" si="11"/>
        <v>195860.60552134883</v>
      </c>
      <c r="K211" s="520">
        <f t="shared" si="12"/>
        <v>-84733.203645879345</v>
      </c>
    </row>
    <row r="212" spans="1:11" x14ac:dyDescent="0.25">
      <c r="A212" s="38">
        <f>Données!A206</f>
        <v>5743</v>
      </c>
      <c r="B212" s="27" t="str">
        <f>Données!B206</f>
        <v>Arnex-sur-Orbe</v>
      </c>
      <c r="C212" s="26">
        <f>Ecrêtage!C206</f>
        <v>18533.004577464792</v>
      </c>
      <c r="D212" s="12">
        <f>Données!Z206</f>
        <v>665</v>
      </c>
      <c r="E212" s="8">
        <f>Population!K209</f>
        <v>-85801.056338028153</v>
      </c>
      <c r="F212" s="238">
        <f>Solidarité!I206</f>
        <v>-268691.98565428116</v>
      </c>
      <c r="G212" s="8">
        <f>DT!O206</f>
        <v>-100458.72253521124</v>
      </c>
      <c r="H212" s="238">
        <f>Effort!K206+Aide!I206+Taux!J206</f>
        <v>0</v>
      </c>
      <c r="I212" s="316">
        <f t="shared" si="10"/>
        <v>-454951.76452752057</v>
      </c>
      <c r="J212" s="394">
        <f t="shared" si="11"/>
        <v>357280.86118112295</v>
      </c>
      <c r="K212" s="520">
        <f t="shared" si="12"/>
        <v>-97670.903346397623</v>
      </c>
    </row>
    <row r="213" spans="1:11" x14ac:dyDescent="0.25">
      <c r="A213" s="38">
        <f>Données!A207</f>
        <v>5744</v>
      </c>
      <c r="B213" s="27" t="str">
        <f>Données!B207</f>
        <v>Ballaigues</v>
      </c>
      <c r="C213" s="26">
        <f>Ecrêtage!C207</f>
        <v>49180.794769230772</v>
      </c>
      <c r="D213" s="12">
        <f>Données!Z207</f>
        <v>1173</v>
      </c>
      <c r="E213" s="8">
        <f>Population!K210</f>
        <v>-191523.44064386314</v>
      </c>
      <c r="F213" s="238">
        <f>Solidarité!I207</f>
        <v>-118898.99304294858</v>
      </c>
      <c r="G213" s="8">
        <f>DT!O207</f>
        <v>-396031.38530769228</v>
      </c>
      <c r="H213" s="238">
        <f>Effort!K207+Aide!I207+Taux!J207</f>
        <v>0</v>
      </c>
      <c r="I213" s="316">
        <f t="shared" si="10"/>
        <v>-706453.81899450393</v>
      </c>
      <c r="J213" s="394">
        <f t="shared" si="11"/>
        <v>948111.604639041</v>
      </c>
      <c r="K213" s="520">
        <f t="shared" si="12"/>
        <v>241657.78564453707</v>
      </c>
    </row>
    <row r="214" spans="1:11" x14ac:dyDescent="0.25">
      <c r="A214" s="38">
        <f>Données!A208</f>
        <v>5745</v>
      </c>
      <c r="B214" s="27" t="str">
        <f>Données!B208</f>
        <v>Baulmes</v>
      </c>
      <c r="C214" s="26">
        <f>Ecrêtage!C208</f>
        <v>28469.206405228757</v>
      </c>
      <c r="D214" s="12">
        <f>Données!Z208</f>
        <v>1126</v>
      </c>
      <c r="E214" s="8">
        <f>Population!K211</f>
        <v>-174543.86317907443</v>
      </c>
      <c r="F214" s="238">
        <f>Solidarité!I208</f>
        <v>-596242.98983184155</v>
      </c>
      <c r="G214" s="8">
        <f>DT!O208</f>
        <v>-436961.35676470585</v>
      </c>
      <c r="H214" s="238">
        <f>Effort!K208+Aide!I208+Taux!J208</f>
        <v>0</v>
      </c>
      <c r="I214" s="316">
        <f t="shared" si="10"/>
        <v>-1207748.2097756218</v>
      </c>
      <c r="J214" s="394">
        <f t="shared" si="11"/>
        <v>548831.81726352731</v>
      </c>
      <c r="K214" s="520">
        <f t="shared" si="12"/>
        <v>-658916.39251209446</v>
      </c>
    </row>
    <row r="215" spans="1:11" x14ac:dyDescent="0.25">
      <c r="A215" s="38">
        <f>Données!A209</f>
        <v>5746</v>
      </c>
      <c r="B215" s="27" t="str">
        <f>Données!B209</f>
        <v>Bavois</v>
      </c>
      <c r="C215" s="26">
        <f>Ecrêtage!C209</f>
        <v>27466.739977168949</v>
      </c>
      <c r="D215" s="12">
        <f>Données!Z209</f>
        <v>978</v>
      </c>
      <c r="E215" s="8">
        <f>Population!K212</f>
        <v>-126185.61368209253</v>
      </c>
      <c r="F215" s="238">
        <f>Solidarité!I209</f>
        <v>-413249.8989216573</v>
      </c>
      <c r="G215" s="8">
        <f>DT!O209</f>
        <v>-190181.50515410962</v>
      </c>
      <c r="H215" s="238">
        <f>Effort!K209+Aide!I209+Taux!J209</f>
        <v>0</v>
      </c>
      <c r="I215" s="316">
        <f t="shared" si="10"/>
        <v>-729617.01775785955</v>
      </c>
      <c r="J215" s="394">
        <f t="shared" si="11"/>
        <v>529506.18297550257</v>
      </c>
      <c r="K215" s="520">
        <f t="shared" si="12"/>
        <v>-200110.83478235698</v>
      </c>
    </row>
    <row r="216" spans="1:11" x14ac:dyDescent="0.25">
      <c r="A216" s="38">
        <f>Données!A210</f>
        <v>5747</v>
      </c>
      <c r="B216" s="27" t="str">
        <f>Données!B210</f>
        <v>Bofflens</v>
      </c>
      <c r="C216" s="26">
        <f>Ecrêtage!C210</f>
        <v>5807.8631884057959</v>
      </c>
      <c r="D216" s="12">
        <f>Données!Z210</f>
        <v>206</v>
      </c>
      <c r="E216" s="8">
        <f>Population!K213</f>
        <v>-26578.973843058346</v>
      </c>
      <c r="F216" s="238">
        <f>Solidarité!I210</f>
        <v>-77339.970030202952</v>
      </c>
      <c r="G216" s="8">
        <f>DT!O210</f>
        <v>-23448.070869565225</v>
      </c>
      <c r="H216" s="238">
        <f>Effort!K210+Aide!I210+Taux!J210</f>
        <v>0</v>
      </c>
      <c r="I216" s="316">
        <f t="shared" si="10"/>
        <v>-127367.01474282653</v>
      </c>
      <c r="J216" s="394">
        <f t="shared" si="11"/>
        <v>111964.48762004345</v>
      </c>
      <c r="K216" s="520">
        <f t="shared" si="12"/>
        <v>-15402.527122783082</v>
      </c>
    </row>
    <row r="217" spans="1:11" x14ac:dyDescent="0.25">
      <c r="A217" s="38">
        <f>Données!A211</f>
        <v>5748</v>
      </c>
      <c r="B217" s="27" t="str">
        <f>Données!B211</f>
        <v>Bretonnières</v>
      </c>
      <c r="C217" s="26">
        <f>Ecrêtage!C211</f>
        <v>6643.1211820330973</v>
      </c>
      <c r="D217" s="12">
        <f>Données!Z211</f>
        <v>266</v>
      </c>
      <c r="E217" s="8">
        <f>Population!K214</f>
        <v>-34320.422535211263</v>
      </c>
      <c r="F217" s="238">
        <f>Solidarité!I211</f>
        <v>-121258.8360835811</v>
      </c>
      <c r="G217" s="8">
        <f>DT!O211</f>
        <v>-57651.022907801416</v>
      </c>
      <c r="H217" s="238">
        <f>Effort!K211+Aide!I211+Taux!J211</f>
        <v>0</v>
      </c>
      <c r="I217" s="316">
        <f t="shared" si="10"/>
        <v>-213230.28152659378</v>
      </c>
      <c r="J217" s="394">
        <f t="shared" si="11"/>
        <v>128066.66328315448</v>
      </c>
      <c r="K217" s="520">
        <f t="shared" si="12"/>
        <v>-85163.618243439298</v>
      </c>
    </row>
    <row r="218" spans="1:11" x14ac:dyDescent="0.25">
      <c r="A218" s="38">
        <f>Données!A212</f>
        <v>5749</v>
      </c>
      <c r="B218" s="27" t="str">
        <f>Données!B212</f>
        <v>Chavornay</v>
      </c>
      <c r="C218" s="26">
        <f>Ecrêtage!C212</f>
        <v>153319.43815602834</v>
      </c>
      <c r="D218" s="12">
        <f>Données!Z212</f>
        <v>5366</v>
      </c>
      <c r="E218" s="8">
        <f>Population!K215</f>
        <v>-2110422.1327967802</v>
      </c>
      <c r="F218" s="238">
        <f>Solidarité!I212</f>
        <v>-2062768.9131646785</v>
      </c>
      <c r="G218" s="8">
        <f>DT!O212</f>
        <v>-633999.04244680877</v>
      </c>
      <c r="H218" s="238">
        <f>Effort!K212+Aide!I212+Taux!J212</f>
        <v>0</v>
      </c>
      <c r="I218" s="316">
        <f t="shared" si="10"/>
        <v>-4807190.0884082671</v>
      </c>
      <c r="J218" s="394">
        <f t="shared" si="11"/>
        <v>2955705.3564212224</v>
      </c>
      <c r="K218" s="520">
        <f t="shared" si="12"/>
        <v>-1851484.7319870447</v>
      </c>
    </row>
    <row r="219" spans="1:11" x14ac:dyDescent="0.25">
      <c r="A219" s="38">
        <f>Données!A213</f>
        <v>5750</v>
      </c>
      <c r="B219" s="27" t="str">
        <f>Données!B213</f>
        <v>Les Clées</v>
      </c>
      <c r="C219" s="26">
        <f>Ecrêtage!C213</f>
        <v>4819.7572916666668</v>
      </c>
      <c r="D219" s="12">
        <f>Données!Z213</f>
        <v>182</v>
      </c>
      <c r="E219" s="8">
        <f>Population!K216</f>
        <v>-23482.394366197179</v>
      </c>
      <c r="F219" s="238">
        <f>Solidarité!I213</f>
        <v>-99815.544272943065</v>
      </c>
      <c r="G219" s="8">
        <f>DT!O213</f>
        <v>-45742.638281249994</v>
      </c>
      <c r="H219" s="238">
        <f>Effort!K213+Aide!I213+Taux!J213</f>
        <v>0</v>
      </c>
      <c r="I219" s="316">
        <f t="shared" si="10"/>
        <v>-169040.57692039025</v>
      </c>
      <c r="J219" s="394">
        <f t="shared" si="11"/>
        <v>92915.696893775006</v>
      </c>
      <c r="K219" s="520">
        <f t="shared" si="12"/>
        <v>-76124.880026615239</v>
      </c>
    </row>
    <row r="220" spans="1:11" x14ac:dyDescent="0.25">
      <c r="A220" s="38">
        <f>Données!A214</f>
        <v>5752</v>
      </c>
      <c r="B220" s="27" t="str">
        <f>Données!B214</f>
        <v>Croy</v>
      </c>
      <c r="C220" s="26">
        <f>Ecrêtage!C214</f>
        <v>9670.8161776061788</v>
      </c>
      <c r="D220" s="12">
        <f>Données!Z214</f>
        <v>390</v>
      </c>
      <c r="E220" s="8">
        <f>Population!K217</f>
        <v>-50319.416498993953</v>
      </c>
      <c r="F220" s="238">
        <f>Solidarité!I214</f>
        <v>-197387.75720749292</v>
      </c>
      <c r="G220" s="8">
        <f>DT!O214</f>
        <v>0</v>
      </c>
      <c r="H220" s="238">
        <f>Effort!K214+Aide!I214+Taux!J214</f>
        <v>0</v>
      </c>
      <c r="I220" s="316">
        <f t="shared" si="10"/>
        <v>-247707.17370648688</v>
      </c>
      <c r="J220" s="394">
        <f t="shared" si="11"/>
        <v>186434.82862248999</v>
      </c>
      <c r="K220" s="520">
        <f t="shared" si="12"/>
        <v>-61272.345083996886</v>
      </c>
    </row>
    <row r="221" spans="1:11" x14ac:dyDescent="0.25">
      <c r="A221" s="38">
        <f>Données!A215</f>
        <v>5754</v>
      </c>
      <c r="B221" s="27" t="str">
        <f>Données!B215</f>
        <v>Juriens</v>
      </c>
      <c r="C221" s="26">
        <f>Ecrêtage!C215</f>
        <v>9073.5155696202528</v>
      </c>
      <c r="D221" s="12">
        <f>Données!Z215</f>
        <v>348</v>
      </c>
      <c r="E221" s="8">
        <f>Population!K218</f>
        <v>-44900.402414486911</v>
      </c>
      <c r="F221" s="238">
        <f>Solidarité!I215</f>
        <v>-189661.96944535879</v>
      </c>
      <c r="G221" s="8">
        <f>DT!O215</f>
        <v>-39155.519905063295</v>
      </c>
      <c r="H221" s="238">
        <f>Effort!K215+Aide!I215+Taux!J215</f>
        <v>0</v>
      </c>
      <c r="I221" s="316">
        <f t="shared" si="10"/>
        <v>-273717.89176490903</v>
      </c>
      <c r="J221" s="394">
        <f t="shared" si="11"/>
        <v>174920.01596956977</v>
      </c>
      <c r="K221" s="520">
        <f t="shared" si="12"/>
        <v>-98797.875795339263</v>
      </c>
    </row>
    <row r="222" spans="1:11" x14ac:dyDescent="0.25">
      <c r="A222" s="38">
        <f>Données!A216</f>
        <v>5755</v>
      </c>
      <c r="B222" s="27" t="str">
        <f>Données!B216</f>
        <v>Lignerolle</v>
      </c>
      <c r="C222" s="26">
        <f>Ecrêtage!C216</f>
        <v>10745.60797088262</v>
      </c>
      <c r="D222" s="12">
        <f>Données!Z216</f>
        <v>409</v>
      </c>
      <c r="E222" s="8">
        <f>Population!K219</f>
        <v>-52770.875251509045</v>
      </c>
      <c r="F222" s="238">
        <f>Solidarité!I216</f>
        <v>-218085.34766747311</v>
      </c>
      <c r="G222" s="8">
        <f>DT!O216</f>
        <v>-290805.39619654231</v>
      </c>
      <c r="H222" s="238">
        <f>Effort!K216+Aide!I216+Taux!J216</f>
        <v>0</v>
      </c>
      <c r="I222" s="316">
        <f t="shared" si="10"/>
        <v>-561661.61911552446</v>
      </c>
      <c r="J222" s="394">
        <f t="shared" si="11"/>
        <v>207154.75754103882</v>
      </c>
      <c r="K222" s="520">
        <f t="shared" si="12"/>
        <v>-354506.86157448567</v>
      </c>
    </row>
    <row r="223" spans="1:11" x14ac:dyDescent="0.25">
      <c r="A223" s="38">
        <f>Données!A217</f>
        <v>5756</v>
      </c>
      <c r="B223" s="27" t="str">
        <f>Données!B217</f>
        <v>Montcherand</v>
      </c>
      <c r="C223" s="26">
        <f>Ecrêtage!C217</f>
        <v>17738.051111111108</v>
      </c>
      <c r="D223" s="12">
        <f>Données!Z217</f>
        <v>502</v>
      </c>
      <c r="E223" s="8">
        <f>Population!K220</f>
        <v>-64770.120724346059</v>
      </c>
      <c r="F223" s="238">
        <f>Solidarité!I217</f>
        <v>-130972.18435173854</v>
      </c>
      <c r="G223" s="8">
        <f>DT!O217</f>
        <v>-35091.443333333351</v>
      </c>
      <c r="H223" s="238">
        <f>Effort!K217+Aide!I217+Taux!J217</f>
        <v>0</v>
      </c>
      <c r="I223" s="316">
        <f t="shared" si="10"/>
        <v>-230833.74840941795</v>
      </c>
      <c r="J223" s="394">
        <f t="shared" si="11"/>
        <v>341955.67967206967</v>
      </c>
      <c r="K223" s="520">
        <f t="shared" si="12"/>
        <v>111121.93126265172</v>
      </c>
    </row>
    <row r="224" spans="1:11" x14ac:dyDescent="0.25">
      <c r="A224" s="38">
        <f>Données!A218</f>
        <v>5757</v>
      </c>
      <c r="B224" s="27" t="str">
        <f>Données!B218</f>
        <v>Orbe</v>
      </c>
      <c r="C224" s="26">
        <f>Ecrêtage!C218</f>
        <v>216123.53284768213</v>
      </c>
      <c r="D224" s="12">
        <f>Données!Z218</f>
        <v>7570</v>
      </c>
      <c r="E224" s="8">
        <f>Population!K221</f>
        <v>-3475394.3661971823</v>
      </c>
      <c r="F224" s="238">
        <f>Solidarité!I218</f>
        <v>-3341283.2760237386</v>
      </c>
      <c r="G224" s="8">
        <f>DT!O218</f>
        <v>-1991099.0529139072</v>
      </c>
      <c r="H224" s="238">
        <f>Effort!K218+Aide!I218+Taux!J218</f>
        <v>0</v>
      </c>
      <c r="I224" s="316">
        <f t="shared" si="10"/>
        <v>-8807776.6951348279</v>
      </c>
      <c r="J224" s="394">
        <f t="shared" si="11"/>
        <v>4166448.1123162489</v>
      </c>
      <c r="K224" s="520">
        <f t="shared" si="12"/>
        <v>-4641328.5828185789</v>
      </c>
    </row>
    <row r="225" spans="1:11" x14ac:dyDescent="0.25">
      <c r="A225" s="38">
        <f>Données!A219</f>
        <v>5758</v>
      </c>
      <c r="B225" s="27" t="str">
        <f>Données!B219</f>
        <v>La Praz</v>
      </c>
      <c r="C225" s="26">
        <f>Ecrêtage!C219</f>
        <v>4771.6656626506028</v>
      </c>
      <c r="D225" s="12">
        <f>Données!Z219</f>
        <v>182</v>
      </c>
      <c r="E225" s="8">
        <f>Population!K222</f>
        <v>-23482.394366197179</v>
      </c>
      <c r="F225" s="238">
        <f>Solidarité!I219</f>
        <v>-108765.60038654142</v>
      </c>
      <c r="G225" s="8">
        <f>DT!O219</f>
        <v>-39990.506024096379</v>
      </c>
      <c r="H225" s="238">
        <f>Effort!K219+Aide!I219+Taux!J219</f>
        <v>0</v>
      </c>
      <c r="I225" s="316">
        <f t="shared" si="10"/>
        <v>-172238.50077683496</v>
      </c>
      <c r="J225" s="394">
        <f t="shared" si="11"/>
        <v>91988.582320493399</v>
      </c>
      <c r="K225" s="520">
        <f t="shared" si="12"/>
        <v>-80249.918456341562</v>
      </c>
    </row>
    <row r="226" spans="1:11" x14ac:dyDescent="0.25">
      <c r="A226" s="38">
        <f>Données!A220</f>
        <v>5759</v>
      </c>
      <c r="B226" s="27" t="str">
        <f>Données!B220</f>
        <v>Premier</v>
      </c>
      <c r="C226" s="26">
        <f>Ecrêtage!C220</f>
        <v>5899.9776100628924</v>
      </c>
      <c r="D226" s="12">
        <f>Données!Z220</f>
        <v>232</v>
      </c>
      <c r="E226" s="8">
        <f>Population!K223</f>
        <v>-29933.601609657941</v>
      </c>
      <c r="F226" s="238">
        <f>Solidarité!I220</f>
        <v>-131809.79847870325</v>
      </c>
      <c r="G226" s="8">
        <f>DT!O220</f>
        <v>-72846.90113207548</v>
      </c>
      <c r="H226" s="238">
        <f>Effort!K220+Aide!I220+Taux!J220</f>
        <v>0</v>
      </c>
      <c r="I226" s="316">
        <f t="shared" si="10"/>
        <v>-234590.30122043664</v>
      </c>
      <c r="J226" s="394">
        <f t="shared" si="11"/>
        <v>113740.27738792956</v>
      </c>
      <c r="K226" s="520">
        <f t="shared" si="12"/>
        <v>-120850.02383250708</v>
      </c>
    </row>
    <row r="227" spans="1:11" x14ac:dyDescent="0.25">
      <c r="A227" s="38">
        <f>Données!A221</f>
        <v>5760</v>
      </c>
      <c r="B227" s="27" t="str">
        <f>Données!B221</f>
        <v>Rances</v>
      </c>
      <c r="C227" s="26">
        <f>Ecrêtage!C221</f>
        <v>14480.898997821349</v>
      </c>
      <c r="D227" s="12">
        <f>Données!Z221</f>
        <v>512</v>
      </c>
      <c r="E227" s="8">
        <f>Population!K224</f>
        <v>-66060.362173038215</v>
      </c>
      <c r="F227" s="238">
        <f>Solidarité!I221</f>
        <v>-235211.15975198336</v>
      </c>
      <c r="G227" s="8">
        <f>DT!O221</f>
        <v>-127525.43176470591</v>
      </c>
      <c r="H227" s="238">
        <f>Effort!K221+Aide!I221+Taux!J221</f>
        <v>0</v>
      </c>
      <c r="I227" s="316">
        <f t="shared" si="10"/>
        <v>-428796.95368972747</v>
      </c>
      <c r="J227" s="394">
        <f t="shared" si="11"/>
        <v>279164.02022095711</v>
      </c>
      <c r="K227" s="520">
        <f t="shared" si="12"/>
        <v>-149632.93346877035</v>
      </c>
    </row>
    <row r="228" spans="1:11" x14ac:dyDescent="0.25">
      <c r="A228" s="38">
        <f>Données!A222</f>
        <v>5761</v>
      </c>
      <c r="B228" s="27" t="str">
        <f>Données!B222</f>
        <v>Romainmôtier-Envy</v>
      </c>
      <c r="C228" s="26">
        <f>Ecrêtage!C222</f>
        <v>12913.442693602694</v>
      </c>
      <c r="D228" s="12">
        <f>Données!Z222</f>
        <v>551</v>
      </c>
      <c r="E228" s="8">
        <f>Population!K225</f>
        <v>-71092.303822937611</v>
      </c>
      <c r="F228" s="238">
        <f>Solidarité!I222</f>
        <v>-353778.37944914406</v>
      </c>
      <c r="G228" s="8">
        <f>DT!O222</f>
        <v>-171189.76181818184</v>
      </c>
      <c r="H228" s="238">
        <f>Effort!K222+Aide!I222+Taux!J222</f>
        <v>0</v>
      </c>
      <c r="I228" s="316">
        <f t="shared" si="10"/>
        <v>-596060.4450902635</v>
      </c>
      <c r="J228" s="394">
        <f t="shared" si="11"/>
        <v>248946.46235578609</v>
      </c>
      <c r="K228" s="520">
        <f t="shared" si="12"/>
        <v>-347113.98273447738</v>
      </c>
    </row>
    <row r="229" spans="1:11" x14ac:dyDescent="0.25">
      <c r="A229" s="38">
        <f>Données!A223</f>
        <v>5762</v>
      </c>
      <c r="B229" s="27" t="str">
        <f>Données!B223</f>
        <v>Sergey</v>
      </c>
      <c r="C229" s="26">
        <f>Ecrêtage!C223</f>
        <v>3849.5166666666673</v>
      </c>
      <c r="D229" s="12">
        <f>Données!Z223</f>
        <v>141</v>
      </c>
      <c r="E229" s="8">
        <f>Population!K226</f>
        <v>-18192.404426559351</v>
      </c>
      <c r="F229" s="238">
        <f>Solidarité!I223</f>
        <v>-70703.545733123145</v>
      </c>
      <c r="G229" s="8">
        <f>DT!O223</f>
        <v>-26437.012499999993</v>
      </c>
      <c r="H229" s="238">
        <f>Effort!K223+Aide!I223+Taux!J223</f>
        <v>0</v>
      </c>
      <c r="I229" s="316">
        <f t="shared" si="10"/>
        <v>-115332.9626596825</v>
      </c>
      <c r="J229" s="394">
        <f t="shared" si="11"/>
        <v>74211.314417421556</v>
      </c>
      <c r="K229" s="520">
        <f t="shared" si="12"/>
        <v>-41121.648242260941</v>
      </c>
    </row>
    <row r="230" spans="1:11" x14ac:dyDescent="0.25">
      <c r="A230" s="38">
        <f>Données!A224</f>
        <v>5763</v>
      </c>
      <c r="B230" s="27" t="str">
        <f>Données!B224</f>
        <v>Valeyres-sous-Rances</v>
      </c>
      <c r="C230" s="26">
        <f>Ecrêtage!C224</f>
        <v>22662.54088235294</v>
      </c>
      <c r="D230" s="12">
        <f>Données!Z224</f>
        <v>614</v>
      </c>
      <c r="E230" s="8">
        <f>Population!K227</f>
        <v>-79220.824949698173</v>
      </c>
      <c r="F230" s="238">
        <f>Solidarité!I224</f>
        <v>-125025.48483323432</v>
      </c>
      <c r="G230" s="8">
        <f>DT!O224</f>
        <v>-71466.099044117655</v>
      </c>
      <c r="H230" s="238">
        <f>Effort!K224+Aide!I224+Taux!J224</f>
        <v>0</v>
      </c>
      <c r="I230" s="316">
        <f t="shared" si="10"/>
        <v>-275712.40882705018</v>
      </c>
      <c r="J230" s="394">
        <f t="shared" si="11"/>
        <v>436890.41834289947</v>
      </c>
      <c r="K230" s="520">
        <f t="shared" si="12"/>
        <v>161178.00951584929</v>
      </c>
    </row>
    <row r="231" spans="1:11" x14ac:dyDescent="0.25">
      <c r="A231" s="38">
        <f>Données!A225</f>
        <v>5764</v>
      </c>
      <c r="B231" s="27" t="str">
        <f>Données!B225</f>
        <v>Vallorbe</v>
      </c>
      <c r="C231" s="26">
        <f>Ecrêtage!C225</f>
        <v>83671.674265734255</v>
      </c>
      <c r="D231" s="12">
        <f>Données!Z225</f>
        <v>3924</v>
      </c>
      <c r="E231" s="8">
        <f>Population!K228</f>
        <v>-1328432.5955734404</v>
      </c>
      <c r="F231" s="238">
        <f>Solidarité!I225</f>
        <v>-2132498.1758999545</v>
      </c>
      <c r="G231" s="8">
        <f>DT!O225</f>
        <v>-2160254.1987062935</v>
      </c>
      <c r="H231" s="238">
        <f>Effort!K225+Aide!I225+Taux!J225</f>
        <v>0</v>
      </c>
      <c r="I231" s="316">
        <f t="shared" si="10"/>
        <v>-5621184.9701796882</v>
      </c>
      <c r="J231" s="394">
        <f t="shared" si="11"/>
        <v>1613029.755276589</v>
      </c>
      <c r="K231" s="520">
        <f t="shared" si="12"/>
        <v>-4008155.2149030995</v>
      </c>
    </row>
    <row r="232" spans="1:11" x14ac:dyDescent="0.25">
      <c r="A232" s="38">
        <f>Données!A226</f>
        <v>5765</v>
      </c>
      <c r="B232" s="27" t="str">
        <f>Données!B226</f>
        <v>Vaulion</v>
      </c>
      <c r="C232" s="26">
        <f>Ecrêtage!C226</f>
        <v>10278.622098765432</v>
      </c>
      <c r="D232" s="12">
        <f>Données!Z226</f>
        <v>492</v>
      </c>
      <c r="E232" s="8">
        <f>Population!K229</f>
        <v>-63479.879275653911</v>
      </c>
      <c r="F232" s="238">
        <f>Solidarité!I226</f>
        <v>-348714.06516022375</v>
      </c>
      <c r="G232" s="8">
        <f>DT!O226</f>
        <v>-132540.0174074074</v>
      </c>
      <c r="H232" s="238">
        <f>Effort!K226+Aide!I226+Taux!J226</f>
        <v>0</v>
      </c>
      <c r="I232" s="316">
        <f t="shared" si="10"/>
        <v>-544733.96184328501</v>
      </c>
      <c r="J232" s="394">
        <f t="shared" si="11"/>
        <v>198152.16360911253</v>
      </c>
      <c r="K232" s="520">
        <f t="shared" si="12"/>
        <v>-346581.79823417251</v>
      </c>
    </row>
    <row r="233" spans="1:11" x14ac:dyDescent="0.25">
      <c r="A233" s="38">
        <f>Données!A227</f>
        <v>5766</v>
      </c>
      <c r="B233" s="27" t="str">
        <f>Données!B227</f>
        <v>Vuiteboeuf</v>
      </c>
      <c r="C233" s="26">
        <f>Ecrêtage!C227</f>
        <v>15553.757238095239</v>
      </c>
      <c r="D233" s="12">
        <f>Données!Z227</f>
        <v>591</v>
      </c>
      <c r="E233" s="8">
        <f>Population!K230</f>
        <v>-76253.269617706217</v>
      </c>
      <c r="F233" s="238">
        <f>Solidarité!I227</f>
        <v>-287061.13423161331</v>
      </c>
      <c r="G233" s="8">
        <f>DT!O227</f>
        <v>-60807.138642857142</v>
      </c>
      <c r="H233" s="238">
        <f>Effort!K227+Aide!I227+Taux!J227</f>
        <v>0</v>
      </c>
      <c r="I233" s="316">
        <f t="shared" si="10"/>
        <v>-424121.5424921767</v>
      </c>
      <c r="J233" s="394">
        <f t="shared" si="11"/>
        <v>299846.67393790529</v>
      </c>
      <c r="K233" s="520">
        <f t="shared" si="12"/>
        <v>-124274.86855427141</v>
      </c>
    </row>
    <row r="234" spans="1:11" x14ac:dyDescent="0.25">
      <c r="A234" s="38">
        <f>Données!A228</f>
        <v>5785</v>
      </c>
      <c r="B234" s="27" t="str">
        <f>Données!B228</f>
        <v>Corcelles-le-Jorat</v>
      </c>
      <c r="C234" s="26">
        <f>Ecrêtage!C228</f>
        <v>14579.038701298701</v>
      </c>
      <c r="D234" s="12">
        <f>Données!Z228</f>
        <v>489</v>
      </c>
      <c r="E234" s="8">
        <f>Population!K231</f>
        <v>-63092.806841046266</v>
      </c>
      <c r="F234" s="238">
        <f>Solidarité!I228</f>
        <v>-209858.82929264297</v>
      </c>
      <c r="G234" s="8">
        <f>DT!O228</f>
        <v>-61813.238766233771</v>
      </c>
      <c r="H234" s="238">
        <f>Effort!K228+Aide!I228+Taux!J228</f>
        <v>0</v>
      </c>
      <c r="I234" s="316">
        <f t="shared" si="10"/>
        <v>-334764.87489992304</v>
      </c>
      <c r="J234" s="394">
        <f t="shared" si="11"/>
        <v>281055.96589160588</v>
      </c>
      <c r="K234" s="520">
        <f t="shared" si="12"/>
        <v>-53708.909008317161</v>
      </c>
    </row>
    <row r="235" spans="1:11" x14ac:dyDescent="0.25">
      <c r="A235" s="38">
        <f>Données!A229</f>
        <v>5790</v>
      </c>
      <c r="B235" s="27" t="str">
        <f>Données!B229</f>
        <v>Maracon</v>
      </c>
      <c r="C235" s="26">
        <f>Ecrêtage!C229</f>
        <v>15171.684832214765</v>
      </c>
      <c r="D235" s="12">
        <f>Données!Z229</f>
        <v>547</v>
      </c>
      <c r="E235" s="8">
        <f>Population!K232</f>
        <v>-70576.207243460754</v>
      </c>
      <c r="F235" s="238">
        <f>Solidarité!I229</f>
        <v>-244954.74413709834</v>
      </c>
      <c r="G235" s="8">
        <f>DT!O229</f>
        <v>-108370.14100671142</v>
      </c>
      <c r="H235" s="238">
        <f>Effort!K229+Aide!I229+Taux!J229</f>
        <v>0</v>
      </c>
      <c r="I235" s="316">
        <f t="shared" si="10"/>
        <v>-423901.09238727053</v>
      </c>
      <c r="J235" s="394">
        <f t="shared" si="11"/>
        <v>292481.04913400783</v>
      </c>
      <c r="K235" s="520">
        <f t="shared" si="12"/>
        <v>-131420.0432532627</v>
      </c>
    </row>
    <row r="236" spans="1:11" x14ac:dyDescent="0.25">
      <c r="A236" s="38">
        <f>Données!A230</f>
        <v>5792</v>
      </c>
      <c r="B236" s="27" t="str">
        <f>Données!B230</f>
        <v>Montpreveyres</v>
      </c>
      <c r="C236" s="26">
        <f>Ecrêtage!C230</f>
        <v>20162.237880794706</v>
      </c>
      <c r="D236" s="12">
        <f>Données!Z230</f>
        <v>662</v>
      </c>
      <c r="E236" s="8">
        <f>Population!K233</f>
        <v>-85413.983903420507</v>
      </c>
      <c r="F236" s="238">
        <f>Solidarité!I230</f>
        <v>-263455.48845556128</v>
      </c>
      <c r="G236" s="8">
        <f>DT!O230</f>
        <v>-145881.07271523177</v>
      </c>
      <c r="H236" s="238">
        <f>Effort!K230+Aide!I230+Taux!J230</f>
        <v>0</v>
      </c>
      <c r="I236" s="316">
        <f t="shared" si="10"/>
        <v>-494750.54507421353</v>
      </c>
      <c r="J236" s="394">
        <f t="shared" si="11"/>
        <v>388689.36136497732</v>
      </c>
      <c r="K236" s="520">
        <f t="shared" si="12"/>
        <v>-106061.18370923621</v>
      </c>
    </row>
    <row r="237" spans="1:11" x14ac:dyDescent="0.25">
      <c r="A237" s="38">
        <f>Données!A231</f>
        <v>5798</v>
      </c>
      <c r="B237" s="27" t="str">
        <f>Données!B231</f>
        <v>Ropraz</v>
      </c>
      <c r="C237" s="26">
        <f>Ecrêtage!C231</f>
        <v>17442.468645161291</v>
      </c>
      <c r="D237" s="12">
        <f>Données!Z231</f>
        <v>534</v>
      </c>
      <c r="E237" s="8">
        <f>Population!K234</f>
        <v>-68898.893360160946</v>
      </c>
      <c r="F237" s="238">
        <f>Solidarité!I231</f>
        <v>-195642.21843632081</v>
      </c>
      <c r="G237" s="8">
        <f>DT!O231</f>
        <v>-51752.438129032256</v>
      </c>
      <c r="H237" s="238">
        <f>Effort!K231+Aide!I231+Taux!J231</f>
        <v>0</v>
      </c>
      <c r="I237" s="316">
        <f t="shared" si="10"/>
        <v>-316293.54992551403</v>
      </c>
      <c r="J237" s="394">
        <f t="shared" si="11"/>
        <v>336257.41539208335</v>
      </c>
      <c r="K237" s="520">
        <f t="shared" si="12"/>
        <v>19963.865466569318</v>
      </c>
    </row>
    <row r="238" spans="1:11" x14ac:dyDescent="0.25">
      <c r="A238" s="38">
        <f>Données!A232</f>
        <v>5799</v>
      </c>
      <c r="B238" s="27" t="str">
        <f>Données!B232</f>
        <v>Servion</v>
      </c>
      <c r="C238" s="26">
        <f>Ecrêtage!C232</f>
        <v>71741.835797101463</v>
      </c>
      <c r="D238" s="12">
        <f>Données!Z232</f>
        <v>2107</v>
      </c>
      <c r="E238" s="8">
        <f>Population!K235</f>
        <v>-528947.384305835</v>
      </c>
      <c r="F238" s="238">
        <f>Solidarité!I232</f>
        <v>-556377.61568812374</v>
      </c>
      <c r="G238" s="8">
        <f>DT!O232</f>
        <v>-337642.73521739122</v>
      </c>
      <c r="H238" s="238">
        <f>Effort!K232+Aide!I232+Taux!J232</f>
        <v>0</v>
      </c>
      <c r="I238" s="316">
        <f t="shared" si="10"/>
        <v>-1422967.73521135</v>
      </c>
      <c r="J238" s="394">
        <f t="shared" si="11"/>
        <v>1383045.300030322</v>
      </c>
      <c r="K238" s="520">
        <f t="shared" si="12"/>
        <v>-39922.435181027977</v>
      </c>
    </row>
    <row r="239" spans="1:11" x14ac:dyDescent="0.25">
      <c r="A239" s="38">
        <f>Données!A233</f>
        <v>5803</v>
      </c>
      <c r="B239" s="27" t="str">
        <f>Données!B233</f>
        <v>Vulliens</v>
      </c>
      <c r="C239" s="26">
        <f>Ecrêtage!C233</f>
        <v>17996.04157894737</v>
      </c>
      <c r="D239" s="12">
        <f>Données!Z233</f>
        <v>631</v>
      </c>
      <c r="E239" s="8">
        <f>Population!K236</f>
        <v>-81414.235412474838</v>
      </c>
      <c r="F239" s="238">
        <f>Solidarité!I233</f>
        <v>-282653.6513822772</v>
      </c>
      <c r="G239" s="8">
        <f>DT!O233</f>
        <v>-58713.50052631578</v>
      </c>
      <c r="H239" s="238">
        <f>Effort!K233+Aide!I233+Taux!J233</f>
        <v>0</v>
      </c>
      <c r="I239" s="316">
        <f t="shared" si="10"/>
        <v>-422781.3873210678</v>
      </c>
      <c r="J239" s="394">
        <f t="shared" si="11"/>
        <v>346929.24216916959</v>
      </c>
      <c r="K239" s="520">
        <f t="shared" si="12"/>
        <v>-75852.145151898207</v>
      </c>
    </row>
    <row r="240" spans="1:11" x14ac:dyDescent="0.25">
      <c r="A240" s="38">
        <f>Données!A234</f>
        <v>5804</v>
      </c>
      <c r="B240" s="27" t="str">
        <f>Données!B234</f>
        <v>Jorat-Menthue</v>
      </c>
      <c r="C240" s="26">
        <f>Ecrêtage!C234</f>
        <v>46853.078156028365</v>
      </c>
      <c r="D240" s="12">
        <f>Données!Z234</f>
        <v>1603</v>
      </c>
      <c r="E240" s="8">
        <f>Population!K237</f>
        <v>-346868.51106639835</v>
      </c>
      <c r="F240" s="238">
        <f>Solidarité!I234</f>
        <v>-595337.64112481009</v>
      </c>
      <c r="G240" s="8">
        <f>DT!O234</f>
        <v>-531397.72244680848</v>
      </c>
      <c r="H240" s="238">
        <f>Effort!K234+Aide!I234+Taux!J234</f>
        <v>0</v>
      </c>
      <c r="I240" s="316">
        <f t="shared" si="10"/>
        <v>-1473603.8746380168</v>
      </c>
      <c r="J240" s="394">
        <f t="shared" si="11"/>
        <v>903237.68294574984</v>
      </c>
      <c r="K240" s="520">
        <f t="shared" si="12"/>
        <v>-570366.19169226696</v>
      </c>
    </row>
    <row r="241" spans="1:11" x14ac:dyDescent="0.25">
      <c r="A241" s="38">
        <f>Données!A235</f>
        <v>5805</v>
      </c>
      <c r="B241" s="27" t="str">
        <f>Données!B235</f>
        <v>Oron</v>
      </c>
      <c r="C241" s="26">
        <f>Ecrêtage!C235</f>
        <v>175444.22906111775</v>
      </c>
      <c r="D241" s="12">
        <f>Données!Z235</f>
        <v>6100</v>
      </c>
      <c r="E241" s="8">
        <f>Population!K238</f>
        <v>-2564999.9999999995</v>
      </c>
      <c r="F241" s="238">
        <f>Solidarité!I235</f>
        <v>-2236549.8595506079</v>
      </c>
      <c r="G241" s="8">
        <f>DT!O235</f>
        <v>-973834.62563329353</v>
      </c>
      <c r="H241" s="238">
        <f>Effort!K235+Aide!I235+Taux!J235</f>
        <v>0</v>
      </c>
      <c r="I241" s="316">
        <f t="shared" si="10"/>
        <v>-5775384.4851839012</v>
      </c>
      <c r="J241" s="394">
        <f t="shared" si="11"/>
        <v>3382228.9843080048</v>
      </c>
      <c r="K241" s="520">
        <f t="shared" si="12"/>
        <v>-2393155.5008758963</v>
      </c>
    </row>
    <row r="242" spans="1:11" x14ac:dyDescent="0.25">
      <c r="A242" s="38">
        <f>Données!A236</f>
        <v>5806</v>
      </c>
      <c r="B242" s="27" t="str">
        <f>Données!B236</f>
        <v>Jorat-Mézières</v>
      </c>
      <c r="C242" s="26">
        <f>Ecrêtage!C236</f>
        <v>102069.34178082191</v>
      </c>
      <c r="D242" s="12">
        <f>Données!Z236</f>
        <v>3095</v>
      </c>
      <c r="E242" s="8">
        <f>Population!K239</f>
        <v>-900588.53118712257</v>
      </c>
      <c r="F242" s="238">
        <f>Solidarité!I236</f>
        <v>-985306.79144465772</v>
      </c>
      <c r="G242" s="8">
        <f>DT!O236</f>
        <v>-409927.69931506854</v>
      </c>
      <c r="H242" s="238">
        <f>Effort!K236+Aide!I236+Taux!J236</f>
        <v>0</v>
      </c>
      <c r="I242" s="316">
        <f t="shared" si="10"/>
        <v>-2295823.0219468488</v>
      </c>
      <c r="J242" s="394">
        <f t="shared" si="11"/>
        <v>1967701.5768929874</v>
      </c>
      <c r="K242" s="520">
        <f t="shared" si="12"/>
        <v>-328121.44505386148</v>
      </c>
    </row>
    <row r="243" spans="1:11" x14ac:dyDescent="0.25">
      <c r="A243" s="38">
        <f>Données!A237</f>
        <v>5812</v>
      </c>
      <c r="B243" s="27" t="str">
        <f>Données!B237</f>
        <v>Champtauroz</v>
      </c>
      <c r="C243" s="26">
        <f>Ecrêtage!C237</f>
        <v>3351.3333766233759</v>
      </c>
      <c r="D243" s="12">
        <f>Données!Z237</f>
        <v>169</v>
      </c>
      <c r="E243" s="8">
        <f>Population!K240</f>
        <v>-21805.080482897378</v>
      </c>
      <c r="F243" s="238">
        <f>Solidarité!I237</f>
        <v>-112491.27114871025</v>
      </c>
      <c r="G243" s="8">
        <f>DT!O237</f>
        <v>-20320.749740259744</v>
      </c>
      <c r="H243" s="238">
        <f>Effort!K237+Aide!I237+Taux!J237</f>
        <v>0</v>
      </c>
      <c r="I243" s="316">
        <f t="shared" si="10"/>
        <v>-154617.10137186738</v>
      </c>
      <c r="J243" s="394">
        <f t="shared" si="11"/>
        <v>64607.29397115561</v>
      </c>
      <c r="K243" s="520">
        <f t="shared" si="12"/>
        <v>-90009.807400711768</v>
      </c>
    </row>
    <row r="244" spans="1:11" x14ac:dyDescent="0.25">
      <c r="A244" s="38">
        <f>Données!A238</f>
        <v>5813</v>
      </c>
      <c r="B244" s="27" t="str">
        <f>Données!B238</f>
        <v>Chevroux</v>
      </c>
      <c r="C244" s="26">
        <f>Ecrêtage!C238</f>
        <v>15275.291313868614</v>
      </c>
      <c r="D244" s="12">
        <f>Données!Z238</f>
        <v>506</v>
      </c>
      <c r="E244" s="8">
        <f>Population!K241</f>
        <v>-65286.217303822923</v>
      </c>
      <c r="F244" s="238">
        <f>Solidarité!I238</f>
        <v>-168306.94347079363</v>
      </c>
      <c r="G244" s="8">
        <f>DT!O238</f>
        <v>-344441.0021167883</v>
      </c>
      <c r="H244" s="238">
        <f>Effort!K238+Aide!I238+Taux!J238</f>
        <v>0</v>
      </c>
      <c r="I244" s="316">
        <f t="shared" si="10"/>
        <v>-578034.16289140482</v>
      </c>
      <c r="J244" s="394">
        <f t="shared" si="11"/>
        <v>294478.38382598996</v>
      </c>
      <c r="K244" s="520">
        <f t="shared" si="12"/>
        <v>-283555.77906541486</v>
      </c>
    </row>
    <row r="245" spans="1:11" x14ac:dyDescent="0.25">
      <c r="A245" s="38">
        <f>Données!A239</f>
        <v>5816</v>
      </c>
      <c r="B245" s="27" t="str">
        <f>Données!B239</f>
        <v>Corcelles-près-Payerne</v>
      </c>
      <c r="C245" s="26">
        <f>Ecrêtage!C239</f>
        <v>65640.914577685078</v>
      </c>
      <c r="D245" s="12">
        <f>Données!Z239</f>
        <v>2722</v>
      </c>
      <c r="E245" s="8">
        <f>Population!K242</f>
        <v>-751126.96177062369</v>
      </c>
      <c r="F245" s="238">
        <f>Solidarité!I239</f>
        <v>-1215286.4148240923</v>
      </c>
      <c r="G245" s="8">
        <f>DT!O239</f>
        <v>-377106.5125338895</v>
      </c>
      <c r="H245" s="238">
        <f>Effort!K239+Aide!I239+Taux!J239</f>
        <v>0</v>
      </c>
      <c r="I245" s="316">
        <f t="shared" si="10"/>
        <v>-2343519.8891286054</v>
      </c>
      <c r="J245" s="394">
        <f t="shared" si="11"/>
        <v>1265431.2144048465</v>
      </c>
      <c r="K245" s="520">
        <f t="shared" si="12"/>
        <v>-1078088.6747237588</v>
      </c>
    </row>
    <row r="246" spans="1:11" x14ac:dyDescent="0.25">
      <c r="A246" s="38">
        <f>Données!A240</f>
        <v>5817</v>
      </c>
      <c r="B246" s="27" t="str">
        <f>Données!B240</f>
        <v>Grandcour</v>
      </c>
      <c r="C246" s="26">
        <f>Ecrêtage!C240</f>
        <v>24621.518775510202</v>
      </c>
      <c r="D246" s="12">
        <f>Données!Z240</f>
        <v>987</v>
      </c>
      <c r="E246" s="8">
        <f>Population!K243</f>
        <v>-127346.83098591547</v>
      </c>
      <c r="F246" s="238">
        <f>Solidarité!I240</f>
        <v>-489644.452641165</v>
      </c>
      <c r="G246" s="8">
        <f>DT!O240</f>
        <v>-158104.74826530615</v>
      </c>
      <c r="H246" s="238">
        <f>Effort!K240+Aide!I240+Taux!J240</f>
        <v>0</v>
      </c>
      <c r="I246" s="316">
        <f t="shared" si="10"/>
        <v>-775096.03189238661</v>
      </c>
      <c r="J246" s="394">
        <f t="shared" si="11"/>
        <v>474655.76317819179</v>
      </c>
      <c r="K246" s="520">
        <f t="shared" si="12"/>
        <v>-300440.26871419483</v>
      </c>
    </row>
    <row r="247" spans="1:11" x14ac:dyDescent="0.25">
      <c r="A247" s="38">
        <f>Données!A241</f>
        <v>5819</v>
      </c>
      <c r="B247" s="27" t="str">
        <f>Données!B241</f>
        <v>Henniez</v>
      </c>
      <c r="C247" s="26">
        <f>Ecrêtage!C241</f>
        <v>10100.670434782607</v>
      </c>
      <c r="D247" s="12">
        <f>Données!Z241</f>
        <v>407</v>
      </c>
      <c r="E247" s="8">
        <f>Population!K244</f>
        <v>-52512.82696177061</v>
      </c>
      <c r="F247" s="238">
        <f>Solidarité!I241</f>
        <v>-178937.55889349137</v>
      </c>
      <c r="G247" s="8">
        <f>DT!O241</f>
        <v>-132559.97739130433</v>
      </c>
      <c r="H247" s="238">
        <f>Effort!K241+Aide!I241+Taux!J241</f>
        <v>0</v>
      </c>
      <c r="I247" s="316">
        <f t="shared" si="10"/>
        <v>-364010.36324656632</v>
      </c>
      <c r="J247" s="394">
        <f t="shared" si="11"/>
        <v>194721.59607805466</v>
      </c>
      <c r="K247" s="520">
        <f t="shared" si="12"/>
        <v>-169288.76716851167</v>
      </c>
    </row>
    <row r="248" spans="1:11" x14ac:dyDescent="0.25">
      <c r="A248" s="38">
        <f>Données!A242</f>
        <v>5821</v>
      </c>
      <c r="B248" s="27" t="str">
        <f>Données!B242</f>
        <v>Missy</v>
      </c>
      <c r="C248" s="26">
        <f>Ecrêtage!C242</f>
        <v>8044.3988888888889</v>
      </c>
      <c r="D248" s="12">
        <f>Données!Z242</f>
        <v>366</v>
      </c>
      <c r="E248" s="8">
        <f>Population!K245</f>
        <v>-47222.837022132786</v>
      </c>
      <c r="F248" s="238">
        <f>Solidarité!I242</f>
        <v>-196720.70142087867</v>
      </c>
      <c r="G248" s="8">
        <f>DT!O242</f>
        <v>-27040.356666666667</v>
      </c>
      <c r="H248" s="238">
        <f>Effort!K242+Aide!I242+Taux!J242</f>
        <v>0</v>
      </c>
      <c r="I248" s="316">
        <f t="shared" si="10"/>
        <v>-270983.89510967815</v>
      </c>
      <c r="J248" s="394">
        <f t="shared" si="11"/>
        <v>155080.6158112897</v>
      </c>
      <c r="K248" s="520">
        <f t="shared" si="12"/>
        <v>-115903.27929838846</v>
      </c>
    </row>
    <row r="249" spans="1:11" x14ac:dyDescent="0.25">
      <c r="A249" s="38">
        <f>Données!A243</f>
        <v>5822</v>
      </c>
      <c r="B249" s="27" t="str">
        <f>Données!B243</f>
        <v>Payerne</v>
      </c>
      <c r="C249" s="26">
        <f>Ecrêtage!C243</f>
        <v>239936.5750684932</v>
      </c>
      <c r="D249" s="12">
        <f>Données!Z243</f>
        <v>10258</v>
      </c>
      <c r="E249" s="8">
        <f>Population!K246</f>
        <v>-5464740.2414486911</v>
      </c>
      <c r="F249" s="238">
        <f>Solidarité!I243</f>
        <v>-5359645.8692478407</v>
      </c>
      <c r="G249" s="8">
        <f>DT!O243</f>
        <v>-1620792.2995890407</v>
      </c>
      <c r="H249" s="238">
        <f>Effort!K243+Aide!I243+Taux!J243</f>
        <v>92591.626073683918</v>
      </c>
      <c r="I249" s="316">
        <f t="shared" si="10"/>
        <v>-12352586.784211889</v>
      </c>
      <c r="J249" s="394">
        <f t="shared" si="11"/>
        <v>4625517.9947215579</v>
      </c>
      <c r="K249" s="520">
        <f t="shared" si="12"/>
        <v>-7727068.789490331</v>
      </c>
    </row>
    <row r="250" spans="1:11" x14ac:dyDescent="0.25">
      <c r="A250" s="38">
        <f>Données!A244</f>
        <v>5827</v>
      </c>
      <c r="B250" s="27" t="str">
        <f>Données!B244</f>
        <v>Trey</v>
      </c>
      <c r="C250" s="26">
        <f>Ecrêtage!C244</f>
        <v>7747.1149999999998</v>
      </c>
      <c r="D250" s="12">
        <f>Données!Z244</f>
        <v>321</v>
      </c>
      <c r="E250" s="8">
        <f>Population!K247</f>
        <v>-41416.750503018098</v>
      </c>
      <c r="F250" s="238">
        <f>Solidarité!I244</f>
        <v>-185673.75380677896</v>
      </c>
      <c r="G250" s="8">
        <f>DT!O244</f>
        <v>-34075.56</v>
      </c>
      <c r="H250" s="238">
        <f>Effort!K244+Aide!I244+Taux!J244</f>
        <v>0</v>
      </c>
      <c r="I250" s="316">
        <f t="shared" si="10"/>
        <v>-261166.06430979705</v>
      </c>
      <c r="J250" s="394">
        <f t="shared" si="11"/>
        <v>149349.55135309353</v>
      </c>
      <c r="K250" s="520">
        <f t="shared" si="12"/>
        <v>-111816.51295670352</v>
      </c>
    </row>
    <row r="251" spans="1:11" x14ac:dyDescent="0.25">
      <c r="A251" s="38">
        <f>Données!A245</f>
        <v>5828</v>
      </c>
      <c r="B251" s="27" t="str">
        <f>Données!B245</f>
        <v>Treytorrens (Payerne)</v>
      </c>
      <c r="C251" s="26">
        <f>Ecrêtage!C245</f>
        <v>2899.2098989898991</v>
      </c>
      <c r="D251" s="12">
        <f>Données!Z245</f>
        <v>110</v>
      </c>
      <c r="E251" s="8">
        <f>Population!K248</f>
        <v>-14192.655935613679</v>
      </c>
      <c r="F251" s="238">
        <f>Solidarité!I245</f>
        <v>-64533.543237501894</v>
      </c>
      <c r="G251" s="8">
        <f>DT!O245</f>
        <v>-22568.490606060604</v>
      </c>
      <c r="H251" s="238">
        <f>Effort!K245+Aide!I245+Taux!J245</f>
        <v>0</v>
      </c>
      <c r="I251" s="316">
        <f t="shared" si="10"/>
        <v>-101294.68977917617</v>
      </c>
      <c r="J251" s="394">
        <f t="shared" si="11"/>
        <v>55891.218562340822</v>
      </c>
      <c r="K251" s="520">
        <f t="shared" si="12"/>
        <v>-45403.471216835351</v>
      </c>
    </row>
    <row r="252" spans="1:11" x14ac:dyDescent="0.25">
      <c r="A252" s="38">
        <f>Données!A246</f>
        <v>5830</v>
      </c>
      <c r="B252" s="27" t="str">
        <f>Données!B246</f>
        <v>Villarzel</v>
      </c>
      <c r="C252" s="26">
        <f>Ecrêtage!C246</f>
        <v>12409.471600000001</v>
      </c>
      <c r="D252" s="12">
        <f>Données!Z246</f>
        <v>500</v>
      </c>
      <c r="E252" s="8">
        <f>Population!K249</f>
        <v>-64512.072434607631</v>
      </c>
      <c r="F252" s="238">
        <f>Solidarité!I246</f>
        <v>-259699.98787563387</v>
      </c>
      <c r="G252" s="8">
        <f>DT!O246</f>
        <v>-130953.5667</v>
      </c>
      <c r="H252" s="238">
        <f>Effort!K246+Aide!I246+Taux!J246</f>
        <v>0</v>
      </c>
      <c r="I252" s="316">
        <f t="shared" si="10"/>
        <v>-455165.6270102415</v>
      </c>
      <c r="J252" s="394">
        <f t="shared" si="11"/>
        <v>239230.8641331587</v>
      </c>
      <c r="K252" s="520">
        <f t="shared" si="12"/>
        <v>-215934.7628770828</v>
      </c>
    </row>
    <row r="253" spans="1:11" x14ac:dyDescent="0.25">
      <c r="A253" s="38">
        <f>Données!A247</f>
        <v>5831</v>
      </c>
      <c r="B253" s="27" t="str">
        <f>Données!B247</f>
        <v>Valbroye</v>
      </c>
      <c r="C253" s="26">
        <f>Ecrêtage!C247</f>
        <v>81061.421607565018</v>
      </c>
      <c r="D253" s="12">
        <f>Données!Z247</f>
        <v>3349</v>
      </c>
      <c r="E253" s="8">
        <f>Population!K250</f>
        <v>-1031677.0623742453</v>
      </c>
      <c r="F253" s="238">
        <f>Solidarité!I247</f>
        <v>-1577843.6209982352</v>
      </c>
      <c r="G253" s="8">
        <f>DT!O247</f>
        <v>-971950.22035460989</v>
      </c>
      <c r="H253" s="238">
        <f>Effort!K247+Aide!I247+Taux!J247</f>
        <v>0</v>
      </c>
      <c r="I253" s="316">
        <f t="shared" si="10"/>
        <v>-3581470.90372709</v>
      </c>
      <c r="J253" s="394">
        <f t="shared" si="11"/>
        <v>1562709.0793326027</v>
      </c>
      <c r="K253" s="520">
        <f t="shared" si="12"/>
        <v>-2018761.8243944873</v>
      </c>
    </row>
    <row r="254" spans="1:11" x14ac:dyDescent="0.25">
      <c r="A254" s="38">
        <f>Données!A248</f>
        <v>5841</v>
      </c>
      <c r="B254" s="27" t="str">
        <f>Données!B248</f>
        <v>Château-d'Oex</v>
      </c>
      <c r="C254" s="26">
        <f>Ecrêtage!C248</f>
        <v>110850.82306748466</v>
      </c>
      <c r="D254" s="12">
        <f>Données!Z248</f>
        <v>3549</v>
      </c>
      <c r="E254" s="8">
        <f>Population!K251</f>
        <v>-1134896.3782696174</v>
      </c>
      <c r="F254" s="238">
        <f>Solidarité!I248</f>
        <v>-1572547.4131251068</v>
      </c>
      <c r="G254" s="8">
        <f>DT!O248</f>
        <v>-2404012.0615950921</v>
      </c>
      <c r="H254" s="238">
        <f>Effort!K248+Aide!I248+Taux!J248</f>
        <v>0</v>
      </c>
      <c r="I254" s="316">
        <f t="shared" si="10"/>
        <v>-5111455.852989817</v>
      </c>
      <c r="J254" s="394">
        <f t="shared" si="11"/>
        <v>2136991.7307604165</v>
      </c>
      <c r="K254" s="520">
        <f t="shared" si="12"/>
        <v>-2974464.1222294006</v>
      </c>
    </row>
    <row r="255" spans="1:11" x14ac:dyDescent="0.25">
      <c r="A255" s="38">
        <f>Données!A249</f>
        <v>5842</v>
      </c>
      <c r="B255" s="27" t="str">
        <f>Données!B249</f>
        <v>Rossinière</v>
      </c>
      <c r="C255" s="26">
        <f>Ecrêtage!C249</f>
        <v>14941.466090534977</v>
      </c>
      <c r="D255" s="12">
        <f>Données!Z249</f>
        <v>534</v>
      </c>
      <c r="E255" s="8">
        <f>Population!K252</f>
        <v>-68898.893360160946</v>
      </c>
      <c r="F255" s="238">
        <f>Solidarité!I249</f>
        <v>-279264.84319063881</v>
      </c>
      <c r="G255" s="8">
        <f>DT!O249</f>
        <v>-336433.35388888896</v>
      </c>
      <c r="H255" s="238">
        <f>Effort!K249+Aide!I249+Taux!J249</f>
        <v>0</v>
      </c>
      <c r="I255" s="316">
        <f t="shared" si="10"/>
        <v>-684597.09043968865</v>
      </c>
      <c r="J255" s="394">
        <f t="shared" si="11"/>
        <v>288042.87236976076</v>
      </c>
      <c r="K255" s="520">
        <f t="shared" si="12"/>
        <v>-396554.21806992788</v>
      </c>
    </row>
    <row r="256" spans="1:11" x14ac:dyDescent="0.25">
      <c r="A256" s="38">
        <f>Données!A250</f>
        <v>5843</v>
      </c>
      <c r="B256" s="27" t="str">
        <f>Données!B250</f>
        <v>Rougemont</v>
      </c>
      <c r="C256" s="26">
        <f>Ecrêtage!C250</f>
        <v>97082.778783783782</v>
      </c>
      <c r="D256" s="12">
        <f>Données!Z250</f>
        <v>862</v>
      </c>
      <c r="E256" s="8">
        <f>Population!K253</f>
        <v>-111218.81287726355</v>
      </c>
      <c r="F256" s="238">
        <f>Solidarité!I250</f>
        <v>0</v>
      </c>
      <c r="G256" s="8">
        <f>DT!O250</f>
        <v>0</v>
      </c>
      <c r="H256" s="238">
        <f>Effort!K250+Aide!I250+Taux!J250</f>
        <v>0</v>
      </c>
      <c r="I256" s="316">
        <f t="shared" si="10"/>
        <v>-111218.81287726355</v>
      </c>
      <c r="J256" s="394">
        <f t="shared" si="11"/>
        <v>1871570.185219883</v>
      </c>
      <c r="K256" s="520">
        <f t="shared" si="12"/>
        <v>1760351.3723426193</v>
      </c>
    </row>
    <row r="257" spans="1:11" x14ac:dyDescent="0.25">
      <c r="A257" s="38">
        <f>Données!A251</f>
        <v>5851</v>
      </c>
      <c r="B257" s="27" t="str">
        <f>Données!B251</f>
        <v>Allaman</v>
      </c>
      <c r="C257" s="26">
        <f>Ecrêtage!C251</f>
        <v>24871.551151515156</v>
      </c>
      <c r="D257" s="12">
        <f>Données!Z251</f>
        <v>430</v>
      </c>
      <c r="E257" s="8">
        <f>Population!K254</f>
        <v>-55480.382293762566</v>
      </c>
      <c r="F257" s="238">
        <f>Solidarité!I251</f>
        <v>0</v>
      </c>
      <c r="G257" s="8">
        <f>DT!O251</f>
        <v>-17499.443090909066</v>
      </c>
      <c r="H257" s="238">
        <f>Effort!K251+Aide!I251+Taux!J251</f>
        <v>0</v>
      </c>
      <c r="I257" s="316">
        <f t="shared" si="10"/>
        <v>-72979.825384671625</v>
      </c>
      <c r="J257" s="394">
        <f t="shared" si="11"/>
        <v>479475.90889438265</v>
      </c>
      <c r="K257" s="520">
        <f t="shared" si="12"/>
        <v>406496.08350971102</v>
      </c>
    </row>
    <row r="258" spans="1:11" x14ac:dyDescent="0.25">
      <c r="A258" s="38">
        <f>Données!A252</f>
        <v>5852</v>
      </c>
      <c r="B258" s="27" t="str">
        <f>Données!B252</f>
        <v>Bursinel</v>
      </c>
      <c r="C258" s="26">
        <f>Ecrêtage!C252</f>
        <v>34636.180913978496</v>
      </c>
      <c r="D258" s="12">
        <f>Données!Z252</f>
        <v>515</v>
      </c>
      <c r="E258" s="8">
        <f>Population!K255</f>
        <v>-66447.434607645861</v>
      </c>
      <c r="F258" s="238">
        <f>Solidarité!I252</f>
        <v>0</v>
      </c>
      <c r="G258" s="8">
        <f>DT!O252</f>
        <v>0</v>
      </c>
      <c r="H258" s="238">
        <f>Effort!K252+Aide!I252+Taux!J252</f>
        <v>0</v>
      </c>
      <c r="I258" s="316">
        <f t="shared" si="10"/>
        <v>-66447.434607645861</v>
      </c>
      <c r="J258" s="394">
        <f t="shared" si="11"/>
        <v>667719.28389952506</v>
      </c>
      <c r="K258" s="520">
        <f t="shared" si="12"/>
        <v>601271.84929187922</v>
      </c>
    </row>
    <row r="259" spans="1:11" x14ac:dyDescent="0.25">
      <c r="A259" s="38">
        <f>Données!A253</f>
        <v>5853</v>
      </c>
      <c r="B259" s="27" t="str">
        <f>Données!B253</f>
        <v>Bursins</v>
      </c>
      <c r="C259" s="26">
        <f>Ecrêtage!C253</f>
        <v>44484.29464788732</v>
      </c>
      <c r="D259" s="12">
        <f>Données!Z253</f>
        <v>773</v>
      </c>
      <c r="E259" s="8">
        <f>Population!K256</f>
        <v>-99735.663983903403</v>
      </c>
      <c r="F259" s="238">
        <f>Solidarité!I253</f>
        <v>0</v>
      </c>
      <c r="G259" s="8">
        <f>DT!O253</f>
        <v>-7143.52901408451</v>
      </c>
      <c r="H259" s="238">
        <f>Effort!K253+Aide!I253+Taux!J253</f>
        <v>0</v>
      </c>
      <c r="I259" s="316">
        <f t="shared" si="10"/>
        <v>-106879.19299798791</v>
      </c>
      <c r="J259" s="394">
        <f t="shared" si="11"/>
        <v>857572.07010878122</v>
      </c>
      <c r="K259" s="520">
        <f t="shared" si="12"/>
        <v>750692.87711079326</v>
      </c>
    </row>
    <row r="260" spans="1:11" x14ac:dyDescent="0.25">
      <c r="A260" s="38">
        <f>Données!A254</f>
        <v>5854</v>
      </c>
      <c r="B260" s="27" t="str">
        <f>Données!B254</f>
        <v>Burtigny</v>
      </c>
      <c r="C260" s="26">
        <f>Ecrêtage!C254</f>
        <v>15255.605208333331</v>
      </c>
      <c r="D260" s="12">
        <f>Données!Z254</f>
        <v>416</v>
      </c>
      <c r="E260" s="8">
        <f>Population!K257</f>
        <v>-53674.044265593548</v>
      </c>
      <c r="F260" s="238">
        <f>Solidarité!I254</f>
        <v>-119769.22415393246</v>
      </c>
      <c r="G260" s="8">
        <f>DT!O254</f>
        <v>-80418.414843750012</v>
      </c>
      <c r="H260" s="238">
        <f>Effort!K254+Aide!I254+Taux!J254</f>
        <v>0</v>
      </c>
      <c r="I260" s="316">
        <f t="shared" si="10"/>
        <v>-253861.68326327601</v>
      </c>
      <c r="J260" s="394">
        <f t="shared" si="11"/>
        <v>294098.87338506011</v>
      </c>
      <c r="K260" s="520">
        <f t="shared" si="12"/>
        <v>40237.190121784108</v>
      </c>
    </row>
    <row r="261" spans="1:11" x14ac:dyDescent="0.25">
      <c r="A261" s="38">
        <f>Données!A255</f>
        <v>5855</v>
      </c>
      <c r="B261" s="27" t="str">
        <f>Données!B255</f>
        <v>Dully</v>
      </c>
      <c r="C261" s="26">
        <f>Ecrêtage!C255</f>
        <v>93677.895510204093</v>
      </c>
      <c r="D261" s="12">
        <f>Données!Z255</f>
        <v>634</v>
      </c>
      <c r="E261" s="8">
        <f>Population!K258</f>
        <v>-81801.307847082484</v>
      </c>
      <c r="F261" s="238">
        <f>Solidarité!I255</f>
        <v>0</v>
      </c>
      <c r="G261" s="8">
        <f>DT!O255</f>
        <v>0</v>
      </c>
      <c r="H261" s="238">
        <f>Effort!K255+Aide!I255+Taux!J255</f>
        <v>0</v>
      </c>
      <c r="I261" s="316">
        <f t="shared" si="10"/>
        <v>-81801.307847082484</v>
      </c>
      <c r="J261" s="394">
        <f t="shared" si="11"/>
        <v>1805930.5517151812</v>
      </c>
      <c r="K261" s="520">
        <f t="shared" si="12"/>
        <v>1724129.2438680988</v>
      </c>
    </row>
    <row r="262" spans="1:11" x14ac:dyDescent="0.25">
      <c r="A262" s="38">
        <f>Données!A256</f>
        <v>5856</v>
      </c>
      <c r="B262" s="27" t="str">
        <f>Données!B256</f>
        <v>Essertines-sur-Rolle</v>
      </c>
      <c r="C262" s="26">
        <f>Ecrêtage!C256</f>
        <v>42059.84630422209</v>
      </c>
      <c r="D262" s="12">
        <f>Données!Z256</f>
        <v>753</v>
      </c>
      <c r="E262" s="8">
        <f>Population!K259</f>
        <v>-97155.181086519093</v>
      </c>
      <c r="F262" s="238">
        <f>Solidarité!I256</f>
        <v>0</v>
      </c>
      <c r="G262" s="8">
        <f>DT!O256</f>
        <v>0</v>
      </c>
      <c r="H262" s="238">
        <f>Effort!K256+Aide!I256+Taux!J256</f>
        <v>0</v>
      </c>
      <c r="I262" s="316">
        <f t="shared" si="10"/>
        <v>-97155.181086519093</v>
      </c>
      <c r="J262" s="394">
        <f t="shared" si="11"/>
        <v>810833.34577008837</v>
      </c>
      <c r="K262" s="520">
        <f t="shared" si="12"/>
        <v>713678.16468356922</v>
      </c>
    </row>
    <row r="263" spans="1:11" x14ac:dyDescent="0.25">
      <c r="A263" s="38">
        <f>Données!A257</f>
        <v>5857</v>
      </c>
      <c r="B263" s="27" t="str">
        <f>Données!B257</f>
        <v>Gilly</v>
      </c>
      <c r="C263" s="26">
        <f>Ecrêtage!C257</f>
        <v>88865.056589147294</v>
      </c>
      <c r="D263" s="12">
        <f>Données!Z257</f>
        <v>1438</v>
      </c>
      <c r="E263" s="8">
        <f>Population!K260</f>
        <v>-287259.35613682086</v>
      </c>
      <c r="F263" s="238">
        <f>Solidarité!I257</f>
        <v>0</v>
      </c>
      <c r="G263" s="8">
        <f>DT!O257</f>
        <v>0</v>
      </c>
      <c r="H263" s="238">
        <f>Effort!K257+Aide!I257+Taux!J257</f>
        <v>0</v>
      </c>
      <c r="I263" s="316">
        <f t="shared" si="10"/>
        <v>-287259.35613682086</v>
      </c>
      <c r="J263" s="394">
        <f t="shared" si="11"/>
        <v>1713148.2277669061</v>
      </c>
      <c r="K263" s="520">
        <f t="shared" si="12"/>
        <v>1425888.8716300852</v>
      </c>
    </row>
    <row r="264" spans="1:11" x14ac:dyDescent="0.25">
      <c r="A264" s="38">
        <f>Données!A258</f>
        <v>5858</v>
      </c>
      <c r="B264" s="27" t="str">
        <f>Données!B258</f>
        <v>Luins</v>
      </c>
      <c r="C264" s="26">
        <f>Ecrêtage!C258</f>
        <v>38252.553447293445</v>
      </c>
      <c r="D264" s="12">
        <f>Données!Z258</f>
        <v>630</v>
      </c>
      <c r="E264" s="8">
        <f>Population!K261</f>
        <v>-81285.211267605613</v>
      </c>
      <c r="F264" s="238">
        <f>Solidarité!I258</f>
        <v>0</v>
      </c>
      <c r="G264" s="8">
        <f>DT!O258</f>
        <v>0</v>
      </c>
      <c r="H264" s="238">
        <f>Effort!K258+Aide!I258+Taux!J258</f>
        <v>0</v>
      </c>
      <c r="I264" s="316">
        <f t="shared" si="10"/>
        <v>-81285.211267605613</v>
      </c>
      <c r="J264" s="394">
        <f t="shared" si="11"/>
        <v>737436.02559965965</v>
      </c>
      <c r="K264" s="520">
        <f t="shared" si="12"/>
        <v>656150.814332054</v>
      </c>
    </row>
    <row r="265" spans="1:11" x14ac:dyDescent="0.25">
      <c r="A265" s="38">
        <f>Données!A259</f>
        <v>5859</v>
      </c>
      <c r="B265" s="27" t="str">
        <f>Données!B259</f>
        <v>Mont-sur-Rolle</v>
      </c>
      <c r="C265" s="26">
        <f>Ecrêtage!C259</f>
        <v>160904.56204724411</v>
      </c>
      <c r="D265" s="12">
        <f>Données!Z259</f>
        <v>2739</v>
      </c>
      <c r="E265" s="8">
        <f>Population!K262</f>
        <v>-757268.51106639835</v>
      </c>
      <c r="F265" s="238">
        <f>Solidarité!I259</f>
        <v>0</v>
      </c>
      <c r="G265" s="8">
        <f>DT!O259</f>
        <v>0</v>
      </c>
      <c r="H265" s="238">
        <f>Effort!K259+Aide!I259+Taux!J259</f>
        <v>0</v>
      </c>
      <c r="I265" s="316">
        <f t="shared" si="10"/>
        <v>-757268.51106639835</v>
      </c>
      <c r="J265" s="394">
        <f t="shared" si="11"/>
        <v>3101932.0292033753</v>
      </c>
      <c r="K265" s="520">
        <f t="shared" si="12"/>
        <v>2344663.5181369772</v>
      </c>
    </row>
    <row r="266" spans="1:11" x14ac:dyDescent="0.25">
      <c r="A266" s="38">
        <f>Données!A260</f>
        <v>5860</v>
      </c>
      <c r="B266" s="27" t="str">
        <f>Données!B260</f>
        <v>Perroy</v>
      </c>
      <c r="C266" s="26">
        <f>Ecrêtage!C260</f>
        <v>124238.0950558843</v>
      </c>
      <c r="D266" s="12">
        <f>Données!Z260</f>
        <v>1514</v>
      </c>
      <c r="E266" s="8">
        <f>Population!K263</f>
        <v>-314715.69416498987</v>
      </c>
      <c r="F266" s="238">
        <f>Solidarité!I260</f>
        <v>0</v>
      </c>
      <c r="G266" s="8">
        <f>DT!O260</f>
        <v>0</v>
      </c>
      <c r="H266" s="238">
        <f>Effort!K260+Aide!I260+Taux!J260</f>
        <v>0</v>
      </c>
      <c r="I266" s="316">
        <f t="shared" si="10"/>
        <v>-314715.69416498987</v>
      </c>
      <c r="J266" s="394">
        <f t="shared" si="11"/>
        <v>2395072.7151409662</v>
      </c>
      <c r="K266" s="520">
        <f t="shared" si="12"/>
        <v>2080357.0209759763</v>
      </c>
    </row>
    <row r="267" spans="1:11" x14ac:dyDescent="0.25">
      <c r="A267" s="38">
        <f>Données!A261</f>
        <v>5861</v>
      </c>
      <c r="B267" s="27" t="str">
        <f>Données!B261</f>
        <v>Rolle</v>
      </c>
      <c r="C267" s="26">
        <f>Ecrêtage!C261</f>
        <v>872601.81815126061</v>
      </c>
      <c r="D267" s="12">
        <f>Données!Z261</f>
        <v>6291</v>
      </c>
      <c r="E267" s="8">
        <f>Population!K264</f>
        <v>-2683289.3360160962</v>
      </c>
      <c r="F267" s="238">
        <f>Solidarité!I261</f>
        <v>0</v>
      </c>
      <c r="G267" s="8">
        <f>DT!O261</f>
        <v>0</v>
      </c>
      <c r="H267" s="238">
        <f>Effort!K261+Aide!I261+Taux!J261</f>
        <v>0</v>
      </c>
      <c r="I267" s="316">
        <f t="shared" si="10"/>
        <v>-2683289.3360160962</v>
      </c>
      <c r="J267" s="394">
        <f t="shared" si="11"/>
        <v>16822093.134125989</v>
      </c>
      <c r="K267" s="520">
        <f t="shared" si="12"/>
        <v>14138803.798109893</v>
      </c>
    </row>
    <row r="268" spans="1:11" x14ac:dyDescent="0.25">
      <c r="A268" s="38">
        <f>Données!A262</f>
        <v>5862</v>
      </c>
      <c r="B268" s="27" t="str">
        <f>Données!B262</f>
        <v>Tartegnin</v>
      </c>
      <c r="C268" s="26">
        <f>Ecrêtage!C262</f>
        <v>7890.9322784810111</v>
      </c>
      <c r="D268" s="12">
        <f>Données!Z262</f>
        <v>241</v>
      </c>
      <c r="E268" s="8">
        <f>Population!K265</f>
        <v>-31094.818913480878</v>
      </c>
      <c r="F268" s="238">
        <f>Solidarité!I262</f>
        <v>-91273.790272759521</v>
      </c>
      <c r="G268" s="8">
        <f>DT!O262</f>
        <v>0</v>
      </c>
      <c r="H268" s="238">
        <f>Effort!K262+Aide!I262+Taux!J262</f>
        <v>0</v>
      </c>
      <c r="I268" s="316">
        <f t="shared" si="10"/>
        <v>-122368.6091862404</v>
      </c>
      <c r="J268" s="394">
        <f t="shared" si="11"/>
        <v>152122.07325550003</v>
      </c>
      <c r="K268" s="520">
        <f t="shared" si="12"/>
        <v>29753.464069259629</v>
      </c>
    </row>
    <row r="269" spans="1:11" x14ac:dyDescent="0.25">
      <c r="A269" s="38">
        <f>Données!A263</f>
        <v>5863</v>
      </c>
      <c r="B269" s="27" t="str">
        <f>Données!B263</f>
        <v>Vinzel</v>
      </c>
      <c r="C269" s="26">
        <f>Ecrêtage!C263</f>
        <v>21422.979701492532</v>
      </c>
      <c r="D269" s="12">
        <f>Données!Z263</f>
        <v>369</v>
      </c>
      <c r="E269" s="8">
        <f>Population!K266</f>
        <v>-47609.909456740432</v>
      </c>
      <c r="F269" s="238">
        <f>Solidarité!I263</f>
        <v>0</v>
      </c>
      <c r="G269" s="8">
        <f>DT!O263</f>
        <v>0</v>
      </c>
      <c r="H269" s="238">
        <f>Effort!K263+Aide!I263+Taux!J263</f>
        <v>0</v>
      </c>
      <c r="I269" s="316">
        <f t="shared" ref="I269:I311" si="13">SUM(E269:H269)</f>
        <v>-47609.909456740432</v>
      </c>
      <c r="J269" s="394">
        <f t="shared" ref="J269:J311" si="14">C269*$J$11</f>
        <v>412994.05095501215</v>
      </c>
      <c r="K269" s="520">
        <f t="shared" ref="K269:K311" si="15">I269+J269</f>
        <v>365384.14149827173</v>
      </c>
    </row>
    <row r="270" spans="1:11" x14ac:dyDescent="0.25">
      <c r="A270" s="38">
        <f>Données!A264</f>
        <v>5871</v>
      </c>
      <c r="B270" s="27" t="str">
        <f>Données!B264</f>
        <v>L'Abbaye</v>
      </c>
      <c r="C270" s="26">
        <f>Ecrêtage!C264</f>
        <v>52131.58544752092</v>
      </c>
      <c r="D270" s="12">
        <f>Données!Z264</f>
        <v>1521</v>
      </c>
      <c r="E270" s="8">
        <f>Population!K267</f>
        <v>-317244.56740442652</v>
      </c>
      <c r="F270" s="238">
        <f>Solidarité!I264</f>
        <v>-500397.00207742589</v>
      </c>
      <c r="G270" s="8">
        <f>DT!O264</f>
        <v>-416670.98731487448</v>
      </c>
      <c r="H270" s="238">
        <f>Effort!K264+Aide!I264+Taux!J264</f>
        <v>0</v>
      </c>
      <c r="I270" s="316">
        <f t="shared" si="13"/>
        <v>-1234312.556796727</v>
      </c>
      <c r="J270" s="394">
        <f t="shared" si="14"/>
        <v>1004997.2019148688</v>
      </c>
      <c r="K270" s="520">
        <f t="shared" si="15"/>
        <v>-229315.35488185822</v>
      </c>
    </row>
    <row r="271" spans="1:11" x14ac:dyDescent="0.25">
      <c r="A271" s="38">
        <f>Données!A265</f>
        <v>5872</v>
      </c>
      <c r="B271" s="27" t="str">
        <f>Données!B265</f>
        <v>Le Chenit</v>
      </c>
      <c r="C271" s="26">
        <f>Ecrêtage!C265</f>
        <v>198940.06926406932</v>
      </c>
      <c r="D271" s="12">
        <f>Données!Z265</f>
        <v>4569</v>
      </c>
      <c r="E271" s="8">
        <f>Population!K268</f>
        <v>-1661314.8893360156</v>
      </c>
      <c r="F271" s="238">
        <f>Solidarité!I265</f>
        <v>-359721.49856442807</v>
      </c>
      <c r="G271" s="8">
        <f>DT!O265</f>
        <v>-1717138.7824675322</v>
      </c>
      <c r="H271" s="238">
        <f>Effort!K265+Aide!I265+Taux!J265</f>
        <v>0</v>
      </c>
      <c r="I271" s="316">
        <f t="shared" si="13"/>
        <v>-3738175.1703679757</v>
      </c>
      <c r="J271" s="394">
        <f t="shared" si="14"/>
        <v>3835183.8188463836</v>
      </c>
      <c r="K271" s="520">
        <f t="shared" si="15"/>
        <v>97008.648478407878</v>
      </c>
    </row>
    <row r="272" spans="1:11" x14ac:dyDescent="0.25">
      <c r="A272" s="38">
        <f>Données!A266</f>
        <v>5873</v>
      </c>
      <c r="B272" s="27" t="str">
        <f>Données!B266</f>
        <v>Le Lieu</v>
      </c>
      <c r="C272" s="26">
        <f>Ecrêtage!C266</f>
        <v>31463.219535714288</v>
      </c>
      <c r="D272" s="12">
        <f>Données!Z266</f>
        <v>881</v>
      </c>
      <c r="E272" s="8">
        <f>Population!K269</f>
        <v>-113670.27162977865</v>
      </c>
      <c r="F272" s="238">
        <f>Solidarité!I266</f>
        <v>-210737.06334880626</v>
      </c>
      <c r="G272" s="8">
        <f>DT!O266</f>
        <v>-703444.51813392853</v>
      </c>
      <c r="H272" s="238">
        <f>Effort!K266+Aide!I266+Taux!J266</f>
        <v>0</v>
      </c>
      <c r="I272" s="316">
        <f t="shared" si="13"/>
        <v>-1027851.8531125134</v>
      </c>
      <c r="J272" s="394">
        <f t="shared" si="14"/>
        <v>606550.66070179886</v>
      </c>
      <c r="K272" s="520">
        <f t="shared" si="15"/>
        <v>-421301.19241071458</v>
      </c>
    </row>
    <row r="273" spans="1:11" x14ac:dyDescent="0.25">
      <c r="A273" s="38">
        <f>Données!A267</f>
        <v>5882</v>
      </c>
      <c r="B273" s="27" t="str">
        <f>Données!B267</f>
        <v>Chardonne</v>
      </c>
      <c r="C273" s="26">
        <f>Ecrêtage!C267</f>
        <v>186940.3105882353</v>
      </c>
      <c r="D273" s="12">
        <f>Données!Z267</f>
        <v>3078</v>
      </c>
      <c r="E273" s="8">
        <f>Population!K270</f>
        <v>-891814.88933601591</v>
      </c>
      <c r="F273" s="238">
        <f>Solidarité!I267</f>
        <v>0</v>
      </c>
      <c r="G273" s="8">
        <f>DT!O267</f>
        <v>-316407.38647058822</v>
      </c>
      <c r="H273" s="238">
        <f>Effort!K267+Aide!I267+Taux!J267</f>
        <v>0</v>
      </c>
      <c r="I273" s="316">
        <f t="shared" si="13"/>
        <v>-1208222.2758066042</v>
      </c>
      <c r="J273" s="394">
        <f t="shared" si="14"/>
        <v>3603851.4358133189</v>
      </c>
      <c r="K273" s="520">
        <f t="shared" si="15"/>
        <v>2395629.160006715</v>
      </c>
    </row>
    <row r="274" spans="1:11" x14ac:dyDescent="0.25">
      <c r="A274" s="38">
        <f>Données!A268</f>
        <v>5883</v>
      </c>
      <c r="B274" s="27" t="str">
        <f>Données!B268</f>
        <v>Corseaux</v>
      </c>
      <c r="C274" s="26">
        <f>Ecrêtage!C268</f>
        <v>193091.18148148147</v>
      </c>
      <c r="D274" s="12">
        <f>Données!Z268</f>
        <v>2330</v>
      </c>
      <c r="E274" s="8">
        <f>Population!K271</f>
        <v>-609510.06036217301</v>
      </c>
      <c r="F274" s="238">
        <f>Solidarité!I268</f>
        <v>0</v>
      </c>
      <c r="G274" s="8">
        <f>DT!O268</f>
        <v>0</v>
      </c>
      <c r="H274" s="238">
        <f>Effort!K268+Aide!I268+Taux!J268</f>
        <v>0</v>
      </c>
      <c r="I274" s="316">
        <f t="shared" si="13"/>
        <v>-609510.06036217301</v>
      </c>
      <c r="J274" s="394">
        <f t="shared" si="14"/>
        <v>3722428.4555602982</v>
      </c>
      <c r="K274" s="520">
        <f t="shared" si="15"/>
        <v>3112918.3951981254</v>
      </c>
    </row>
    <row r="275" spans="1:11" x14ac:dyDescent="0.25">
      <c r="A275" s="38">
        <f>Données!A269</f>
        <v>5884</v>
      </c>
      <c r="B275" s="27" t="str">
        <f>Données!B269</f>
        <v>Corsier-sur-Vevey</v>
      </c>
      <c r="C275" s="26">
        <f>Ecrêtage!C269</f>
        <v>148804.11322997417</v>
      </c>
      <c r="D275" s="12">
        <f>Données!Z269</f>
        <v>3390</v>
      </c>
      <c r="E275" s="8">
        <f>Population!K272</f>
        <v>-1052837.0221327965</v>
      </c>
      <c r="F275" s="238">
        <f>Solidarité!I269</f>
        <v>-227494.95768863006</v>
      </c>
      <c r="G275" s="8">
        <f>DT!O269</f>
        <v>-1365000.070620155</v>
      </c>
      <c r="H275" s="238">
        <f>Effort!K269+Aide!I269+Taux!J269</f>
        <v>0</v>
      </c>
      <c r="I275" s="316">
        <f t="shared" si="13"/>
        <v>-2645332.0504415818</v>
      </c>
      <c r="J275" s="394">
        <f t="shared" si="14"/>
        <v>2868658.5329366573</v>
      </c>
      <c r="K275" s="520">
        <f t="shared" si="15"/>
        <v>223326.48249507556</v>
      </c>
    </row>
    <row r="276" spans="1:11" x14ac:dyDescent="0.25">
      <c r="A276" s="38">
        <f>Données!A270</f>
        <v>5885</v>
      </c>
      <c r="B276" s="27" t="str">
        <f>Données!B270</f>
        <v>Jongny</v>
      </c>
      <c r="C276" s="26">
        <f>Ecrêtage!C270</f>
        <v>97074.6993764988</v>
      </c>
      <c r="D276" s="12">
        <f>Données!Z270</f>
        <v>1805</v>
      </c>
      <c r="E276" s="8">
        <f>Population!K273</f>
        <v>-419844.56740442646</v>
      </c>
      <c r="F276" s="238">
        <f>Solidarité!I270</f>
        <v>0</v>
      </c>
      <c r="G276" s="8">
        <f>DT!O270</f>
        <v>-75661.053741007199</v>
      </c>
      <c r="H276" s="238">
        <f>Effort!K270+Aide!I270+Taux!J270</f>
        <v>0</v>
      </c>
      <c r="I276" s="316">
        <f t="shared" si="13"/>
        <v>-495505.62114543363</v>
      </c>
      <c r="J276" s="394">
        <f t="shared" si="14"/>
        <v>1871414.4297091914</v>
      </c>
      <c r="K276" s="520">
        <f t="shared" si="15"/>
        <v>1375908.8085637577</v>
      </c>
    </row>
    <row r="277" spans="1:11" x14ac:dyDescent="0.25">
      <c r="A277" s="38">
        <f>Données!A271</f>
        <v>5886</v>
      </c>
      <c r="B277" s="27" t="str">
        <f>Données!B271</f>
        <v>Montreux</v>
      </c>
      <c r="C277" s="26">
        <f>Ecrêtage!C271</f>
        <v>1173967.402</v>
      </c>
      <c r="D277" s="12">
        <f>Données!Z271</f>
        <v>26012</v>
      </c>
      <c r="E277" s="8">
        <f>Population!K274</f>
        <v>-22024524.748490941</v>
      </c>
      <c r="F277" s="238">
        <f>Solidarité!I271</f>
        <v>-1229789.532587542</v>
      </c>
      <c r="G277" s="8">
        <f>DT!O271</f>
        <v>-6460864.5989999995</v>
      </c>
      <c r="H277" s="238">
        <f>Effort!K271+Aide!I271+Taux!J271</f>
        <v>0</v>
      </c>
      <c r="I277" s="316">
        <f t="shared" si="13"/>
        <v>-29715178.880078483</v>
      </c>
      <c r="J277" s="394">
        <f t="shared" si="14"/>
        <v>22631844.859906789</v>
      </c>
      <c r="K277" s="520">
        <f t="shared" si="15"/>
        <v>-7083334.0201716945</v>
      </c>
    </row>
    <row r="278" spans="1:11" x14ac:dyDescent="0.25">
      <c r="A278" s="38">
        <f>Données!A272</f>
        <v>5889</v>
      </c>
      <c r="B278" s="27" t="str">
        <f>Données!B272</f>
        <v>La Tour-de-Peilz</v>
      </c>
      <c r="C278" s="26">
        <f>Ecrêtage!C272</f>
        <v>740088.65473958338</v>
      </c>
      <c r="D278" s="12">
        <f>Données!Z272</f>
        <v>12222</v>
      </c>
      <c r="E278" s="8">
        <f>Population!K275</f>
        <v>-7222255.5331991939</v>
      </c>
      <c r="F278" s="238">
        <f>Solidarité!I272</f>
        <v>0</v>
      </c>
      <c r="G278" s="8">
        <f>DT!O272</f>
        <v>-164779.32156249974</v>
      </c>
      <c r="H278" s="238">
        <f>Effort!K272+Aide!I272+Taux!J272</f>
        <v>0</v>
      </c>
      <c r="I278" s="316">
        <f t="shared" si="13"/>
        <v>-7387034.8547616936</v>
      </c>
      <c r="J278" s="394">
        <f t="shared" si="14"/>
        <v>14267492.937289728</v>
      </c>
      <c r="K278" s="520">
        <f t="shared" si="15"/>
        <v>6880458.0825280342</v>
      </c>
    </row>
    <row r="279" spans="1:11" x14ac:dyDescent="0.25">
      <c r="A279" s="38">
        <f>Données!A273</f>
        <v>5890</v>
      </c>
      <c r="B279" s="27" t="str">
        <f>Données!B273</f>
        <v>Vevey</v>
      </c>
      <c r="C279" s="26">
        <f>Ecrêtage!C273</f>
        <v>968892.58791946329</v>
      </c>
      <c r="D279" s="12">
        <f>Données!Z273</f>
        <v>19721</v>
      </c>
      <c r="E279" s="8">
        <f>Population!K276</f>
        <v>-15206321.227364182</v>
      </c>
      <c r="F279" s="238">
        <f>Solidarité!I273</f>
        <v>0</v>
      </c>
      <c r="G279" s="8">
        <f>DT!O273</f>
        <v>-3661980.9724832205</v>
      </c>
      <c r="H279" s="238">
        <f>Effort!K273+Aide!I273+Taux!J273</f>
        <v>0</v>
      </c>
      <c r="I279" s="316">
        <f t="shared" si="13"/>
        <v>-18868302.199847404</v>
      </c>
      <c r="J279" s="394">
        <f t="shared" si="14"/>
        <v>18678394.901212845</v>
      </c>
      <c r="K279" s="520">
        <f t="shared" si="15"/>
        <v>-189907.29863455892</v>
      </c>
    </row>
    <row r="280" spans="1:11" x14ac:dyDescent="0.25">
      <c r="A280" s="38">
        <f>Données!A274</f>
        <v>5891</v>
      </c>
      <c r="B280" s="27" t="str">
        <f>Données!B274</f>
        <v>Veytaux</v>
      </c>
      <c r="C280" s="26">
        <f>Ecrêtage!C274</f>
        <v>39118.814388489205</v>
      </c>
      <c r="D280" s="12">
        <f>Données!Z274</f>
        <v>952</v>
      </c>
      <c r="E280" s="8">
        <f>Population!K277</f>
        <v>-122830.98591549293</v>
      </c>
      <c r="F280" s="238">
        <f>Solidarité!I274</f>
        <v>-125682.03263379631</v>
      </c>
      <c r="G280" s="8">
        <f>DT!O274</f>
        <v>-581164.25287769781</v>
      </c>
      <c r="H280" s="238">
        <f>Effort!K274+Aide!I274+Taux!J274</f>
        <v>0</v>
      </c>
      <c r="I280" s="316">
        <f t="shared" si="13"/>
        <v>-829677.27142698702</v>
      </c>
      <c r="J280" s="394">
        <f t="shared" si="14"/>
        <v>754135.87876077765</v>
      </c>
      <c r="K280" s="520">
        <f t="shared" si="15"/>
        <v>-75541.392666209373</v>
      </c>
    </row>
    <row r="281" spans="1:11" x14ac:dyDescent="0.25">
      <c r="A281" s="38">
        <f>Données!A275</f>
        <v>5892</v>
      </c>
      <c r="B281" s="27" t="str">
        <f>Données!B275</f>
        <v>Blonay-St-Légier</v>
      </c>
      <c r="C281" s="26">
        <f>Ecrêtage!C275</f>
        <v>705287.87938951538</v>
      </c>
      <c r="D281" s="12">
        <f>Données!Z275</f>
        <v>11925</v>
      </c>
      <c r="E281" s="8">
        <f>Population!K278</f>
        <v>-6927306.3380281674</v>
      </c>
      <c r="F281" s="238">
        <f>Solidarité!I275</f>
        <v>0</v>
      </c>
      <c r="G281" s="8">
        <f>DT!O275</f>
        <v>-2702391.8141207714</v>
      </c>
      <c r="H281" s="238">
        <f>Effort!K275+Aide!I275+Taux!J275</f>
        <v>0</v>
      </c>
      <c r="I281" s="316">
        <f t="shared" si="13"/>
        <v>-9629698.1521489397</v>
      </c>
      <c r="J281" s="394">
        <f t="shared" si="14"/>
        <v>13596600.587650869</v>
      </c>
      <c r="K281" s="520">
        <f t="shared" si="15"/>
        <v>3966902.4355019294</v>
      </c>
    </row>
    <row r="282" spans="1:11" x14ac:dyDescent="0.25">
      <c r="A282" s="38">
        <f>Données!A276</f>
        <v>5902</v>
      </c>
      <c r="B282" s="27" t="str">
        <f>Données!B276</f>
        <v>Belmont-sur-Yverdon</v>
      </c>
      <c r="C282" s="26">
        <f>Ecrêtage!C276</f>
        <v>12109.044285714286</v>
      </c>
      <c r="D282" s="12">
        <f>Données!Z276</f>
        <v>415</v>
      </c>
      <c r="E282" s="8">
        <f>Population!K279</f>
        <v>-53545.020120724337</v>
      </c>
      <c r="F282" s="238">
        <f>Solidarité!I276</f>
        <v>-152354.05231710448</v>
      </c>
      <c r="G282" s="8">
        <f>DT!O276</f>
        <v>-115486.20107142857</v>
      </c>
      <c r="H282" s="238">
        <f>Effort!K276+Aide!I276+Taux!J276</f>
        <v>0</v>
      </c>
      <c r="I282" s="316">
        <f t="shared" si="13"/>
        <v>-321385.27350925736</v>
      </c>
      <c r="J282" s="394">
        <f t="shared" si="14"/>
        <v>233439.20044896318</v>
      </c>
      <c r="K282" s="520">
        <f t="shared" si="15"/>
        <v>-87946.073060294177</v>
      </c>
    </row>
    <row r="283" spans="1:11" x14ac:dyDescent="0.25">
      <c r="A283" s="38">
        <f>Données!A277</f>
        <v>5903</v>
      </c>
      <c r="B283" s="27" t="str">
        <f>Données!B277</f>
        <v>Bioley-Magnoux</v>
      </c>
      <c r="C283" s="26">
        <f>Ecrêtage!C277</f>
        <v>6062.5298015873022</v>
      </c>
      <c r="D283" s="12">
        <f>Données!Z277</f>
        <v>234</v>
      </c>
      <c r="E283" s="8">
        <f>Population!K280</f>
        <v>-30191.649899396372</v>
      </c>
      <c r="F283" s="238">
        <f>Solidarité!I277</f>
        <v>-106732.07749685185</v>
      </c>
      <c r="G283" s="8">
        <f>DT!O277</f>
        <v>-152925.17383928571</v>
      </c>
      <c r="H283" s="238">
        <f>Effort!K277+Aide!I277+Taux!J277</f>
        <v>0</v>
      </c>
      <c r="I283" s="316">
        <f t="shared" si="13"/>
        <v>-289848.90123553394</v>
      </c>
      <c r="J283" s="394">
        <f t="shared" si="14"/>
        <v>116873.97256034313</v>
      </c>
      <c r="K283" s="520">
        <f t="shared" si="15"/>
        <v>-172974.92867519081</v>
      </c>
    </row>
    <row r="284" spans="1:11" x14ac:dyDescent="0.25">
      <c r="A284" s="38">
        <f>Données!A278</f>
        <v>5904</v>
      </c>
      <c r="B284" s="27" t="str">
        <f>Données!B278</f>
        <v>Chamblon</v>
      </c>
      <c r="C284" s="26">
        <f>Ecrêtage!C278</f>
        <v>22177.284545454542</v>
      </c>
      <c r="D284" s="12">
        <f>Données!Z278</f>
        <v>561</v>
      </c>
      <c r="E284" s="8">
        <f>Population!K281</f>
        <v>-72382.545271629759</v>
      </c>
      <c r="F284" s="238">
        <f>Solidarité!I278</f>
        <v>-82015.29523018506</v>
      </c>
      <c r="G284" s="8">
        <f>DT!O278</f>
        <v>0</v>
      </c>
      <c r="H284" s="238">
        <f>Effort!K278+Aide!I278+Taux!J278</f>
        <v>0</v>
      </c>
      <c r="I284" s="316">
        <f t="shared" si="13"/>
        <v>-154397.84050181482</v>
      </c>
      <c r="J284" s="394">
        <f t="shared" si="14"/>
        <v>427535.60481463495</v>
      </c>
      <c r="K284" s="520">
        <f t="shared" si="15"/>
        <v>273137.76431282016</v>
      </c>
    </row>
    <row r="285" spans="1:11" x14ac:dyDescent="0.25">
      <c r="A285" s="38">
        <f>Données!A279</f>
        <v>5905</v>
      </c>
      <c r="B285" s="27" t="str">
        <f>Données!B279</f>
        <v>Champvent</v>
      </c>
      <c r="C285" s="26">
        <f>Ecrêtage!C279</f>
        <v>23290.369714285716</v>
      </c>
      <c r="D285" s="12">
        <f>Données!Z279</f>
        <v>712</v>
      </c>
      <c r="E285" s="8">
        <f>Population!K282</f>
        <v>-91865.191146881261</v>
      </c>
      <c r="F285" s="238">
        <f>Solidarité!I279</f>
        <v>-212150.4032145282</v>
      </c>
      <c r="G285" s="8">
        <f>DT!O279</f>
        <v>-23155.254428571414</v>
      </c>
      <c r="H285" s="238">
        <f>Effort!K279+Aide!I279+Taux!J279</f>
        <v>0</v>
      </c>
      <c r="I285" s="316">
        <f t="shared" si="13"/>
        <v>-327170.84878998087</v>
      </c>
      <c r="J285" s="394">
        <f t="shared" si="14"/>
        <v>448993.75673089258</v>
      </c>
      <c r="K285" s="520">
        <f t="shared" si="15"/>
        <v>121822.90794091171</v>
      </c>
    </row>
    <row r="286" spans="1:11" x14ac:dyDescent="0.25">
      <c r="A286" s="38">
        <f>Données!A280</f>
        <v>5907</v>
      </c>
      <c r="B286" s="27" t="str">
        <f>Données!B280</f>
        <v>Chavannes-le-Chêne</v>
      </c>
      <c r="C286" s="26">
        <f>Ecrêtage!C280</f>
        <v>7818.3101333333334</v>
      </c>
      <c r="D286" s="12">
        <f>Données!Z280</f>
        <v>325</v>
      </c>
      <c r="E286" s="8">
        <f>Population!K283</f>
        <v>-41932.847082494962</v>
      </c>
      <c r="F286" s="238">
        <f>Solidarité!I280</f>
        <v>-174374.43207214188</v>
      </c>
      <c r="G286" s="8">
        <f>DT!O280</f>
        <v>-68143.656600000002</v>
      </c>
      <c r="H286" s="238">
        <f>Effort!K280+Aide!I280+Taux!J280</f>
        <v>0</v>
      </c>
      <c r="I286" s="316">
        <f t="shared" si="13"/>
        <v>-284450.93575463683</v>
      </c>
      <c r="J286" s="394">
        <f t="shared" si="14"/>
        <v>150722.05727586051</v>
      </c>
      <c r="K286" s="520">
        <f t="shared" si="15"/>
        <v>-133728.87847877631</v>
      </c>
    </row>
    <row r="287" spans="1:11" x14ac:dyDescent="0.25">
      <c r="A287" s="38">
        <f>Données!A281</f>
        <v>5908</v>
      </c>
      <c r="B287" s="27" t="str">
        <f>Données!B281</f>
        <v>Chêne-Pâquier</v>
      </c>
      <c r="C287" s="26">
        <f>Ecrêtage!C281</f>
        <v>4413.4270886075947</v>
      </c>
      <c r="D287" s="12">
        <f>Données!Z281</f>
        <v>153</v>
      </c>
      <c r="E287" s="8">
        <f>Population!K284</f>
        <v>-19740.694164989935</v>
      </c>
      <c r="F287" s="238">
        <f>Solidarité!I281</f>
        <v>-72809.40248474777</v>
      </c>
      <c r="G287" s="8">
        <f>DT!O281</f>
        <v>-28032.117151898736</v>
      </c>
      <c r="H287" s="238">
        <f>Effort!K281+Aide!I281+Taux!J281</f>
        <v>0</v>
      </c>
      <c r="I287" s="316">
        <f t="shared" si="13"/>
        <v>-120582.21380163645</v>
      </c>
      <c r="J287" s="394">
        <f t="shared" si="14"/>
        <v>85082.428183024778</v>
      </c>
      <c r="K287" s="520">
        <f t="shared" si="15"/>
        <v>-35499.78561861167</v>
      </c>
    </row>
    <row r="288" spans="1:11" x14ac:dyDescent="0.25">
      <c r="A288" s="38">
        <f>Données!A282</f>
        <v>5909</v>
      </c>
      <c r="B288" s="27" t="str">
        <f>Données!B282</f>
        <v>Cheseaux-Noréaz</v>
      </c>
      <c r="C288" s="26">
        <f>Ecrêtage!C282</f>
        <v>36912.898208955223</v>
      </c>
      <c r="D288" s="12">
        <f>Données!Z282</f>
        <v>728</v>
      </c>
      <c r="E288" s="8">
        <f>Population!K285</f>
        <v>-93929.577464788716</v>
      </c>
      <c r="F288" s="238">
        <f>Solidarité!I282</f>
        <v>0</v>
      </c>
      <c r="G288" s="8">
        <f>DT!O282</f>
        <v>-42733.360746268663</v>
      </c>
      <c r="H288" s="238">
        <f>Effort!K282+Aide!I282+Taux!J282</f>
        <v>0</v>
      </c>
      <c r="I288" s="316">
        <f t="shared" si="13"/>
        <v>-136662.93821105739</v>
      </c>
      <c r="J288" s="394">
        <f t="shared" si="14"/>
        <v>711610.03633609053</v>
      </c>
      <c r="K288" s="520">
        <f t="shared" si="15"/>
        <v>574947.09812503308</v>
      </c>
    </row>
    <row r="289" spans="1:11" x14ac:dyDescent="0.25">
      <c r="A289" s="38">
        <f>Données!A283</f>
        <v>5910</v>
      </c>
      <c r="B289" s="27" t="str">
        <f>Données!B283</f>
        <v>Cronay</v>
      </c>
      <c r="C289" s="26">
        <f>Ecrêtage!C283</f>
        <v>10599.974415584415</v>
      </c>
      <c r="D289" s="12">
        <f>Données!Z283</f>
        <v>403</v>
      </c>
      <c r="E289" s="8">
        <f>Population!K286</f>
        <v>-51996.730382293754</v>
      </c>
      <c r="F289" s="238">
        <f>Solidarité!I283</f>
        <v>-206467.9886981223</v>
      </c>
      <c r="G289" s="8">
        <f>DT!O283</f>
        <v>-51266.422694805195</v>
      </c>
      <c r="H289" s="238">
        <f>Effort!K283+Aide!I283+Taux!J283</f>
        <v>0</v>
      </c>
      <c r="I289" s="316">
        <f t="shared" si="13"/>
        <v>-309731.14177522121</v>
      </c>
      <c r="J289" s="394">
        <f t="shared" si="14"/>
        <v>204347.221297451</v>
      </c>
      <c r="K289" s="520">
        <f t="shared" si="15"/>
        <v>-105383.92047777021</v>
      </c>
    </row>
    <row r="290" spans="1:11" x14ac:dyDescent="0.25">
      <c r="A290" s="38">
        <f>Données!A284</f>
        <v>5911</v>
      </c>
      <c r="B290" s="27" t="str">
        <f>Données!B284</f>
        <v>Cuarny</v>
      </c>
      <c r="C290" s="26">
        <f>Ecrêtage!C284</f>
        <v>7503.6479220779238</v>
      </c>
      <c r="D290" s="12">
        <f>Données!Z284</f>
        <v>245</v>
      </c>
      <c r="E290" s="8">
        <f>Population!K287</f>
        <v>-31610.915492957738</v>
      </c>
      <c r="F290" s="238">
        <f>Solidarité!I284</f>
        <v>-100425.27430751396</v>
      </c>
      <c r="G290" s="8">
        <f>DT!O284</f>
        <v>-24600.126525974014</v>
      </c>
      <c r="H290" s="238">
        <f>Effort!K284+Aide!I284+Taux!J284</f>
        <v>0</v>
      </c>
      <c r="I290" s="316">
        <f t="shared" si="13"/>
        <v>-156636.31632644573</v>
      </c>
      <c r="J290" s="394">
        <f t="shared" si="14"/>
        <v>144655.97201976611</v>
      </c>
      <c r="K290" s="520">
        <f t="shared" si="15"/>
        <v>-11980.344306679617</v>
      </c>
    </row>
    <row r="291" spans="1:11" x14ac:dyDescent="0.25">
      <c r="A291" s="38">
        <f>Données!A285</f>
        <v>5912</v>
      </c>
      <c r="B291" s="27" t="str">
        <f>Données!B285</f>
        <v>Démoret</v>
      </c>
      <c r="C291" s="26">
        <f>Ecrêtage!C285</f>
        <v>4722.3875308641973</v>
      </c>
      <c r="D291" s="12">
        <f>Données!Z285</f>
        <v>164</v>
      </c>
      <c r="E291" s="8">
        <f>Population!K288</f>
        <v>-21159.959758551304</v>
      </c>
      <c r="F291" s="238">
        <f>Solidarité!I285</f>
        <v>-82264.40512384208</v>
      </c>
      <c r="G291" s="8">
        <f>DT!O285</f>
        <v>-18375.459351851852</v>
      </c>
      <c r="H291" s="238">
        <f>Effort!K285+Aide!I285+Taux!J285</f>
        <v>0</v>
      </c>
      <c r="I291" s="316">
        <f t="shared" si="13"/>
        <v>-121799.82423424524</v>
      </c>
      <c r="J291" s="394">
        <f t="shared" si="14"/>
        <v>91038.594244439504</v>
      </c>
      <c r="K291" s="520">
        <f t="shared" si="15"/>
        <v>-30761.229989805739</v>
      </c>
    </row>
    <row r="292" spans="1:11" x14ac:dyDescent="0.25">
      <c r="A292" s="38">
        <f>Données!A286</f>
        <v>5913</v>
      </c>
      <c r="B292" s="27" t="str">
        <f>Données!B286</f>
        <v>Donneloye</v>
      </c>
      <c r="C292" s="26">
        <f>Ecrêtage!C286</f>
        <v>23893.15821917808</v>
      </c>
      <c r="D292" s="12">
        <f>Données!Z286</f>
        <v>891</v>
      </c>
      <c r="E292" s="8">
        <f>Population!K289</f>
        <v>-114960.5130784708</v>
      </c>
      <c r="F292" s="238">
        <f>Solidarité!I286</f>
        <v>-400549.51377339079</v>
      </c>
      <c r="G292" s="8">
        <f>DT!O286</f>
        <v>-26842.18202054796</v>
      </c>
      <c r="H292" s="238">
        <f>Effort!K286+Aide!I286+Taux!J286</f>
        <v>0</v>
      </c>
      <c r="I292" s="316">
        <f t="shared" si="13"/>
        <v>-542352.20887240954</v>
      </c>
      <c r="J292" s="394">
        <f t="shared" si="14"/>
        <v>460614.36553384393</v>
      </c>
      <c r="K292" s="520">
        <f t="shared" si="15"/>
        <v>-81737.84333856561</v>
      </c>
    </row>
    <row r="293" spans="1:11" x14ac:dyDescent="0.25">
      <c r="A293" s="38">
        <f>Données!A287</f>
        <v>5914</v>
      </c>
      <c r="B293" s="27" t="str">
        <f>Données!B287</f>
        <v>Ependes</v>
      </c>
      <c r="C293" s="26">
        <f>Ecrêtage!C287</f>
        <v>9828.5374149659856</v>
      </c>
      <c r="D293" s="12">
        <f>Données!Z287</f>
        <v>381</v>
      </c>
      <c r="E293" s="8">
        <f>Population!K290</f>
        <v>-49158.199195171015</v>
      </c>
      <c r="F293" s="238">
        <f>Solidarité!I287</f>
        <v>-182015.36076700842</v>
      </c>
      <c r="G293" s="8">
        <f>DT!O287</f>
        <v>-59548.622448979593</v>
      </c>
      <c r="H293" s="238">
        <f>Effort!K287+Aide!I287+Taux!J287</f>
        <v>0</v>
      </c>
      <c r="I293" s="316">
        <f t="shared" si="13"/>
        <v>-290722.18241115904</v>
      </c>
      <c r="J293" s="394">
        <f t="shared" si="14"/>
        <v>189475.39224372731</v>
      </c>
      <c r="K293" s="520">
        <f t="shared" si="15"/>
        <v>-101246.79016743173</v>
      </c>
    </row>
    <row r="294" spans="1:11" x14ac:dyDescent="0.25">
      <c r="A294" s="38">
        <f>Données!A288</f>
        <v>5919</v>
      </c>
      <c r="B294" s="27" t="str">
        <f>Données!B288</f>
        <v>Mathod</v>
      </c>
      <c r="C294" s="26">
        <f>Ecrêtage!C288</f>
        <v>18684.230416666669</v>
      </c>
      <c r="D294" s="12">
        <f>Données!Z288</f>
        <v>655</v>
      </c>
      <c r="E294" s="8">
        <f>Population!K291</f>
        <v>-84510.81488933599</v>
      </c>
      <c r="F294" s="238">
        <f>Solidarité!I288</f>
        <v>-263255.561211491</v>
      </c>
      <c r="G294" s="8">
        <f>DT!O288</f>
        <v>-141224.19468749998</v>
      </c>
      <c r="H294" s="238">
        <f>Effort!K288+Aide!I288+Taux!J288</f>
        <v>0</v>
      </c>
      <c r="I294" s="316">
        <f t="shared" si="13"/>
        <v>-488990.57078832702</v>
      </c>
      <c r="J294" s="394">
        <f t="shared" si="14"/>
        <v>360196.20595628058</v>
      </c>
      <c r="K294" s="520">
        <f t="shared" si="15"/>
        <v>-128794.36483204644</v>
      </c>
    </row>
    <row r="295" spans="1:11" x14ac:dyDescent="0.25">
      <c r="A295" s="38">
        <f>Données!A289</f>
        <v>5921</v>
      </c>
      <c r="B295" s="27" t="str">
        <f>Données!B289</f>
        <v>Molondin</v>
      </c>
      <c r="C295" s="26">
        <f>Ecrêtage!C289</f>
        <v>5874.5211111111121</v>
      </c>
      <c r="D295" s="12">
        <f>Données!Z289</f>
        <v>239</v>
      </c>
      <c r="E295" s="8">
        <f>Population!K292</f>
        <v>-30836.770623742446</v>
      </c>
      <c r="F295" s="238">
        <f>Solidarité!I289</f>
        <v>-146292.33337799311</v>
      </c>
      <c r="G295" s="8">
        <f>DT!O289</f>
        <v>-36723.232499999991</v>
      </c>
      <c r="H295" s="238">
        <f>Effort!K289+Aide!I289+Taux!J289</f>
        <v>0</v>
      </c>
      <c r="I295" s="316">
        <f t="shared" si="13"/>
        <v>-213852.33650173555</v>
      </c>
      <c r="J295" s="394">
        <f t="shared" si="14"/>
        <v>113249.52480487524</v>
      </c>
      <c r="K295" s="520">
        <f t="shared" si="15"/>
        <v>-100602.81169686031</v>
      </c>
    </row>
    <row r="296" spans="1:11" x14ac:dyDescent="0.25">
      <c r="A296" s="38">
        <f>Données!A290</f>
        <v>5922</v>
      </c>
      <c r="B296" s="27" t="str">
        <f>Données!B290</f>
        <v>Montagny-près-Yverdon</v>
      </c>
      <c r="C296" s="26">
        <f>Ecrêtage!C290</f>
        <v>39591.156899224814</v>
      </c>
      <c r="D296" s="12">
        <f>Données!Z290</f>
        <v>775</v>
      </c>
      <c r="E296" s="8">
        <f>Population!K293</f>
        <v>-99993.712273641824</v>
      </c>
      <c r="F296" s="238">
        <f>Solidarité!I290</f>
        <v>0</v>
      </c>
      <c r="G296" s="8">
        <f>DT!O290</f>
        <v>-148514.80860465113</v>
      </c>
      <c r="H296" s="238">
        <f>Effort!K290+Aide!I290+Taux!J290</f>
        <v>0</v>
      </c>
      <c r="I296" s="316">
        <f t="shared" si="13"/>
        <v>-248508.52087829297</v>
      </c>
      <c r="J296" s="394">
        <f t="shared" si="14"/>
        <v>763241.7384341344</v>
      </c>
      <c r="K296" s="520">
        <f t="shared" si="15"/>
        <v>514733.21755584143</v>
      </c>
    </row>
    <row r="297" spans="1:11" x14ac:dyDescent="0.25">
      <c r="A297" s="38">
        <f>Données!A291</f>
        <v>5923</v>
      </c>
      <c r="B297" s="27" t="str">
        <f>Données!B291</f>
        <v>Oppens</v>
      </c>
      <c r="C297" s="26">
        <f>Ecrêtage!C291</f>
        <v>5096.0285185185185</v>
      </c>
      <c r="D297" s="12">
        <f>Données!Z291</f>
        <v>201</v>
      </c>
      <c r="E297" s="8">
        <f>Population!K294</f>
        <v>-25933.853118712268</v>
      </c>
      <c r="F297" s="238">
        <f>Solidarité!I291</f>
        <v>-118955.89089008971</v>
      </c>
      <c r="G297" s="8">
        <f>DT!O291</f>
        <v>-37031.807499999995</v>
      </c>
      <c r="H297" s="238">
        <f>Effort!K291+Aide!I291+Taux!J291</f>
        <v>0</v>
      </c>
      <c r="I297" s="316">
        <f t="shared" si="13"/>
        <v>-181921.55150880196</v>
      </c>
      <c r="J297" s="394">
        <f t="shared" si="14"/>
        <v>98241.677440351734</v>
      </c>
      <c r="K297" s="520">
        <f t="shared" si="15"/>
        <v>-83679.874068450226</v>
      </c>
    </row>
    <row r="298" spans="1:11" x14ac:dyDescent="0.25">
      <c r="A298" s="38">
        <f>Données!A292</f>
        <v>5924</v>
      </c>
      <c r="B298" s="27" t="str">
        <f>Données!B292</f>
        <v>Orges</v>
      </c>
      <c r="C298" s="26">
        <f>Ecrêtage!C292</f>
        <v>13109.277432432435</v>
      </c>
      <c r="D298" s="12">
        <f>Données!Z292</f>
        <v>367</v>
      </c>
      <c r="E298" s="8">
        <f>Population!K295</f>
        <v>-47351.861167002004</v>
      </c>
      <c r="F298" s="238">
        <f>Solidarité!I292</f>
        <v>-98050.236135425876</v>
      </c>
      <c r="G298" s="8">
        <f>DT!O292</f>
        <v>-29473.335405405393</v>
      </c>
      <c r="H298" s="238">
        <f>Effort!K292+Aide!I292+Taux!J292</f>
        <v>0</v>
      </c>
      <c r="I298" s="316">
        <f t="shared" si="13"/>
        <v>-174875.43270783324</v>
      </c>
      <c r="J298" s="394">
        <f t="shared" si="14"/>
        <v>252721.78134660682</v>
      </c>
      <c r="K298" s="520">
        <f t="shared" si="15"/>
        <v>77846.348638773576</v>
      </c>
    </row>
    <row r="299" spans="1:11" x14ac:dyDescent="0.25">
      <c r="A299" s="38">
        <f>Données!A293</f>
        <v>5925</v>
      </c>
      <c r="B299" s="27" t="str">
        <f>Données!B293</f>
        <v>Orzens</v>
      </c>
      <c r="C299" s="26">
        <f>Ecrêtage!C293</f>
        <v>5230.3916455696199</v>
      </c>
      <c r="D299" s="12">
        <f>Données!Z293</f>
        <v>202</v>
      </c>
      <c r="E299" s="8">
        <f>Population!K296</f>
        <v>-26062.877263581482</v>
      </c>
      <c r="F299" s="238">
        <f>Solidarité!I293</f>
        <v>-110999.15177196923</v>
      </c>
      <c r="G299" s="8">
        <f>DT!O293</f>
        <v>-9874.9562658227842</v>
      </c>
      <c r="H299" s="238">
        <f>Effort!K293+Aide!I293+Taux!J293</f>
        <v>0</v>
      </c>
      <c r="I299" s="316">
        <f t="shared" si="13"/>
        <v>-146936.9853013735</v>
      </c>
      <c r="J299" s="394">
        <f t="shared" si="14"/>
        <v>100831.94139583461</v>
      </c>
      <c r="K299" s="520">
        <f t="shared" si="15"/>
        <v>-46105.043905538885</v>
      </c>
    </row>
    <row r="300" spans="1:11" x14ac:dyDescent="0.25">
      <c r="A300" s="38">
        <f>Données!A294</f>
        <v>5926</v>
      </c>
      <c r="B300" s="27" t="str">
        <f>Données!B294</f>
        <v>Pomy</v>
      </c>
      <c r="C300" s="26">
        <f>Ecrêtage!C294</f>
        <v>27874.142394366198</v>
      </c>
      <c r="D300" s="12">
        <f>Données!Z294</f>
        <v>838</v>
      </c>
      <c r="E300" s="8">
        <f>Population!K297</f>
        <v>-108122.23340040239</v>
      </c>
      <c r="F300" s="238">
        <f>Solidarité!I294</f>
        <v>-247571.77316780953</v>
      </c>
      <c r="G300" s="8">
        <f>DT!O294</f>
        <v>-45017.038838028166</v>
      </c>
      <c r="H300" s="238">
        <f>Effort!K294+Aide!I294+Taux!J294</f>
        <v>0</v>
      </c>
      <c r="I300" s="316">
        <f t="shared" si="13"/>
        <v>-400711.0454062401</v>
      </c>
      <c r="J300" s="394">
        <f t="shared" si="14"/>
        <v>537360.12192291394</v>
      </c>
      <c r="K300" s="520">
        <f t="shared" si="15"/>
        <v>136649.07651667384</v>
      </c>
    </row>
    <row r="301" spans="1:11" x14ac:dyDescent="0.25">
      <c r="A301" s="38">
        <f>Données!A295</f>
        <v>5928</v>
      </c>
      <c r="B301" s="27" t="str">
        <f>Données!B295</f>
        <v>Rovray</v>
      </c>
      <c r="C301" s="26">
        <f>Ecrêtage!C295</f>
        <v>5459.4458741258732</v>
      </c>
      <c r="D301" s="12">
        <f>Données!Z295</f>
        <v>206</v>
      </c>
      <c r="E301" s="8">
        <f>Population!K298</f>
        <v>-26578.973843058346</v>
      </c>
      <c r="F301" s="238">
        <f>Solidarité!I295</f>
        <v>-90161.552777463017</v>
      </c>
      <c r="G301" s="8">
        <f>DT!O295</f>
        <v>-24536.240349650358</v>
      </c>
      <c r="H301" s="238">
        <f>Effort!K295+Aide!I295+Taux!J295</f>
        <v>0</v>
      </c>
      <c r="I301" s="316">
        <f t="shared" si="13"/>
        <v>-141276.76697017171</v>
      </c>
      <c r="J301" s="394">
        <f t="shared" si="14"/>
        <v>105247.66857561772</v>
      </c>
      <c r="K301" s="520">
        <f t="shared" si="15"/>
        <v>-36029.098394553992</v>
      </c>
    </row>
    <row r="302" spans="1:11" x14ac:dyDescent="0.25">
      <c r="A302" s="38">
        <f>Données!A296</f>
        <v>5929</v>
      </c>
      <c r="B302" s="27" t="str">
        <f>Données!B296</f>
        <v>Suchy</v>
      </c>
      <c r="C302" s="26">
        <f>Ecrêtage!C296</f>
        <v>20264.63825</v>
      </c>
      <c r="D302" s="12">
        <f>Données!Z296</f>
        <v>656</v>
      </c>
      <c r="E302" s="8">
        <f>Population!K299</f>
        <v>-84639.839034205215</v>
      </c>
      <c r="F302" s="238">
        <f>Solidarité!I296</f>
        <v>-218835.13631572344</v>
      </c>
      <c r="G302" s="8">
        <f>DT!O296</f>
        <v>-35254.691812500001</v>
      </c>
      <c r="H302" s="238">
        <f>Effort!K296+Aide!I296+Taux!J296</f>
        <v>0</v>
      </c>
      <c r="I302" s="316">
        <f t="shared" si="13"/>
        <v>-338729.66716242867</v>
      </c>
      <c r="J302" s="394">
        <f t="shared" si="14"/>
        <v>390663.44451711874</v>
      </c>
      <c r="K302" s="520">
        <f t="shared" si="15"/>
        <v>51933.777354690072</v>
      </c>
    </row>
    <row r="303" spans="1:11" x14ac:dyDescent="0.25">
      <c r="A303" s="38">
        <f>Données!A297</f>
        <v>5930</v>
      </c>
      <c r="B303" s="27" t="str">
        <f>Données!B297</f>
        <v>Suscévaz</v>
      </c>
      <c r="C303" s="26">
        <f>Ecrêtage!C297</f>
        <v>6661.7480555555558</v>
      </c>
      <c r="D303" s="12">
        <f>Données!Z297</f>
        <v>215</v>
      </c>
      <c r="E303" s="8">
        <f>Population!K300</f>
        <v>-27740.191146881283</v>
      </c>
      <c r="F303" s="238">
        <f>Solidarité!I297</f>
        <v>-75461.806112481238</v>
      </c>
      <c r="G303" s="8">
        <f>DT!O297</f>
        <v>-27960.950624999998</v>
      </c>
      <c r="H303" s="238">
        <f>Effort!K297+Aide!I297+Taux!J297</f>
        <v>0</v>
      </c>
      <c r="I303" s="316">
        <f t="shared" si="13"/>
        <v>-131162.94788436251</v>
      </c>
      <c r="J303" s="394">
        <f t="shared" si="14"/>
        <v>128425.75375795575</v>
      </c>
      <c r="K303" s="520">
        <f t="shared" si="15"/>
        <v>-2737.1941264067573</v>
      </c>
    </row>
    <row r="304" spans="1:11" x14ac:dyDescent="0.25">
      <c r="A304" s="38">
        <f>Données!A298</f>
        <v>5931</v>
      </c>
      <c r="B304" s="27" t="str">
        <f>Données!B298</f>
        <v>Treycovagnes</v>
      </c>
      <c r="C304" s="26">
        <f>Ecrêtage!C298</f>
        <v>15269.573333333334</v>
      </c>
      <c r="D304" s="12">
        <f>Données!Z298</f>
        <v>490</v>
      </c>
      <c r="E304" s="8">
        <f>Population!K301</f>
        <v>-63221.830985915476</v>
      </c>
      <c r="F304" s="238">
        <f>Solidarité!I298</f>
        <v>-184658.53204834557</v>
      </c>
      <c r="G304" s="8">
        <f>DT!O298</f>
        <v>-61960.81</v>
      </c>
      <c r="H304" s="238">
        <f>Effort!K298+Aide!I298+Taux!J298</f>
        <v>0</v>
      </c>
      <c r="I304" s="316">
        <f t="shared" si="13"/>
        <v>-309841.17303426104</v>
      </c>
      <c r="J304" s="394">
        <f t="shared" si="14"/>
        <v>294368.1521039115</v>
      </c>
      <c r="K304" s="520">
        <f t="shared" si="15"/>
        <v>-15473.020930349536</v>
      </c>
    </row>
    <row r="305" spans="1:11" x14ac:dyDescent="0.25">
      <c r="A305" s="38">
        <f>Données!A299</f>
        <v>5932</v>
      </c>
      <c r="B305" s="27" t="str">
        <f>Données!B299</f>
        <v>Ursins</v>
      </c>
      <c r="C305" s="26">
        <f>Ecrêtage!C299</f>
        <v>7703.2953333333353</v>
      </c>
      <c r="D305" s="12">
        <f>Données!Z299</f>
        <v>228</v>
      </c>
      <c r="E305" s="8">
        <f>Population!K302</f>
        <v>-29417.505030181081</v>
      </c>
      <c r="F305" s="238">
        <f>Solidarité!I299</f>
        <v>-72478.833224792223</v>
      </c>
      <c r="G305" s="8">
        <f>DT!O299</f>
        <v>-8031.5284999999985</v>
      </c>
      <c r="H305" s="238">
        <f>Effort!K299+Aide!I299+Taux!J299</f>
        <v>0</v>
      </c>
      <c r="I305" s="316">
        <f t="shared" si="13"/>
        <v>-109927.86675497331</v>
      </c>
      <c r="J305" s="394">
        <f t="shared" si="14"/>
        <v>148504.7920385476</v>
      </c>
      <c r="K305" s="520">
        <f t="shared" si="15"/>
        <v>38576.925283574295</v>
      </c>
    </row>
    <row r="306" spans="1:11" x14ac:dyDescent="0.25">
      <c r="A306" s="38">
        <f>Données!A300</f>
        <v>5933</v>
      </c>
      <c r="B306" s="27" t="str">
        <f>Données!B300</f>
        <v>Valeyres-sous-Montagny</v>
      </c>
      <c r="C306" s="26">
        <f>Ecrêtage!C300</f>
        <v>19606.455886524818</v>
      </c>
      <c r="D306" s="12">
        <f>Données!Z300</f>
        <v>697</v>
      </c>
      <c r="E306" s="8">
        <f>Population!K303</f>
        <v>-89929.828973843032</v>
      </c>
      <c r="F306" s="238">
        <f>Solidarité!I300</f>
        <v>-274062.45516472636</v>
      </c>
      <c r="G306" s="8">
        <f>DT!O300</f>
        <v>-445176.67276595754</v>
      </c>
      <c r="H306" s="238">
        <f>Effort!K300+Aide!I300+Taux!J300</f>
        <v>0</v>
      </c>
      <c r="I306" s="316">
        <f t="shared" si="13"/>
        <v>-809168.95690452692</v>
      </c>
      <c r="J306" s="394">
        <f t="shared" si="14"/>
        <v>377974.94812929729</v>
      </c>
      <c r="K306" s="520">
        <f t="shared" si="15"/>
        <v>-431194.00877522962</v>
      </c>
    </row>
    <row r="307" spans="1:11" x14ac:dyDescent="0.25">
      <c r="A307" s="38">
        <f>Données!A301</f>
        <v>5934</v>
      </c>
      <c r="B307" s="27" t="str">
        <f>Données!B301</f>
        <v>Valeyres-sous-Ursins</v>
      </c>
      <c r="C307" s="26">
        <f>Ecrêtage!C301</f>
        <v>7018.2764935064943</v>
      </c>
      <c r="D307" s="12">
        <f>Données!Z301</f>
        <v>247</v>
      </c>
      <c r="E307" s="8">
        <f>Population!K304</f>
        <v>-31868.96378269617</v>
      </c>
      <c r="F307" s="238">
        <f>Solidarité!I301</f>
        <v>-114192.33239787314</v>
      </c>
      <c r="G307" s="8">
        <f>DT!O301</f>
        <v>-7274.7926298701286</v>
      </c>
      <c r="H307" s="238">
        <f>Effort!K301+Aide!I301+Taux!J301</f>
        <v>0</v>
      </c>
      <c r="I307" s="316">
        <f t="shared" si="13"/>
        <v>-153336.08881043943</v>
      </c>
      <c r="J307" s="394">
        <f t="shared" si="14"/>
        <v>135298.93974429931</v>
      </c>
      <c r="K307" s="520">
        <f t="shared" si="15"/>
        <v>-18037.149066140119</v>
      </c>
    </row>
    <row r="308" spans="1:11" x14ac:dyDescent="0.25">
      <c r="A308" s="38">
        <f>Données!A302</f>
        <v>5935</v>
      </c>
      <c r="B308" s="27" t="str">
        <f>Données!B302</f>
        <v>Villars-Epeney</v>
      </c>
      <c r="C308" s="26">
        <f>Ecrêtage!C302</f>
        <v>3448.2056666666667</v>
      </c>
      <c r="D308" s="12">
        <f>Données!Z302</f>
        <v>95</v>
      </c>
      <c r="E308" s="8">
        <f>Population!K305</f>
        <v>-12257.293762575449</v>
      </c>
      <c r="F308" s="238">
        <f>Solidarité!I302</f>
        <v>-15897.674475078944</v>
      </c>
      <c r="G308" s="8">
        <f>DT!O302</f>
        <v>-9899.0957500000004</v>
      </c>
      <c r="H308" s="238">
        <f>Effort!K302+Aide!I302+Taux!J302</f>
        <v>0</v>
      </c>
      <c r="I308" s="316">
        <f t="shared" si="13"/>
        <v>-38054.063987654394</v>
      </c>
      <c r="J308" s="394">
        <f t="shared" si="14"/>
        <v>66474.806336276335</v>
      </c>
      <c r="K308" s="520">
        <f t="shared" si="15"/>
        <v>28420.742348621941</v>
      </c>
    </row>
    <row r="309" spans="1:11" x14ac:dyDescent="0.25">
      <c r="A309" s="38">
        <f>Données!A303</f>
        <v>5937</v>
      </c>
      <c r="B309" s="27" t="str">
        <f>Données!B303</f>
        <v>Vugelles-La Mothe</v>
      </c>
      <c r="C309" s="26">
        <f>Ecrêtage!C303</f>
        <v>3479.4948775510202</v>
      </c>
      <c r="D309" s="12">
        <f>Données!Z303</f>
        <v>140</v>
      </c>
      <c r="E309" s="8">
        <f>Population!K306</f>
        <v>-18063.380281690137</v>
      </c>
      <c r="F309" s="238">
        <f>Solidarité!I303</f>
        <v>-63248.914061028328</v>
      </c>
      <c r="G309" s="8">
        <f>DT!O303</f>
        <v>-21298.909576530612</v>
      </c>
      <c r="H309" s="238">
        <f>Effort!K303+Aide!I303+Taux!J303</f>
        <v>0</v>
      </c>
      <c r="I309" s="316">
        <f t="shared" si="13"/>
        <v>-102611.20391924908</v>
      </c>
      <c r="J309" s="394">
        <f t="shared" si="14"/>
        <v>67078.002443184581</v>
      </c>
      <c r="K309" s="520">
        <f t="shared" si="15"/>
        <v>-35533.201476064496</v>
      </c>
    </row>
    <row r="310" spans="1:11" x14ac:dyDescent="0.25">
      <c r="A310" s="38">
        <f>Données!A304</f>
        <v>5938</v>
      </c>
      <c r="B310" s="27" t="str">
        <f>Données!B304</f>
        <v>Yverdon-les-Bains</v>
      </c>
      <c r="C310" s="26">
        <f>Ecrêtage!C304</f>
        <v>762594.09693333332</v>
      </c>
      <c r="D310" s="12">
        <f>Données!Z304</f>
        <v>29710</v>
      </c>
      <c r="E310" s="8">
        <f>Population!K307</f>
        <v>-26032427.565392349</v>
      </c>
      <c r="F310" s="238">
        <f>Solidarité!I304</f>
        <v>-14864572.147336449</v>
      </c>
      <c r="G310" s="8">
        <f>DT!O304</f>
        <v>-9758931.9184000008</v>
      </c>
      <c r="H310" s="238">
        <f>Effort!K304+Aide!I304+Taux!J304</f>
        <v>5828143.5069033699</v>
      </c>
      <c r="I310" s="316">
        <f t="shared" si="13"/>
        <v>-44827788.12422543</v>
      </c>
      <c r="J310" s="394">
        <f t="shared" si="14"/>
        <v>14701354.793560034</v>
      </c>
      <c r="K310" s="520">
        <f t="shared" si="15"/>
        <v>-30126433.330665395</v>
      </c>
    </row>
    <row r="311" spans="1:11" x14ac:dyDescent="0.25">
      <c r="A311" s="38">
        <f>Données!A305</f>
        <v>5939</v>
      </c>
      <c r="B311" s="27" t="str">
        <f>Données!B305</f>
        <v>Yvonand</v>
      </c>
      <c r="C311" s="26">
        <f>Ecrêtage!C305</f>
        <v>105325.16447552449</v>
      </c>
      <c r="D311" s="12">
        <f>Données!Z305</f>
        <v>3512</v>
      </c>
      <c r="E311" s="227">
        <f>Population!K308</f>
        <v>-1115800.8048289735</v>
      </c>
      <c r="F311" s="238">
        <f>Solidarité!I305</f>
        <v>-1286950.9699781886</v>
      </c>
      <c r="G311" s="227">
        <f>DT!O305</f>
        <v>-454167.38979020971</v>
      </c>
      <c r="H311" s="238">
        <f>Effort!K305+Aide!I305+Taux!J305</f>
        <v>0</v>
      </c>
      <c r="I311" s="335">
        <f t="shared" si="13"/>
        <v>-2856919.1645973716</v>
      </c>
      <c r="J311" s="394">
        <f t="shared" si="14"/>
        <v>2030467.6076978806</v>
      </c>
      <c r="K311" s="521">
        <f t="shared" si="15"/>
        <v>-826451.556899491</v>
      </c>
    </row>
    <row r="312" spans="1:11" x14ac:dyDescent="0.25">
      <c r="A312" s="25"/>
      <c r="B312" s="74">
        <f>COUNTA(B12:B311)</f>
        <v>300</v>
      </c>
      <c r="C312" s="75">
        <f t="shared" ref="C312:H312" si="16">SUM(C12:C311)</f>
        <v>39490853.970660269</v>
      </c>
      <c r="D312" s="9">
        <f t="shared" si="16"/>
        <v>823879</v>
      </c>
      <c r="E312" s="227">
        <f t="shared" si="16"/>
        <v>-455285151.76056302</v>
      </c>
      <c r="F312" s="9">
        <f t="shared" si="16"/>
        <v>-136273696.73959675</v>
      </c>
      <c r="G312" s="227">
        <f t="shared" si="16"/>
        <v>-175474943.02394748</v>
      </c>
      <c r="H312" s="9">
        <f t="shared" si="16"/>
        <v>6175701.6004849719</v>
      </c>
      <c r="I312" s="317">
        <f t="shared" ref="I312" si="17">SUM(E312:H312)</f>
        <v>-760858089.92362225</v>
      </c>
      <c r="J312" s="317">
        <f t="shared" ref="J312" si="18">C312*$J$11</f>
        <v>761308089.92362225</v>
      </c>
      <c r="K312" s="522">
        <f t="shared" ref="K312" si="19">I312+J312</f>
        <v>450000</v>
      </c>
    </row>
    <row r="313" spans="1:11" x14ac:dyDescent="0.25">
      <c r="C313" s="52"/>
      <c r="D313" s="52"/>
      <c r="E313" s="29"/>
      <c r="I313" s="29"/>
      <c r="J313" s="228"/>
    </row>
    <row r="314" spans="1:11" x14ac:dyDescent="0.25">
      <c r="C314" s="184"/>
      <c r="D314" s="4"/>
      <c r="E314" s="5"/>
      <c r="F314" s="5"/>
      <c r="G314" s="5"/>
      <c r="H314" s="5"/>
      <c r="I314" s="5"/>
      <c r="J314" s="5"/>
    </row>
    <row r="315" spans="1:11" x14ac:dyDescent="0.25">
      <c r="C315" s="239"/>
      <c r="G315" s="10"/>
      <c r="H315" s="10"/>
    </row>
    <row r="316" spans="1:11" x14ac:dyDescent="0.25">
      <c r="C316" s="218"/>
    </row>
    <row r="317" spans="1:11" x14ac:dyDescent="0.25">
      <c r="F317" s="10"/>
    </row>
    <row r="318" spans="1:11" x14ac:dyDescent="0.25">
      <c r="F318" s="10"/>
    </row>
    <row r="320" spans="1:11" x14ac:dyDescent="0.25">
      <c r="F320" s="71"/>
      <c r="G320" s="71"/>
      <c r="H320" s="71"/>
      <c r="I320" s="71"/>
      <c r="J320" s="71"/>
    </row>
    <row r="321" spans="3:10" x14ac:dyDescent="0.25">
      <c r="E321" s="71"/>
      <c r="F321" s="71"/>
      <c r="G321" s="71"/>
      <c r="H321" s="71"/>
      <c r="I321" s="71"/>
      <c r="J321" s="71"/>
    </row>
    <row r="322" spans="3:10" x14ac:dyDescent="0.25">
      <c r="E322" s="73"/>
      <c r="F322" s="73"/>
      <c r="G322" s="73"/>
      <c r="H322" s="73"/>
      <c r="I322" s="73"/>
      <c r="J322" s="73"/>
    </row>
    <row r="329" spans="3:10" x14ac:dyDescent="0.25">
      <c r="C329" s="37"/>
    </row>
    <row r="330" spans="3:10" x14ac:dyDescent="0.25">
      <c r="C330" s="37"/>
    </row>
    <row r="331" spans="3:10" x14ac:dyDescent="0.25">
      <c r="C331" s="37"/>
    </row>
  </sheetData>
  <mergeCells count="8">
    <mergeCell ref="K10:K11"/>
    <mergeCell ref="A5:B5"/>
    <mergeCell ref="A6:B6"/>
    <mergeCell ref="A7:B7"/>
    <mergeCell ref="D10:D11"/>
    <mergeCell ref="C10:C11"/>
    <mergeCell ref="B10:B11"/>
    <mergeCell ref="A10:A11"/>
  </mergeCells>
  <phoneticPr fontId="21" type="noConversion"/>
  <hyperlinks>
    <hyperlink ref="C1" location="Ecrêtage!A1" display="← Précédent" xr:uid="{617DF37A-F812-48AD-A070-5ECCEB5FCAF3}"/>
    <hyperlink ref="E1" location="Population!A1" display="Suivant →" xr:uid="{88AC5A9E-3CD9-4E67-A12C-D58A70624CB5}"/>
    <hyperlink ref="D1" location="'Table des matières'!A1" display="Table des             matières" xr:uid="{0CC4E5F6-F04B-4697-A166-7DC7DA60803C}"/>
  </hyperlinks>
  <pageMargins left="0.25" right="0.25" top="0.75" bottom="0.75" header="0.3" footer="0.3"/>
  <pageSetup paperSize="9" orientation="landscape" horizontalDpi="4294967292" verticalDpi="4294967292" r:id="rId1"/>
  <headerFooter alignWithMargins="0"/>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Feuil9">
    <tabColor theme="6" tint="0.39997558519241921"/>
  </sheetPr>
  <dimension ref="A1:L320"/>
  <sheetViews>
    <sheetView workbookViewId="0">
      <pane ySplit="8" topLeftCell="A9" activePane="bottomLeft" state="frozen"/>
      <selection pane="bottomLeft" activeCell="A9" sqref="A9"/>
    </sheetView>
  </sheetViews>
  <sheetFormatPr baseColWidth="10" defaultColWidth="11" defaultRowHeight="15" x14ac:dyDescent="0.25"/>
  <cols>
    <col min="1" max="1" width="7.25" style="11" customWidth="1"/>
    <col min="2" max="2" width="20.25" style="11" bestFit="1" customWidth="1"/>
    <col min="3" max="3" width="10.375" style="11" customWidth="1"/>
    <col min="4" max="10" width="10" style="11" customWidth="1"/>
    <col min="11" max="11" width="13" style="11" customWidth="1"/>
    <col min="12" max="12" width="3.625" style="11" customWidth="1"/>
    <col min="13" max="16384" width="11" style="11"/>
  </cols>
  <sheetData>
    <row r="1" spans="1:12" s="283" customFormat="1" ht="26.25" x14ac:dyDescent="0.4">
      <c r="A1" s="281" t="s">
        <v>357</v>
      </c>
      <c r="B1" s="282"/>
      <c r="C1" s="285"/>
      <c r="G1" s="411" t="s">
        <v>406</v>
      </c>
      <c r="H1" s="305" t="s">
        <v>398</v>
      </c>
      <c r="I1" s="503" t="s">
        <v>407</v>
      </c>
    </row>
    <row r="2" spans="1:12" s="219" customFormat="1" ht="15.75" customHeight="1" x14ac:dyDescent="0.25">
      <c r="A2" s="358" t="str">
        <f>Paramètres!B4</f>
        <v>Acomptes 2023</v>
      </c>
      <c r="B2" s="32"/>
      <c r="C2" s="221"/>
      <c r="L2" s="391"/>
    </row>
    <row r="3" spans="1:12" x14ac:dyDescent="0.25">
      <c r="A3" s="22"/>
      <c r="B3" s="40"/>
      <c r="L3" s="391"/>
    </row>
    <row r="4" spans="1:12" ht="18.75" customHeight="1" x14ac:dyDescent="0.25">
      <c r="A4" s="22"/>
      <c r="B4" s="40"/>
      <c r="C4" s="669" t="s">
        <v>259</v>
      </c>
      <c r="D4" s="670"/>
      <c r="E4" s="670"/>
      <c r="F4" s="670"/>
      <c r="G4" s="670"/>
      <c r="H4" s="670"/>
      <c r="I4" s="670"/>
      <c r="J4" s="671"/>
      <c r="L4" s="391"/>
    </row>
    <row r="5" spans="1:12" x14ac:dyDescent="0.25">
      <c r="C5" s="78" t="s">
        <v>258</v>
      </c>
      <c r="D5" s="66">
        <f>Paramètres!B28</f>
        <v>0</v>
      </c>
      <c r="E5" s="66">
        <f>Paramètres!C28</f>
        <v>1000</v>
      </c>
      <c r="F5" s="66">
        <f>Paramètres!D28</f>
        <v>3000</v>
      </c>
      <c r="G5" s="66">
        <f>Paramètres!E28</f>
        <v>5000</v>
      </c>
      <c r="H5" s="66">
        <f>Paramètres!F28</f>
        <v>9000</v>
      </c>
      <c r="I5" s="66">
        <f>Paramètres!G28</f>
        <v>12000</v>
      </c>
      <c r="J5" s="66">
        <f>Paramètres!H28</f>
        <v>15000</v>
      </c>
      <c r="L5" s="391"/>
    </row>
    <row r="6" spans="1:12" x14ac:dyDescent="0.25">
      <c r="C6" s="69" t="s">
        <v>260</v>
      </c>
      <c r="D6" s="66">
        <f>Paramètres!B29</f>
        <v>1000</v>
      </c>
      <c r="E6" s="66">
        <f>Paramètres!C29</f>
        <v>3000</v>
      </c>
      <c r="F6" s="66">
        <f>Paramètres!D29</f>
        <v>5000</v>
      </c>
      <c r="G6" s="66">
        <f>Paramètres!E29</f>
        <v>9000</v>
      </c>
      <c r="H6" s="66">
        <f>Paramètres!F29</f>
        <v>12000</v>
      </c>
      <c r="I6" s="66">
        <f>Paramètres!G29</f>
        <v>15000</v>
      </c>
      <c r="J6" s="66"/>
    </row>
    <row r="7" spans="1:12" ht="30" customHeight="1" x14ac:dyDescent="0.25">
      <c r="A7" s="666" t="s">
        <v>44</v>
      </c>
      <c r="B7" s="666" t="s">
        <v>84</v>
      </c>
      <c r="C7" s="666" t="s">
        <v>257</v>
      </c>
      <c r="D7" s="669" t="s">
        <v>261</v>
      </c>
      <c r="E7" s="670"/>
      <c r="F7" s="670"/>
      <c r="G7" s="670"/>
      <c r="H7" s="670"/>
      <c r="I7" s="670"/>
      <c r="J7" s="671"/>
      <c r="K7" s="666" t="s">
        <v>504</v>
      </c>
    </row>
    <row r="8" spans="1:12" x14ac:dyDescent="0.25">
      <c r="A8" s="667"/>
      <c r="B8" s="668"/>
      <c r="C8" s="668"/>
      <c r="D8" s="162">
        <f>Paramètres!B33</f>
        <v>129.02414486921526</v>
      </c>
      <c r="E8" s="162">
        <f>Paramètres!C33</f>
        <v>361.26760563380276</v>
      </c>
      <c r="F8" s="162">
        <f>Paramètres!D33</f>
        <v>516.09657947686105</v>
      </c>
      <c r="G8" s="162">
        <f>Paramètres!E33</f>
        <v>619.31589537223329</v>
      </c>
      <c r="H8" s="162">
        <f>Paramètres!F33</f>
        <v>877.36418511066393</v>
      </c>
      <c r="I8" s="162">
        <f>Paramètres!G33</f>
        <v>1032.1931589537221</v>
      </c>
      <c r="J8" s="162">
        <f>Paramètres!H33</f>
        <v>1083.8028169014083</v>
      </c>
      <c r="K8" s="668"/>
    </row>
    <row r="9" spans="1:12" x14ac:dyDescent="0.25">
      <c r="A9" s="36">
        <f>Données!A6</f>
        <v>5401</v>
      </c>
      <c r="B9" s="171" t="str">
        <f>Données!B6</f>
        <v>Aigle</v>
      </c>
      <c r="C9" s="41">
        <f>Données!Z6</f>
        <v>10828</v>
      </c>
      <c r="D9" s="8">
        <f>IF($C9&gt;D$5,IF($C9&lt;D$6,$C9-D$5,D$6-D$5),0)</f>
        <v>1000</v>
      </c>
      <c r="E9" s="12">
        <f t="shared" ref="E9:I24" si="0">IF($C9&gt;E$5,IF($C9&lt;E$6,$C9-E$5,E$6-E$5),0)</f>
        <v>2000</v>
      </c>
      <c r="F9" s="8">
        <f t="shared" si="0"/>
        <v>2000</v>
      </c>
      <c r="G9" s="12">
        <f t="shared" si="0"/>
        <v>4000</v>
      </c>
      <c r="H9" s="31">
        <f t="shared" si="0"/>
        <v>1828</v>
      </c>
      <c r="I9" s="8">
        <f t="shared" si="0"/>
        <v>0</v>
      </c>
      <c r="J9" s="8">
        <f>IF(C9&gt;$J$5,C9-$J$5,0)</f>
        <v>0</v>
      </c>
      <c r="K9" s="72">
        <f>-((D9*D$8)+(E9*E$8)+(F9*F$8)+(G9*G$8)+(H9*H$8)+(I9*I$8)+(J9*J$8))</f>
        <v>-5964837.8269617688</v>
      </c>
    </row>
    <row r="10" spans="1:12" x14ac:dyDescent="0.25">
      <c r="A10" s="38">
        <f>Données!A7</f>
        <v>5402</v>
      </c>
      <c r="B10" s="171" t="str">
        <f>Données!B7</f>
        <v>Bex</v>
      </c>
      <c r="C10" s="8">
        <f>Données!Z7</f>
        <v>8063</v>
      </c>
      <c r="D10" s="8">
        <f t="shared" ref="D10:I64" si="1">IF($C10&gt;D$5,IF($C10&lt;D$6,$C10-D$5,D$6-D$5),0)</f>
        <v>1000</v>
      </c>
      <c r="E10" s="226">
        <f t="shared" si="0"/>
        <v>2000</v>
      </c>
      <c r="F10" s="8">
        <f t="shared" si="0"/>
        <v>2000</v>
      </c>
      <c r="G10" s="226">
        <f t="shared" si="0"/>
        <v>3063</v>
      </c>
      <c r="H10" s="31">
        <f t="shared" si="0"/>
        <v>0</v>
      </c>
      <c r="I10" s="8">
        <f t="shared" si="0"/>
        <v>0</v>
      </c>
      <c r="J10" s="8">
        <f t="shared" ref="J10:J73" si="2">IF(C10&gt;$J$5,C10-$J$5,0)</f>
        <v>0</v>
      </c>
      <c r="K10" s="72">
        <f t="shared" ref="K10:K73" si="3">-((D10*D$8)+(E10*E$8)+(F10*F$8)+(G10*G$8)+(H10*H$8)+(I10*I$8)+(J10*J$8))</f>
        <v>-3780717.1026156936</v>
      </c>
    </row>
    <row r="11" spans="1:12" s="219" customFormat="1" x14ac:dyDescent="0.25">
      <c r="A11" s="38">
        <f>Données!A8</f>
        <v>5403</v>
      </c>
      <c r="B11" s="171" t="str">
        <f>Données!B8</f>
        <v>Chessel</v>
      </c>
      <c r="C11" s="8">
        <f>Données!Z8</f>
        <v>497</v>
      </c>
      <c r="D11" s="8">
        <f t="shared" si="1"/>
        <v>497</v>
      </c>
      <c r="E11" s="238">
        <f t="shared" si="0"/>
        <v>0</v>
      </c>
      <c r="F11" s="8">
        <f t="shared" si="0"/>
        <v>0</v>
      </c>
      <c r="G11" s="238">
        <f t="shared" si="0"/>
        <v>0</v>
      </c>
      <c r="H11" s="31">
        <f t="shared" si="0"/>
        <v>0</v>
      </c>
      <c r="I11" s="8">
        <f t="shared" si="0"/>
        <v>0</v>
      </c>
      <c r="J11" s="8">
        <f t="shared" si="2"/>
        <v>0</v>
      </c>
      <c r="K11" s="72">
        <f t="shared" si="3"/>
        <v>-64124.999999999985</v>
      </c>
    </row>
    <row r="12" spans="1:12" s="219" customFormat="1" x14ac:dyDescent="0.25">
      <c r="A12" s="38">
        <f>Données!A9</f>
        <v>5404</v>
      </c>
      <c r="B12" s="171" t="str">
        <f>Données!B9</f>
        <v>Corbeyrier</v>
      </c>
      <c r="C12" s="8">
        <f>Données!Z9</f>
        <v>439</v>
      </c>
      <c r="D12" s="8">
        <f t="shared" si="1"/>
        <v>439</v>
      </c>
      <c r="E12" s="238">
        <f t="shared" si="0"/>
        <v>0</v>
      </c>
      <c r="F12" s="8">
        <f t="shared" si="0"/>
        <v>0</v>
      </c>
      <c r="G12" s="238">
        <f t="shared" si="0"/>
        <v>0</v>
      </c>
      <c r="H12" s="31">
        <f t="shared" si="0"/>
        <v>0</v>
      </c>
      <c r="I12" s="8">
        <f t="shared" si="0"/>
        <v>0</v>
      </c>
      <c r="J12" s="8">
        <f t="shared" si="2"/>
        <v>0</v>
      </c>
      <c r="K12" s="72">
        <f t="shared" si="3"/>
        <v>-56641.599597585504</v>
      </c>
    </row>
    <row r="13" spans="1:12" s="219" customFormat="1" x14ac:dyDescent="0.25">
      <c r="A13" s="38">
        <f>Données!A10</f>
        <v>5405</v>
      </c>
      <c r="B13" s="171" t="str">
        <f>Données!B10</f>
        <v>Gryon</v>
      </c>
      <c r="C13" s="8">
        <f>Données!Z10</f>
        <v>1382</v>
      </c>
      <c r="D13" s="8">
        <f t="shared" si="1"/>
        <v>1000</v>
      </c>
      <c r="E13" s="238">
        <f t="shared" si="0"/>
        <v>382</v>
      </c>
      <c r="F13" s="8">
        <f t="shared" si="0"/>
        <v>0</v>
      </c>
      <c r="G13" s="238">
        <f t="shared" si="0"/>
        <v>0</v>
      </c>
      <c r="H13" s="31">
        <f t="shared" si="0"/>
        <v>0</v>
      </c>
      <c r="I13" s="8">
        <f t="shared" si="0"/>
        <v>0</v>
      </c>
      <c r="J13" s="8">
        <f t="shared" si="2"/>
        <v>0</v>
      </c>
      <c r="K13" s="72">
        <f t="shared" si="3"/>
        <v>-267028.37022132787</v>
      </c>
    </row>
    <row r="14" spans="1:12" s="219" customFormat="1" x14ac:dyDescent="0.25">
      <c r="A14" s="38">
        <f>Données!A11</f>
        <v>5406</v>
      </c>
      <c r="B14" s="171" t="str">
        <f>Données!B11</f>
        <v>Lavey-Morcles</v>
      </c>
      <c r="C14" s="8">
        <f>Données!Z11</f>
        <v>966</v>
      </c>
      <c r="D14" s="8">
        <f t="shared" si="1"/>
        <v>966</v>
      </c>
      <c r="E14" s="238">
        <f t="shared" si="0"/>
        <v>0</v>
      </c>
      <c r="F14" s="8">
        <f t="shared" si="0"/>
        <v>0</v>
      </c>
      <c r="G14" s="238">
        <f t="shared" si="0"/>
        <v>0</v>
      </c>
      <c r="H14" s="31">
        <f t="shared" si="0"/>
        <v>0</v>
      </c>
      <c r="I14" s="8">
        <f t="shared" si="0"/>
        <v>0</v>
      </c>
      <c r="J14" s="8">
        <f t="shared" si="2"/>
        <v>0</v>
      </c>
      <c r="K14" s="72">
        <f t="shared" si="3"/>
        <v>-124637.32394366195</v>
      </c>
    </row>
    <row r="15" spans="1:12" s="219" customFormat="1" x14ac:dyDescent="0.25">
      <c r="A15" s="38">
        <f>Données!A12</f>
        <v>5407</v>
      </c>
      <c r="B15" s="171" t="str">
        <f>Données!B12</f>
        <v>Leysin</v>
      </c>
      <c r="C15" s="8">
        <f>Données!Z12</f>
        <v>3637</v>
      </c>
      <c r="D15" s="8">
        <f t="shared" si="1"/>
        <v>1000</v>
      </c>
      <c r="E15" s="238">
        <f t="shared" si="0"/>
        <v>2000</v>
      </c>
      <c r="F15" s="8">
        <f t="shared" si="0"/>
        <v>637</v>
      </c>
      <c r="G15" s="238">
        <f t="shared" si="0"/>
        <v>0</v>
      </c>
      <c r="H15" s="31">
        <f t="shared" si="0"/>
        <v>0</v>
      </c>
      <c r="I15" s="8">
        <f t="shared" si="0"/>
        <v>0</v>
      </c>
      <c r="J15" s="8">
        <f t="shared" si="2"/>
        <v>0</v>
      </c>
      <c r="K15" s="72">
        <f t="shared" si="3"/>
        <v>-1180312.8772635814</v>
      </c>
    </row>
    <row r="16" spans="1:12" s="219" customFormat="1" x14ac:dyDescent="0.25">
      <c r="A16" s="38">
        <f>Données!A13</f>
        <v>5408</v>
      </c>
      <c r="B16" s="171" t="str">
        <f>Données!B13</f>
        <v>Noville</v>
      </c>
      <c r="C16" s="8">
        <f>Données!Z13</f>
        <v>1169</v>
      </c>
      <c r="D16" s="8">
        <f t="shared" si="1"/>
        <v>1000</v>
      </c>
      <c r="E16" s="238">
        <f t="shared" si="0"/>
        <v>169</v>
      </c>
      <c r="F16" s="8">
        <f t="shared" si="0"/>
        <v>0</v>
      </c>
      <c r="G16" s="238">
        <f t="shared" si="0"/>
        <v>0</v>
      </c>
      <c r="H16" s="31">
        <f t="shared" si="0"/>
        <v>0</v>
      </c>
      <c r="I16" s="8">
        <f t="shared" si="0"/>
        <v>0</v>
      </c>
      <c r="J16" s="8">
        <f t="shared" si="2"/>
        <v>0</v>
      </c>
      <c r="K16" s="72">
        <f t="shared" si="3"/>
        <v>-190078.37022132793</v>
      </c>
    </row>
    <row r="17" spans="1:11" s="219" customFormat="1" x14ac:dyDescent="0.25">
      <c r="A17" s="38">
        <f>Données!A14</f>
        <v>5409</v>
      </c>
      <c r="B17" s="171" t="str">
        <f>Données!B14</f>
        <v>Ollon</v>
      </c>
      <c r="C17" s="8">
        <f>Données!Z14</f>
        <v>7904</v>
      </c>
      <c r="D17" s="8">
        <f t="shared" si="1"/>
        <v>1000</v>
      </c>
      <c r="E17" s="238">
        <f t="shared" si="0"/>
        <v>2000</v>
      </c>
      <c r="F17" s="8">
        <f t="shared" si="0"/>
        <v>2000</v>
      </c>
      <c r="G17" s="238">
        <f t="shared" si="0"/>
        <v>2904</v>
      </c>
      <c r="H17" s="31">
        <f t="shared" si="0"/>
        <v>0</v>
      </c>
      <c r="I17" s="8">
        <f t="shared" si="0"/>
        <v>0</v>
      </c>
      <c r="J17" s="8">
        <f t="shared" si="2"/>
        <v>0</v>
      </c>
      <c r="K17" s="72">
        <f t="shared" si="3"/>
        <v>-3682245.8752515083</v>
      </c>
    </row>
    <row r="18" spans="1:11" s="219" customFormat="1" x14ac:dyDescent="0.25">
      <c r="A18" s="38">
        <f>Données!A15</f>
        <v>5410</v>
      </c>
      <c r="B18" s="171" t="str">
        <f>Données!B15</f>
        <v>Ormont-Dessous</v>
      </c>
      <c r="C18" s="8">
        <f>Données!Z15</f>
        <v>1162</v>
      </c>
      <c r="D18" s="8">
        <f t="shared" si="1"/>
        <v>1000</v>
      </c>
      <c r="E18" s="238">
        <f t="shared" si="0"/>
        <v>162</v>
      </c>
      <c r="F18" s="8">
        <f t="shared" si="0"/>
        <v>0</v>
      </c>
      <c r="G18" s="238">
        <f t="shared" si="0"/>
        <v>0</v>
      </c>
      <c r="H18" s="31">
        <f t="shared" si="0"/>
        <v>0</v>
      </c>
      <c r="I18" s="8">
        <f t="shared" si="0"/>
        <v>0</v>
      </c>
      <c r="J18" s="8">
        <f t="shared" si="2"/>
        <v>0</v>
      </c>
      <c r="K18" s="72">
        <f t="shared" si="3"/>
        <v>-187549.49698189131</v>
      </c>
    </row>
    <row r="19" spans="1:11" x14ac:dyDescent="0.25">
      <c r="A19" s="38">
        <f>Données!A16</f>
        <v>5411</v>
      </c>
      <c r="B19" s="171" t="str">
        <f>Données!B16</f>
        <v>Ormont-Dessus</v>
      </c>
      <c r="C19" s="8">
        <f>Données!Z16</f>
        <v>1451</v>
      </c>
      <c r="D19" s="8">
        <f t="shared" si="1"/>
        <v>1000</v>
      </c>
      <c r="E19" s="226">
        <f t="shared" si="0"/>
        <v>451</v>
      </c>
      <c r="F19" s="8">
        <f t="shared" si="0"/>
        <v>0</v>
      </c>
      <c r="G19" s="226">
        <f t="shared" si="0"/>
        <v>0</v>
      </c>
      <c r="H19" s="31">
        <f t="shared" si="0"/>
        <v>0</v>
      </c>
      <c r="I19" s="8">
        <f t="shared" si="0"/>
        <v>0</v>
      </c>
      <c r="J19" s="8">
        <f t="shared" si="2"/>
        <v>0</v>
      </c>
      <c r="K19" s="72">
        <f t="shared" si="3"/>
        <v>-291955.83501006034</v>
      </c>
    </row>
    <row r="20" spans="1:11" x14ac:dyDescent="0.25">
      <c r="A20" s="38">
        <f>Données!A17</f>
        <v>5412</v>
      </c>
      <c r="B20" s="171" t="str">
        <f>Données!B17</f>
        <v>Rennaz</v>
      </c>
      <c r="C20" s="8">
        <f>Données!Z17</f>
        <v>883</v>
      </c>
      <c r="D20" s="8">
        <f t="shared" si="1"/>
        <v>883</v>
      </c>
      <c r="E20" s="226">
        <f t="shared" si="0"/>
        <v>0</v>
      </c>
      <c r="F20" s="8">
        <f t="shared" si="0"/>
        <v>0</v>
      </c>
      <c r="G20" s="226">
        <f t="shared" si="0"/>
        <v>0</v>
      </c>
      <c r="H20" s="31">
        <f t="shared" si="0"/>
        <v>0</v>
      </c>
      <c r="I20" s="8">
        <f t="shared" si="0"/>
        <v>0</v>
      </c>
      <c r="J20" s="8">
        <f t="shared" si="2"/>
        <v>0</v>
      </c>
      <c r="K20" s="72">
        <f t="shared" si="3"/>
        <v>-113928.31991951707</v>
      </c>
    </row>
    <row r="21" spans="1:11" x14ac:dyDescent="0.25">
      <c r="A21" s="38">
        <f>Données!A18</f>
        <v>5413</v>
      </c>
      <c r="B21" s="171" t="str">
        <f>Données!B18</f>
        <v>Roche</v>
      </c>
      <c r="C21" s="8">
        <f>Données!Z18</f>
        <v>1874</v>
      </c>
      <c r="D21" s="8">
        <f t="shared" si="1"/>
        <v>1000</v>
      </c>
      <c r="E21" s="226">
        <f t="shared" si="0"/>
        <v>874</v>
      </c>
      <c r="F21" s="8">
        <f t="shared" si="0"/>
        <v>0</v>
      </c>
      <c r="G21" s="226">
        <f t="shared" si="0"/>
        <v>0</v>
      </c>
      <c r="H21" s="31">
        <f t="shared" si="0"/>
        <v>0</v>
      </c>
      <c r="I21" s="8">
        <f t="shared" si="0"/>
        <v>0</v>
      </c>
      <c r="J21" s="8">
        <f t="shared" si="2"/>
        <v>0</v>
      </c>
      <c r="K21" s="72">
        <f t="shared" si="3"/>
        <v>-444772.03219315887</v>
      </c>
    </row>
    <row r="22" spans="1:11" x14ac:dyDescent="0.25">
      <c r="A22" s="38">
        <f>Données!A19</f>
        <v>5414</v>
      </c>
      <c r="B22" s="171" t="str">
        <f>Données!B19</f>
        <v>Villeneuve</v>
      </c>
      <c r="C22" s="8">
        <f>Données!Z19</f>
        <v>5921</v>
      </c>
      <c r="D22" s="8">
        <f t="shared" si="1"/>
        <v>1000</v>
      </c>
      <c r="E22" s="226">
        <f t="shared" si="0"/>
        <v>2000</v>
      </c>
      <c r="F22" s="8">
        <f t="shared" si="0"/>
        <v>2000</v>
      </c>
      <c r="G22" s="226">
        <f t="shared" si="0"/>
        <v>921</v>
      </c>
      <c r="H22" s="31">
        <f t="shared" si="0"/>
        <v>0</v>
      </c>
      <c r="I22" s="8">
        <f t="shared" si="0"/>
        <v>0</v>
      </c>
      <c r="J22" s="8">
        <f t="shared" si="2"/>
        <v>0</v>
      </c>
      <c r="K22" s="72">
        <f t="shared" si="3"/>
        <v>-2454142.4547283696</v>
      </c>
    </row>
    <row r="23" spans="1:11" x14ac:dyDescent="0.25">
      <c r="A23" s="38">
        <f>Données!A20</f>
        <v>5415</v>
      </c>
      <c r="B23" s="171" t="str">
        <f>Données!B20</f>
        <v>Yvorne</v>
      </c>
      <c r="C23" s="8">
        <f>Données!Z20</f>
        <v>1038</v>
      </c>
      <c r="D23" s="8">
        <f t="shared" si="1"/>
        <v>1000</v>
      </c>
      <c r="E23" s="226">
        <f t="shared" si="0"/>
        <v>38</v>
      </c>
      <c r="F23" s="8">
        <f t="shared" si="0"/>
        <v>0</v>
      </c>
      <c r="G23" s="226">
        <f t="shared" si="0"/>
        <v>0</v>
      </c>
      <c r="H23" s="31">
        <f t="shared" si="0"/>
        <v>0</v>
      </c>
      <c r="I23" s="8">
        <f t="shared" si="0"/>
        <v>0</v>
      </c>
      <c r="J23" s="8">
        <f t="shared" si="2"/>
        <v>0</v>
      </c>
      <c r="K23" s="72">
        <f t="shared" si="3"/>
        <v>-142752.31388329976</v>
      </c>
    </row>
    <row r="24" spans="1:11" x14ac:dyDescent="0.25">
      <c r="A24" s="38">
        <f>Données!A21</f>
        <v>5422</v>
      </c>
      <c r="B24" s="171" t="str">
        <f>Données!B21</f>
        <v>Aubonne</v>
      </c>
      <c r="C24" s="8">
        <f>Données!Z21</f>
        <v>3781</v>
      </c>
      <c r="D24" s="8">
        <f t="shared" si="1"/>
        <v>1000</v>
      </c>
      <c r="E24" s="226">
        <f t="shared" si="0"/>
        <v>2000</v>
      </c>
      <c r="F24" s="8">
        <f t="shared" si="0"/>
        <v>781</v>
      </c>
      <c r="G24" s="226">
        <f t="shared" si="0"/>
        <v>0</v>
      </c>
      <c r="H24" s="31">
        <f t="shared" si="0"/>
        <v>0</v>
      </c>
      <c r="I24" s="8">
        <f t="shared" si="0"/>
        <v>0</v>
      </c>
      <c r="J24" s="8">
        <f t="shared" si="2"/>
        <v>0</v>
      </c>
      <c r="K24" s="72">
        <f t="shared" si="3"/>
        <v>-1254630.7847082491</v>
      </c>
    </row>
    <row r="25" spans="1:11" x14ac:dyDescent="0.25">
      <c r="A25" s="38">
        <f>Données!A22</f>
        <v>5423</v>
      </c>
      <c r="B25" s="171" t="str">
        <f>Données!B22</f>
        <v>Ballens</v>
      </c>
      <c r="C25" s="8">
        <f>Données!Z22</f>
        <v>567</v>
      </c>
      <c r="D25" s="8">
        <f t="shared" si="1"/>
        <v>567</v>
      </c>
      <c r="E25" s="226">
        <f t="shared" si="1"/>
        <v>0</v>
      </c>
      <c r="F25" s="8">
        <f t="shared" si="1"/>
        <v>0</v>
      </c>
      <c r="G25" s="226">
        <f t="shared" si="1"/>
        <v>0</v>
      </c>
      <c r="H25" s="31">
        <f t="shared" si="1"/>
        <v>0</v>
      </c>
      <c r="I25" s="8">
        <f t="shared" si="1"/>
        <v>0</v>
      </c>
      <c r="J25" s="8">
        <f t="shared" si="2"/>
        <v>0</v>
      </c>
      <c r="K25" s="72">
        <f t="shared" si="3"/>
        <v>-73156.69014084505</v>
      </c>
    </row>
    <row r="26" spans="1:11" x14ac:dyDescent="0.25">
      <c r="A26" s="38">
        <f>Données!A23</f>
        <v>5424</v>
      </c>
      <c r="B26" s="171" t="str">
        <f>Données!B23</f>
        <v>Berolle</v>
      </c>
      <c r="C26" s="8">
        <f>Données!Z23</f>
        <v>308</v>
      </c>
      <c r="D26" s="8">
        <f t="shared" si="1"/>
        <v>308</v>
      </c>
      <c r="E26" s="226">
        <f t="shared" si="1"/>
        <v>0</v>
      </c>
      <c r="F26" s="8">
        <f t="shared" si="1"/>
        <v>0</v>
      </c>
      <c r="G26" s="226">
        <f t="shared" si="1"/>
        <v>0</v>
      </c>
      <c r="H26" s="31">
        <f t="shared" si="1"/>
        <v>0</v>
      </c>
      <c r="I26" s="8">
        <f t="shared" si="1"/>
        <v>0</v>
      </c>
      <c r="J26" s="8">
        <f t="shared" si="2"/>
        <v>0</v>
      </c>
      <c r="K26" s="72">
        <f t="shared" si="3"/>
        <v>-39739.436619718304</v>
      </c>
    </row>
    <row r="27" spans="1:11" x14ac:dyDescent="0.25">
      <c r="A27" s="38">
        <f>Données!A24</f>
        <v>5425</v>
      </c>
      <c r="B27" s="171" t="str">
        <f>Données!B24</f>
        <v>Bière</v>
      </c>
      <c r="C27" s="8">
        <f>Données!Z24</f>
        <v>1634</v>
      </c>
      <c r="D27" s="8">
        <f t="shared" si="1"/>
        <v>1000</v>
      </c>
      <c r="E27" s="226">
        <f t="shared" si="1"/>
        <v>634</v>
      </c>
      <c r="F27" s="8">
        <f t="shared" si="1"/>
        <v>0</v>
      </c>
      <c r="G27" s="226">
        <f t="shared" si="1"/>
        <v>0</v>
      </c>
      <c r="H27" s="31">
        <f t="shared" si="1"/>
        <v>0</v>
      </c>
      <c r="I27" s="8">
        <f t="shared" si="1"/>
        <v>0</v>
      </c>
      <c r="J27" s="8">
        <f t="shared" si="2"/>
        <v>0</v>
      </c>
      <c r="K27" s="72">
        <f t="shared" si="3"/>
        <v>-358067.8068410462</v>
      </c>
    </row>
    <row r="28" spans="1:11" x14ac:dyDescent="0.25">
      <c r="A28" s="38">
        <f>Données!A25</f>
        <v>5426</v>
      </c>
      <c r="B28" s="171" t="str">
        <f>Données!B25</f>
        <v>Bougy-Villars</v>
      </c>
      <c r="C28" s="8">
        <f>Données!Z25</f>
        <v>497</v>
      </c>
      <c r="D28" s="8">
        <f t="shared" si="1"/>
        <v>497</v>
      </c>
      <c r="E28" s="226">
        <f t="shared" si="1"/>
        <v>0</v>
      </c>
      <c r="F28" s="8">
        <f t="shared" si="1"/>
        <v>0</v>
      </c>
      <c r="G28" s="226">
        <f t="shared" si="1"/>
        <v>0</v>
      </c>
      <c r="H28" s="31">
        <f t="shared" si="1"/>
        <v>0</v>
      </c>
      <c r="I28" s="8">
        <f t="shared" si="1"/>
        <v>0</v>
      </c>
      <c r="J28" s="8">
        <f t="shared" si="2"/>
        <v>0</v>
      </c>
      <c r="K28" s="72">
        <f t="shared" si="3"/>
        <v>-64124.999999999985</v>
      </c>
    </row>
    <row r="29" spans="1:11" x14ac:dyDescent="0.25">
      <c r="A29" s="38">
        <f>Données!A26</f>
        <v>5427</v>
      </c>
      <c r="B29" s="171" t="str">
        <f>Données!B26</f>
        <v>Féchy</v>
      </c>
      <c r="C29" s="8">
        <f>Données!Z26</f>
        <v>893</v>
      </c>
      <c r="D29" s="8">
        <f t="shared" si="1"/>
        <v>893</v>
      </c>
      <c r="E29" s="226">
        <f t="shared" si="1"/>
        <v>0</v>
      </c>
      <c r="F29" s="8">
        <f t="shared" si="1"/>
        <v>0</v>
      </c>
      <c r="G29" s="226">
        <f t="shared" si="1"/>
        <v>0</v>
      </c>
      <c r="H29" s="31">
        <f t="shared" si="1"/>
        <v>0</v>
      </c>
      <c r="I29" s="8">
        <f t="shared" si="1"/>
        <v>0</v>
      </c>
      <c r="J29" s="8">
        <f t="shared" si="2"/>
        <v>0</v>
      </c>
      <c r="K29" s="72">
        <f t="shared" si="3"/>
        <v>-115218.56136820924</v>
      </c>
    </row>
    <row r="30" spans="1:11" x14ac:dyDescent="0.25">
      <c r="A30" s="38">
        <f>Données!A27</f>
        <v>5428</v>
      </c>
      <c r="B30" s="171" t="str">
        <f>Données!B27</f>
        <v>Gimel</v>
      </c>
      <c r="C30" s="8">
        <f>Données!Z27</f>
        <v>2402</v>
      </c>
      <c r="D30" s="8">
        <f t="shared" si="1"/>
        <v>1000</v>
      </c>
      <c r="E30" s="226">
        <f t="shared" si="1"/>
        <v>1402</v>
      </c>
      <c r="F30" s="8">
        <f t="shared" si="1"/>
        <v>0</v>
      </c>
      <c r="G30" s="226">
        <f t="shared" si="1"/>
        <v>0</v>
      </c>
      <c r="H30" s="31">
        <f t="shared" si="1"/>
        <v>0</v>
      </c>
      <c r="I30" s="8">
        <f t="shared" si="1"/>
        <v>0</v>
      </c>
      <c r="J30" s="8">
        <f t="shared" si="2"/>
        <v>0</v>
      </c>
      <c r="K30" s="72">
        <f t="shared" si="3"/>
        <v>-635521.32796780672</v>
      </c>
    </row>
    <row r="31" spans="1:11" x14ac:dyDescent="0.25">
      <c r="A31" s="38">
        <f>Données!A28</f>
        <v>5429</v>
      </c>
      <c r="B31" s="171" t="str">
        <f>Données!B28</f>
        <v>Longirod</v>
      </c>
      <c r="C31" s="8">
        <f>Données!Z28</f>
        <v>520</v>
      </c>
      <c r="D31" s="8">
        <f t="shared" si="1"/>
        <v>520</v>
      </c>
      <c r="E31" s="226">
        <f t="shared" si="1"/>
        <v>0</v>
      </c>
      <c r="F31" s="8">
        <f t="shared" si="1"/>
        <v>0</v>
      </c>
      <c r="G31" s="226">
        <f t="shared" si="1"/>
        <v>0</v>
      </c>
      <c r="H31" s="31">
        <f t="shared" si="1"/>
        <v>0</v>
      </c>
      <c r="I31" s="8">
        <f t="shared" si="1"/>
        <v>0</v>
      </c>
      <c r="J31" s="8">
        <f t="shared" si="2"/>
        <v>0</v>
      </c>
      <c r="K31" s="72">
        <f t="shared" si="3"/>
        <v>-67092.555331991942</v>
      </c>
    </row>
    <row r="32" spans="1:11" x14ac:dyDescent="0.25">
      <c r="A32" s="38">
        <f>Données!A29</f>
        <v>5430</v>
      </c>
      <c r="B32" s="171" t="str">
        <f>Données!B29</f>
        <v>Marchissy</v>
      </c>
      <c r="C32" s="8">
        <f>Données!Z29</f>
        <v>485</v>
      </c>
      <c r="D32" s="8">
        <f t="shared" si="1"/>
        <v>485</v>
      </c>
      <c r="E32" s="226">
        <f t="shared" si="1"/>
        <v>0</v>
      </c>
      <c r="F32" s="8">
        <f t="shared" si="1"/>
        <v>0</v>
      </c>
      <c r="G32" s="226">
        <f t="shared" si="1"/>
        <v>0</v>
      </c>
      <c r="H32" s="31">
        <f t="shared" si="1"/>
        <v>0</v>
      </c>
      <c r="I32" s="8">
        <f t="shared" si="1"/>
        <v>0</v>
      </c>
      <c r="J32" s="8">
        <f t="shared" si="2"/>
        <v>0</v>
      </c>
      <c r="K32" s="72">
        <f t="shared" si="3"/>
        <v>-62576.710261569402</v>
      </c>
    </row>
    <row r="33" spans="1:11" x14ac:dyDescent="0.25">
      <c r="A33" s="38">
        <f>Données!A30</f>
        <v>5431</v>
      </c>
      <c r="B33" s="171" t="str">
        <f>Données!B30</f>
        <v>Mollens</v>
      </c>
      <c r="C33" s="8">
        <f>Données!Z30</f>
        <v>319</v>
      </c>
      <c r="D33" s="8">
        <f t="shared" si="1"/>
        <v>319</v>
      </c>
      <c r="E33" s="226">
        <f t="shared" si="1"/>
        <v>0</v>
      </c>
      <c r="F33" s="8">
        <f t="shared" si="1"/>
        <v>0</v>
      </c>
      <c r="G33" s="226">
        <f t="shared" si="1"/>
        <v>0</v>
      </c>
      <c r="H33" s="31">
        <f t="shared" si="1"/>
        <v>0</v>
      </c>
      <c r="I33" s="8">
        <f t="shared" si="1"/>
        <v>0</v>
      </c>
      <c r="J33" s="8">
        <f t="shared" si="2"/>
        <v>0</v>
      </c>
      <c r="K33" s="72">
        <f t="shared" si="3"/>
        <v>-41158.70221327967</v>
      </c>
    </row>
    <row r="34" spans="1:11" x14ac:dyDescent="0.25">
      <c r="A34" s="38">
        <f>Données!A31</f>
        <v>5434</v>
      </c>
      <c r="B34" s="171" t="str">
        <f>Données!B31</f>
        <v>Saint-George</v>
      </c>
      <c r="C34" s="8">
        <f>Données!Z31</f>
        <v>1072</v>
      </c>
      <c r="D34" s="8">
        <f t="shared" si="1"/>
        <v>1000</v>
      </c>
      <c r="E34" s="226">
        <f t="shared" si="1"/>
        <v>72</v>
      </c>
      <c r="F34" s="8">
        <f t="shared" si="1"/>
        <v>0</v>
      </c>
      <c r="G34" s="226">
        <f t="shared" si="1"/>
        <v>0</v>
      </c>
      <c r="H34" s="31">
        <f t="shared" si="1"/>
        <v>0</v>
      </c>
      <c r="I34" s="8">
        <f t="shared" si="1"/>
        <v>0</v>
      </c>
      <c r="J34" s="8">
        <f t="shared" si="2"/>
        <v>0</v>
      </c>
      <c r="K34" s="72">
        <f t="shared" si="3"/>
        <v>-155035.41247484906</v>
      </c>
    </row>
    <row r="35" spans="1:11" x14ac:dyDescent="0.25">
      <c r="A35" s="38">
        <f>Données!A32</f>
        <v>5435</v>
      </c>
      <c r="B35" s="171" t="str">
        <f>Données!B32</f>
        <v>Saint-Livres</v>
      </c>
      <c r="C35" s="8">
        <f>Données!Z32</f>
        <v>674</v>
      </c>
      <c r="D35" s="8">
        <f t="shared" si="1"/>
        <v>674</v>
      </c>
      <c r="E35" s="226">
        <f t="shared" si="1"/>
        <v>0</v>
      </c>
      <c r="F35" s="8">
        <f t="shared" si="1"/>
        <v>0</v>
      </c>
      <c r="G35" s="226">
        <f t="shared" si="1"/>
        <v>0</v>
      </c>
      <c r="H35" s="31">
        <f t="shared" si="1"/>
        <v>0</v>
      </c>
      <c r="I35" s="8">
        <f t="shared" si="1"/>
        <v>0</v>
      </c>
      <c r="J35" s="8">
        <f t="shared" si="2"/>
        <v>0</v>
      </c>
      <c r="K35" s="72">
        <f t="shared" si="3"/>
        <v>-86962.27364185109</v>
      </c>
    </row>
    <row r="36" spans="1:11" x14ac:dyDescent="0.25">
      <c r="A36" s="38">
        <f>Données!A33</f>
        <v>5436</v>
      </c>
      <c r="B36" s="171" t="str">
        <f>Données!B33</f>
        <v>Saint-Oyens</v>
      </c>
      <c r="C36" s="8">
        <f>Données!Z33</f>
        <v>458</v>
      </c>
      <c r="D36" s="8">
        <f t="shared" si="1"/>
        <v>458</v>
      </c>
      <c r="E36" s="226">
        <f t="shared" si="1"/>
        <v>0</v>
      </c>
      <c r="F36" s="8">
        <f t="shared" si="1"/>
        <v>0</v>
      </c>
      <c r="G36" s="226">
        <f t="shared" si="1"/>
        <v>0</v>
      </c>
      <c r="H36" s="31">
        <f t="shared" si="1"/>
        <v>0</v>
      </c>
      <c r="I36" s="8">
        <f t="shared" si="1"/>
        <v>0</v>
      </c>
      <c r="J36" s="8">
        <f t="shared" si="2"/>
        <v>0</v>
      </c>
      <c r="K36" s="72">
        <f t="shared" si="3"/>
        <v>-59093.058350100589</v>
      </c>
    </row>
    <row r="37" spans="1:11" x14ac:dyDescent="0.25">
      <c r="A37" s="38">
        <f>Données!A34</f>
        <v>5437</v>
      </c>
      <c r="B37" s="171" t="str">
        <f>Données!B34</f>
        <v>Saubraz</v>
      </c>
      <c r="C37" s="8">
        <f>Données!Z34</f>
        <v>444</v>
      </c>
      <c r="D37" s="8">
        <f t="shared" si="1"/>
        <v>444</v>
      </c>
      <c r="E37" s="226">
        <f t="shared" si="1"/>
        <v>0</v>
      </c>
      <c r="F37" s="8">
        <f t="shared" si="1"/>
        <v>0</v>
      </c>
      <c r="G37" s="226">
        <f t="shared" si="1"/>
        <v>0</v>
      </c>
      <c r="H37" s="31">
        <f t="shared" si="1"/>
        <v>0</v>
      </c>
      <c r="I37" s="8">
        <f t="shared" si="1"/>
        <v>0</v>
      </c>
      <c r="J37" s="8">
        <f t="shared" si="2"/>
        <v>0</v>
      </c>
      <c r="K37" s="72">
        <f t="shared" si="3"/>
        <v>-57286.720321931578</v>
      </c>
    </row>
    <row r="38" spans="1:11" x14ac:dyDescent="0.25">
      <c r="A38" s="38">
        <f>Données!A35</f>
        <v>5451</v>
      </c>
      <c r="B38" s="171" t="str">
        <f>Données!B35</f>
        <v>Avenches</v>
      </c>
      <c r="C38" s="8">
        <f>Données!Z35</f>
        <v>4616</v>
      </c>
      <c r="D38" s="8">
        <f t="shared" si="1"/>
        <v>1000</v>
      </c>
      <c r="E38" s="226">
        <f t="shared" si="1"/>
        <v>2000</v>
      </c>
      <c r="F38" s="8">
        <f t="shared" si="1"/>
        <v>1616</v>
      </c>
      <c r="G38" s="226">
        <f t="shared" si="1"/>
        <v>0</v>
      </c>
      <c r="H38" s="31">
        <f t="shared" si="1"/>
        <v>0</v>
      </c>
      <c r="I38" s="8">
        <f t="shared" si="1"/>
        <v>0</v>
      </c>
      <c r="J38" s="8">
        <f t="shared" si="2"/>
        <v>0</v>
      </c>
      <c r="K38" s="72">
        <f t="shared" si="3"/>
        <v>-1685571.4285714282</v>
      </c>
    </row>
    <row r="39" spans="1:11" x14ac:dyDescent="0.25">
      <c r="A39" s="38">
        <f>Données!A36</f>
        <v>5456</v>
      </c>
      <c r="B39" s="171" t="str">
        <f>Données!B36</f>
        <v>Cudrefin</v>
      </c>
      <c r="C39" s="8">
        <f>Données!Z36</f>
        <v>1836</v>
      </c>
      <c r="D39" s="8">
        <f t="shared" si="1"/>
        <v>1000</v>
      </c>
      <c r="E39" s="226">
        <f t="shared" si="1"/>
        <v>836</v>
      </c>
      <c r="F39" s="8">
        <f t="shared" si="1"/>
        <v>0</v>
      </c>
      <c r="G39" s="226">
        <f t="shared" si="1"/>
        <v>0</v>
      </c>
      <c r="H39" s="31">
        <f t="shared" si="1"/>
        <v>0</v>
      </c>
      <c r="I39" s="8">
        <f t="shared" si="1"/>
        <v>0</v>
      </c>
      <c r="J39" s="8">
        <f t="shared" si="2"/>
        <v>0</v>
      </c>
      <c r="K39" s="72">
        <f t="shared" si="3"/>
        <v>-431043.86317907437</v>
      </c>
    </row>
    <row r="40" spans="1:11" x14ac:dyDescent="0.25">
      <c r="A40" s="38">
        <f>Données!A37</f>
        <v>5458</v>
      </c>
      <c r="B40" s="171" t="str">
        <f>Données!B37</f>
        <v>Faoug</v>
      </c>
      <c r="C40" s="8">
        <f>Données!Z37</f>
        <v>866</v>
      </c>
      <c r="D40" s="8">
        <f t="shared" si="1"/>
        <v>866</v>
      </c>
      <c r="E40" s="226">
        <f t="shared" si="1"/>
        <v>0</v>
      </c>
      <c r="F40" s="8">
        <f t="shared" si="1"/>
        <v>0</v>
      </c>
      <c r="G40" s="226">
        <f t="shared" si="1"/>
        <v>0</v>
      </c>
      <c r="H40" s="31">
        <f t="shared" si="1"/>
        <v>0</v>
      </c>
      <c r="I40" s="8">
        <f t="shared" si="1"/>
        <v>0</v>
      </c>
      <c r="J40" s="8">
        <f t="shared" si="2"/>
        <v>0</v>
      </c>
      <c r="K40" s="72">
        <f t="shared" si="3"/>
        <v>-111734.90945674042</v>
      </c>
    </row>
    <row r="41" spans="1:11" x14ac:dyDescent="0.25">
      <c r="A41" s="38">
        <f>Données!A38</f>
        <v>5464</v>
      </c>
      <c r="B41" s="171" t="str">
        <f>Données!B38</f>
        <v>Vully-les-Lacs</v>
      </c>
      <c r="C41" s="8">
        <f>Données!Z38</f>
        <v>3465</v>
      </c>
      <c r="D41" s="8">
        <f t="shared" si="1"/>
        <v>1000</v>
      </c>
      <c r="E41" s="226">
        <f t="shared" si="1"/>
        <v>2000</v>
      </c>
      <c r="F41" s="8">
        <f t="shared" si="1"/>
        <v>465</v>
      </c>
      <c r="G41" s="226">
        <f t="shared" si="1"/>
        <v>0</v>
      </c>
      <c r="H41" s="31">
        <f t="shared" si="1"/>
        <v>0</v>
      </c>
      <c r="I41" s="8">
        <f t="shared" si="1"/>
        <v>0</v>
      </c>
      <c r="J41" s="8">
        <f t="shared" si="2"/>
        <v>0</v>
      </c>
      <c r="K41" s="72">
        <f t="shared" si="3"/>
        <v>-1091544.2655935611</v>
      </c>
    </row>
    <row r="42" spans="1:11" x14ac:dyDescent="0.25">
      <c r="A42" s="38">
        <f>Données!A39</f>
        <v>5471</v>
      </c>
      <c r="B42" s="171" t="str">
        <f>Données!B39</f>
        <v>Bettens</v>
      </c>
      <c r="C42" s="8">
        <f>Données!Z39</f>
        <v>626</v>
      </c>
      <c r="D42" s="8">
        <f t="shared" si="1"/>
        <v>626</v>
      </c>
      <c r="E42" s="226">
        <f t="shared" si="1"/>
        <v>0</v>
      </c>
      <c r="F42" s="8">
        <f t="shared" si="1"/>
        <v>0</v>
      </c>
      <c r="G42" s="226">
        <f t="shared" si="1"/>
        <v>0</v>
      </c>
      <c r="H42" s="31">
        <f t="shared" si="1"/>
        <v>0</v>
      </c>
      <c r="I42" s="8">
        <f t="shared" si="1"/>
        <v>0</v>
      </c>
      <c r="J42" s="8">
        <f t="shared" si="2"/>
        <v>0</v>
      </c>
      <c r="K42" s="72">
        <f t="shared" si="3"/>
        <v>-80769.114688128757</v>
      </c>
    </row>
    <row r="43" spans="1:11" x14ac:dyDescent="0.25">
      <c r="A43" s="38">
        <f>Données!A40</f>
        <v>5472</v>
      </c>
      <c r="B43" s="171" t="str">
        <f>Données!B40</f>
        <v>Bournens</v>
      </c>
      <c r="C43" s="8">
        <f>Données!Z40</f>
        <v>507</v>
      </c>
      <c r="D43" s="8">
        <f t="shared" si="1"/>
        <v>507</v>
      </c>
      <c r="E43" s="226">
        <f t="shared" si="1"/>
        <v>0</v>
      </c>
      <c r="F43" s="8">
        <f t="shared" si="1"/>
        <v>0</v>
      </c>
      <c r="G43" s="226">
        <f t="shared" si="1"/>
        <v>0</v>
      </c>
      <c r="H43" s="31">
        <f t="shared" si="1"/>
        <v>0</v>
      </c>
      <c r="I43" s="8">
        <f t="shared" si="1"/>
        <v>0</v>
      </c>
      <c r="J43" s="8">
        <f t="shared" si="2"/>
        <v>0</v>
      </c>
      <c r="K43" s="72">
        <f t="shared" si="3"/>
        <v>-65415.241448692141</v>
      </c>
    </row>
    <row r="44" spans="1:11" x14ac:dyDescent="0.25">
      <c r="A44" s="38">
        <f>Données!A41</f>
        <v>5473</v>
      </c>
      <c r="B44" s="171" t="str">
        <f>Données!B41</f>
        <v>Boussens</v>
      </c>
      <c r="C44" s="8">
        <f>Données!Z41</f>
        <v>1001</v>
      </c>
      <c r="D44" s="8">
        <f t="shared" si="1"/>
        <v>1000</v>
      </c>
      <c r="E44" s="226">
        <f t="shared" si="1"/>
        <v>1</v>
      </c>
      <c r="F44" s="8">
        <f t="shared" si="1"/>
        <v>0</v>
      </c>
      <c r="G44" s="226">
        <f t="shared" si="1"/>
        <v>0</v>
      </c>
      <c r="H44" s="31">
        <f t="shared" si="1"/>
        <v>0</v>
      </c>
      <c r="I44" s="8">
        <f t="shared" si="1"/>
        <v>0</v>
      </c>
      <c r="J44" s="8">
        <f t="shared" si="2"/>
        <v>0</v>
      </c>
      <c r="K44" s="72">
        <f t="shared" si="3"/>
        <v>-129385.41247484907</v>
      </c>
    </row>
    <row r="45" spans="1:11" x14ac:dyDescent="0.25">
      <c r="A45" s="38">
        <f>Données!A42</f>
        <v>5474</v>
      </c>
      <c r="B45" s="171" t="str">
        <f>Données!B42</f>
        <v>La Chaux (Cossonay)</v>
      </c>
      <c r="C45" s="8">
        <f>Données!Z42</f>
        <v>398</v>
      </c>
      <c r="D45" s="8">
        <f t="shared" si="1"/>
        <v>398</v>
      </c>
      <c r="E45" s="226">
        <f t="shared" si="1"/>
        <v>0</v>
      </c>
      <c r="F45" s="8">
        <f t="shared" si="1"/>
        <v>0</v>
      </c>
      <c r="G45" s="226">
        <f t="shared" si="1"/>
        <v>0</v>
      </c>
      <c r="H45" s="31">
        <f t="shared" si="1"/>
        <v>0</v>
      </c>
      <c r="I45" s="8">
        <f t="shared" si="1"/>
        <v>0</v>
      </c>
      <c r="J45" s="8">
        <f t="shared" si="2"/>
        <v>0</v>
      </c>
      <c r="K45" s="72">
        <f t="shared" si="3"/>
        <v>-51351.609657947673</v>
      </c>
    </row>
    <row r="46" spans="1:11" x14ac:dyDescent="0.25">
      <c r="A46" s="38">
        <f>Données!A43</f>
        <v>5475</v>
      </c>
      <c r="B46" s="171" t="str">
        <f>Données!B43</f>
        <v>Chavannes-le-Veyron</v>
      </c>
      <c r="C46" s="8">
        <f>Données!Z43</f>
        <v>155</v>
      </c>
      <c r="D46" s="8">
        <f t="shared" si="1"/>
        <v>155</v>
      </c>
      <c r="E46" s="226">
        <f t="shared" si="1"/>
        <v>0</v>
      </c>
      <c r="F46" s="8">
        <f t="shared" si="1"/>
        <v>0</v>
      </c>
      <c r="G46" s="226">
        <f t="shared" si="1"/>
        <v>0</v>
      </c>
      <c r="H46" s="31">
        <f t="shared" si="1"/>
        <v>0</v>
      </c>
      <c r="I46" s="8">
        <f t="shared" si="1"/>
        <v>0</v>
      </c>
      <c r="J46" s="8">
        <f t="shared" si="2"/>
        <v>0</v>
      </c>
      <c r="K46" s="72">
        <f t="shared" si="3"/>
        <v>-19998.742454728366</v>
      </c>
    </row>
    <row r="47" spans="1:11" x14ac:dyDescent="0.25">
      <c r="A47" s="38">
        <f>Données!A44</f>
        <v>5476</v>
      </c>
      <c r="B47" s="171" t="str">
        <f>Données!B44</f>
        <v>Chevilly</v>
      </c>
      <c r="C47" s="8">
        <f>Données!Z44</f>
        <v>322</v>
      </c>
      <c r="D47" s="8">
        <f t="shared" si="1"/>
        <v>322</v>
      </c>
      <c r="E47" s="226">
        <f t="shared" si="1"/>
        <v>0</v>
      </c>
      <c r="F47" s="8">
        <f t="shared" si="1"/>
        <v>0</v>
      </c>
      <c r="G47" s="226">
        <f t="shared" si="1"/>
        <v>0</v>
      </c>
      <c r="H47" s="31">
        <f t="shared" si="1"/>
        <v>0</v>
      </c>
      <c r="I47" s="8">
        <f t="shared" si="1"/>
        <v>0</v>
      </c>
      <c r="J47" s="8">
        <f t="shared" si="2"/>
        <v>0</v>
      </c>
      <c r="K47" s="72">
        <f t="shared" si="3"/>
        <v>-41545.774647887316</v>
      </c>
    </row>
    <row r="48" spans="1:11" x14ac:dyDescent="0.25">
      <c r="A48" s="38">
        <f>Données!A45</f>
        <v>5477</v>
      </c>
      <c r="B48" s="171" t="str">
        <f>Données!B45</f>
        <v>Cossonay</v>
      </c>
      <c r="C48" s="8">
        <f>Données!Z45</f>
        <v>4326</v>
      </c>
      <c r="D48" s="8">
        <f t="shared" si="1"/>
        <v>1000</v>
      </c>
      <c r="E48" s="226">
        <f t="shared" si="1"/>
        <v>2000</v>
      </c>
      <c r="F48" s="8">
        <f t="shared" si="1"/>
        <v>1326</v>
      </c>
      <c r="G48" s="226">
        <f t="shared" si="1"/>
        <v>0</v>
      </c>
      <c r="H48" s="31">
        <f t="shared" si="1"/>
        <v>0</v>
      </c>
      <c r="I48" s="8">
        <f t="shared" si="1"/>
        <v>0</v>
      </c>
      <c r="J48" s="8">
        <f t="shared" si="2"/>
        <v>0</v>
      </c>
      <c r="K48" s="72">
        <f t="shared" si="3"/>
        <v>-1535903.4205231385</v>
      </c>
    </row>
    <row r="49" spans="1:11" x14ac:dyDescent="0.25">
      <c r="A49" s="38">
        <f>Données!A46</f>
        <v>5479</v>
      </c>
      <c r="B49" s="171" t="str">
        <f>Données!B46</f>
        <v>Cuarnens</v>
      </c>
      <c r="C49" s="8">
        <f>Données!Z46</f>
        <v>531</v>
      </c>
      <c r="D49" s="8">
        <f t="shared" si="1"/>
        <v>531</v>
      </c>
      <c r="E49" s="226">
        <f t="shared" si="1"/>
        <v>0</v>
      </c>
      <c r="F49" s="8">
        <f t="shared" si="1"/>
        <v>0</v>
      </c>
      <c r="G49" s="226">
        <f t="shared" si="1"/>
        <v>0</v>
      </c>
      <c r="H49" s="31">
        <f t="shared" si="1"/>
        <v>0</v>
      </c>
      <c r="I49" s="8">
        <f t="shared" si="1"/>
        <v>0</v>
      </c>
      <c r="J49" s="8">
        <f t="shared" si="2"/>
        <v>0</v>
      </c>
      <c r="K49" s="72">
        <f t="shared" si="3"/>
        <v>-68511.8209255533</v>
      </c>
    </row>
    <row r="50" spans="1:11" x14ac:dyDescent="0.25">
      <c r="A50" s="38">
        <f>Données!A47</f>
        <v>5480</v>
      </c>
      <c r="B50" s="171" t="str">
        <f>Données!B47</f>
        <v>Daillens</v>
      </c>
      <c r="C50" s="8">
        <f>Données!Z47</f>
        <v>1051</v>
      </c>
      <c r="D50" s="8">
        <f t="shared" si="1"/>
        <v>1000</v>
      </c>
      <c r="E50" s="226">
        <f t="shared" si="1"/>
        <v>51</v>
      </c>
      <c r="F50" s="8">
        <f t="shared" si="1"/>
        <v>0</v>
      </c>
      <c r="G50" s="226">
        <f t="shared" si="1"/>
        <v>0</v>
      </c>
      <c r="H50" s="31">
        <f t="shared" si="1"/>
        <v>0</v>
      </c>
      <c r="I50" s="8">
        <f t="shared" si="1"/>
        <v>0</v>
      </c>
      <c r="J50" s="8">
        <f t="shared" si="2"/>
        <v>0</v>
      </c>
      <c r="K50" s="72">
        <f t="shared" si="3"/>
        <v>-147448.79275653919</v>
      </c>
    </row>
    <row r="51" spans="1:11" x14ac:dyDescent="0.25">
      <c r="A51" s="38">
        <f>Données!A48</f>
        <v>5481</v>
      </c>
      <c r="B51" s="171" t="str">
        <f>Données!B48</f>
        <v>Dizy</v>
      </c>
      <c r="C51" s="8">
        <f>Données!Z48</f>
        <v>225</v>
      </c>
      <c r="D51" s="8">
        <f t="shared" si="1"/>
        <v>225</v>
      </c>
      <c r="E51" s="226">
        <f t="shared" si="1"/>
        <v>0</v>
      </c>
      <c r="F51" s="8">
        <f t="shared" si="1"/>
        <v>0</v>
      </c>
      <c r="G51" s="226">
        <f t="shared" si="1"/>
        <v>0</v>
      </c>
      <c r="H51" s="31">
        <f t="shared" si="1"/>
        <v>0</v>
      </c>
      <c r="I51" s="8">
        <f t="shared" si="1"/>
        <v>0</v>
      </c>
      <c r="J51" s="8">
        <f t="shared" si="2"/>
        <v>0</v>
      </c>
      <c r="K51" s="72">
        <f t="shared" si="3"/>
        <v>-29030.432595573435</v>
      </c>
    </row>
    <row r="52" spans="1:11" x14ac:dyDescent="0.25">
      <c r="A52" s="38">
        <f>Données!A49</f>
        <v>5482</v>
      </c>
      <c r="B52" s="171" t="str">
        <f>Données!B49</f>
        <v>Eclépens</v>
      </c>
      <c r="C52" s="8">
        <f>Données!Z49</f>
        <v>1198</v>
      </c>
      <c r="D52" s="8">
        <f t="shared" si="1"/>
        <v>1000</v>
      </c>
      <c r="E52" s="226">
        <f t="shared" si="1"/>
        <v>198</v>
      </c>
      <c r="F52" s="8">
        <f t="shared" si="1"/>
        <v>0</v>
      </c>
      <c r="G52" s="226">
        <f t="shared" si="1"/>
        <v>0</v>
      </c>
      <c r="H52" s="31">
        <f t="shared" si="1"/>
        <v>0</v>
      </c>
      <c r="I52" s="8">
        <f t="shared" si="1"/>
        <v>0</v>
      </c>
      <c r="J52" s="8">
        <f t="shared" si="2"/>
        <v>0</v>
      </c>
      <c r="K52" s="72">
        <f t="shared" si="3"/>
        <v>-200555.13078470819</v>
      </c>
    </row>
    <row r="53" spans="1:11" x14ac:dyDescent="0.25">
      <c r="A53" s="38">
        <f>Données!A50</f>
        <v>5483</v>
      </c>
      <c r="B53" s="171" t="str">
        <f>Données!B50</f>
        <v>Ferreyres</v>
      </c>
      <c r="C53" s="8">
        <f>Données!Z50</f>
        <v>319</v>
      </c>
      <c r="D53" s="8">
        <f t="shared" si="1"/>
        <v>319</v>
      </c>
      <c r="E53" s="226">
        <f t="shared" si="1"/>
        <v>0</v>
      </c>
      <c r="F53" s="8">
        <f t="shared" si="1"/>
        <v>0</v>
      </c>
      <c r="G53" s="226">
        <f t="shared" si="1"/>
        <v>0</v>
      </c>
      <c r="H53" s="31">
        <f t="shared" si="1"/>
        <v>0</v>
      </c>
      <c r="I53" s="8">
        <f t="shared" si="1"/>
        <v>0</v>
      </c>
      <c r="J53" s="8">
        <f t="shared" si="2"/>
        <v>0</v>
      </c>
      <c r="K53" s="72">
        <f t="shared" si="3"/>
        <v>-41158.70221327967</v>
      </c>
    </row>
    <row r="54" spans="1:11" x14ac:dyDescent="0.25">
      <c r="A54" s="38">
        <f>Données!A51</f>
        <v>5484</v>
      </c>
      <c r="B54" s="171" t="str">
        <f>Données!B51</f>
        <v>Gollion</v>
      </c>
      <c r="C54" s="8">
        <f>Données!Z51</f>
        <v>1018</v>
      </c>
      <c r="D54" s="8">
        <f t="shared" si="1"/>
        <v>1000</v>
      </c>
      <c r="E54" s="226">
        <f t="shared" si="1"/>
        <v>18</v>
      </c>
      <c r="F54" s="8">
        <f t="shared" si="1"/>
        <v>0</v>
      </c>
      <c r="G54" s="226">
        <f t="shared" si="1"/>
        <v>0</v>
      </c>
      <c r="H54" s="31">
        <f t="shared" si="1"/>
        <v>0</v>
      </c>
      <c r="I54" s="8">
        <f t="shared" si="1"/>
        <v>0</v>
      </c>
      <c r="J54" s="8">
        <f t="shared" si="2"/>
        <v>0</v>
      </c>
      <c r="K54" s="72">
        <f t="shared" si="3"/>
        <v>-135526.96177062372</v>
      </c>
    </row>
    <row r="55" spans="1:11" x14ac:dyDescent="0.25">
      <c r="A55" s="38">
        <f>Données!A52</f>
        <v>5485</v>
      </c>
      <c r="B55" s="171" t="str">
        <f>Données!B52</f>
        <v>Grancy</v>
      </c>
      <c r="C55" s="8">
        <f>Données!Z52</f>
        <v>445</v>
      </c>
      <c r="D55" s="8">
        <f t="shared" si="1"/>
        <v>445</v>
      </c>
      <c r="E55" s="226">
        <f t="shared" si="1"/>
        <v>0</v>
      </c>
      <c r="F55" s="8">
        <f t="shared" si="1"/>
        <v>0</v>
      </c>
      <c r="G55" s="226">
        <f t="shared" si="1"/>
        <v>0</v>
      </c>
      <c r="H55" s="31">
        <f t="shared" si="1"/>
        <v>0</v>
      </c>
      <c r="I55" s="8">
        <f t="shared" si="1"/>
        <v>0</v>
      </c>
      <c r="J55" s="8">
        <f t="shared" si="2"/>
        <v>0</v>
      </c>
      <c r="K55" s="72">
        <f t="shared" si="3"/>
        <v>-57415.744466800796</v>
      </c>
    </row>
    <row r="56" spans="1:11" x14ac:dyDescent="0.25">
      <c r="A56" s="38">
        <f>Données!A53</f>
        <v>5486</v>
      </c>
      <c r="B56" s="171" t="str">
        <f>Données!B53</f>
        <v>L'Isle</v>
      </c>
      <c r="C56" s="8">
        <f>Données!Z53</f>
        <v>1079</v>
      </c>
      <c r="D56" s="8">
        <f t="shared" si="1"/>
        <v>1000</v>
      </c>
      <c r="E56" s="226">
        <f t="shared" si="1"/>
        <v>79</v>
      </c>
      <c r="F56" s="8">
        <f t="shared" si="1"/>
        <v>0</v>
      </c>
      <c r="G56" s="226">
        <f t="shared" si="1"/>
        <v>0</v>
      </c>
      <c r="H56" s="31">
        <f t="shared" si="1"/>
        <v>0</v>
      </c>
      <c r="I56" s="8">
        <f t="shared" si="1"/>
        <v>0</v>
      </c>
      <c r="J56" s="8">
        <f t="shared" si="2"/>
        <v>0</v>
      </c>
      <c r="K56" s="72">
        <f t="shared" si="3"/>
        <v>-157564.28571428568</v>
      </c>
    </row>
    <row r="57" spans="1:11" x14ac:dyDescent="0.25">
      <c r="A57" s="38">
        <f>Données!A54</f>
        <v>5487</v>
      </c>
      <c r="B57" s="171" t="str">
        <f>Données!B54</f>
        <v>Lussery-Villars</v>
      </c>
      <c r="C57" s="8">
        <f>Données!Z54</f>
        <v>475</v>
      </c>
      <c r="D57" s="8">
        <f t="shared" si="1"/>
        <v>475</v>
      </c>
      <c r="E57" s="226">
        <f t="shared" si="1"/>
        <v>0</v>
      </c>
      <c r="F57" s="8">
        <f t="shared" si="1"/>
        <v>0</v>
      </c>
      <c r="G57" s="226">
        <f t="shared" si="1"/>
        <v>0</v>
      </c>
      <c r="H57" s="31">
        <f t="shared" si="1"/>
        <v>0</v>
      </c>
      <c r="I57" s="8">
        <f t="shared" si="1"/>
        <v>0</v>
      </c>
      <c r="J57" s="8">
        <f t="shared" si="2"/>
        <v>0</v>
      </c>
      <c r="K57" s="72">
        <f t="shared" si="3"/>
        <v>-61286.468812877247</v>
      </c>
    </row>
    <row r="58" spans="1:11" x14ac:dyDescent="0.25">
      <c r="A58" s="38">
        <f>Données!A55</f>
        <v>5488</v>
      </c>
      <c r="B58" s="171" t="str">
        <f>Données!B55</f>
        <v>Mauraz</v>
      </c>
      <c r="C58" s="8">
        <f>Données!Z55</f>
        <v>60</v>
      </c>
      <c r="D58" s="8">
        <f t="shared" si="1"/>
        <v>60</v>
      </c>
      <c r="E58" s="226">
        <f t="shared" si="1"/>
        <v>0</v>
      </c>
      <c r="F58" s="8">
        <f t="shared" si="1"/>
        <v>0</v>
      </c>
      <c r="G58" s="226">
        <f t="shared" si="1"/>
        <v>0</v>
      </c>
      <c r="H58" s="31">
        <f t="shared" si="1"/>
        <v>0</v>
      </c>
      <c r="I58" s="8">
        <f t="shared" si="1"/>
        <v>0</v>
      </c>
      <c r="J58" s="8">
        <f t="shared" si="2"/>
        <v>0</v>
      </c>
      <c r="K58" s="72">
        <f t="shared" si="3"/>
        <v>-7741.448692152916</v>
      </c>
    </row>
    <row r="59" spans="1:11" x14ac:dyDescent="0.25">
      <c r="A59" s="38">
        <f>Données!A56</f>
        <v>5489</v>
      </c>
      <c r="B59" s="171" t="str">
        <f>Données!B56</f>
        <v>Mex</v>
      </c>
      <c r="C59" s="8">
        <f>Données!Z56</f>
        <v>795</v>
      </c>
      <c r="D59" s="8">
        <f t="shared" si="1"/>
        <v>795</v>
      </c>
      <c r="E59" s="226">
        <f t="shared" si="1"/>
        <v>0</v>
      </c>
      <c r="F59" s="8">
        <f t="shared" si="1"/>
        <v>0</v>
      </c>
      <c r="G59" s="226">
        <f t="shared" si="1"/>
        <v>0</v>
      </c>
      <c r="H59" s="31">
        <f t="shared" si="1"/>
        <v>0</v>
      </c>
      <c r="I59" s="8">
        <f t="shared" si="1"/>
        <v>0</v>
      </c>
      <c r="J59" s="8">
        <f t="shared" si="2"/>
        <v>0</v>
      </c>
      <c r="K59" s="72">
        <f t="shared" si="3"/>
        <v>-102574.19517102613</v>
      </c>
    </row>
    <row r="60" spans="1:11" x14ac:dyDescent="0.25">
      <c r="A60" s="38">
        <f>Données!A57</f>
        <v>5490</v>
      </c>
      <c r="B60" s="171" t="str">
        <f>Données!B57</f>
        <v>Moiry</v>
      </c>
      <c r="C60" s="8">
        <f>Données!Z57</f>
        <v>301</v>
      </c>
      <c r="D60" s="8">
        <f t="shared" si="1"/>
        <v>301</v>
      </c>
      <c r="E60" s="226">
        <f t="shared" si="1"/>
        <v>0</v>
      </c>
      <c r="F60" s="8">
        <f t="shared" si="1"/>
        <v>0</v>
      </c>
      <c r="G60" s="226">
        <f t="shared" si="1"/>
        <v>0</v>
      </c>
      <c r="H60" s="31">
        <f t="shared" si="1"/>
        <v>0</v>
      </c>
      <c r="I60" s="8">
        <f t="shared" si="1"/>
        <v>0</v>
      </c>
      <c r="J60" s="8">
        <f t="shared" si="2"/>
        <v>0</v>
      </c>
      <c r="K60" s="72">
        <f t="shared" si="3"/>
        <v>-38836.267605633795</v>
      </c>
    </row>
    <row r="61" spans="1:11" x14ac:dyDescent="0.25">
      <c r="A61" s="38">
        <f>Données!A58</f>
        <v>5491</v>
      </c>
      <c r="B61" s="171" t="str">
        <f>Données!B58</f>
        <v>Mont-la-Ville</v>
      </c>
      <c r="C61" s="8">
        <f>Données!Z58</f>
        <v>508</v>
      </c>
      <c r="D61" s="8">
        <f t="shared" si="1"/>
        <v>508</v>
      </c>
      <c r="E61" s="226">
        <f t="shared" si="1"/>
        <v>0</v>
      </c>
      <c r="F61" s="8">
        <f t="shared" si="1"/>
        <v>0</v>
      </c>
      <c r="G61" s="226">
        <f t="shared" si="1"/>
        <v>0</v>
      </c>
      <c r="H61" s="31">
        <f t="shared" si="1"/>
        <v>0</v>
      </c>
      <c r="I61" s="8">
        <f t="shared" si="1"/>
        <v>0</v>
      </c>
      <c r="J61" s="8">
        <f t="shared" si="2"/>
        <v>0</v>
      </c>
      <c r="K61" s="72">
        <f t="shared" si="3"/>
        <v>-65544.265593561358</v>
      </c>
    </row>
    <row r="62" spans="1:11" x14ac:dyDescent="0.25">
      <c r="A62" s="38">
        <f>Données!A59</f>
        <v>5492</v>
      </c>
      <c r="B62" s="171" t="str">
        <f>Données!B59</f>
        <v>Montricher</v>
      </c>
      <c r="C62" s="8">
        <f>Données!Z59</f>
        <v>981</v>
      </c>
      <c r="D62" s="8">
        <f t="shared" si="1"/>
        <v>981</v>
      </c>
      <c r="E62" s="226">
        <f t="shared" si="1"/>
        <v>0</v>
      </c>
      <c r="F62" s="8">
        <f t="shared" si="1"/>
        <v>0</v>
      </c>
      <c r="G62" s="226">
        <f t="shared" si="1"/>
        <v>0</v>
      </c>
      <c r="H62" s="31">
        <f t="shared" si="1"/>
        <v>0</v>
      </c>
      <c r="I62" s="8">
        <f t="shared" si="1"/>
        <v>0</v>
      </c>
      <c r="J62" s="8">
        <f t="shared" si="2"/>
        <v>0</v>
      </c>
      <c r="K62" s="72">
        <f t="shared" si="3"/>
        <v>-126572.68611670018</v>
      </c>
    </row>
    <row r="63" spans="1:11" x14ac:dyDescent="0.25">
      <c r="A63" s="38">
        <f>Données!A60</f>
        <v>5493</v>
      </c>
      <c r="B63" s="171" t="str">
        <f>Données!B60</f>
        <v>Orny</v>
      </c>
      <c r="C63" s="8">
        <f>Données!Z60</f>
        <v>480</v>
      </c>
      <c r="D63" s="8">
        <f t="shared" si="1"/>
        <v>480</v>
      </c>
      <c r="E63" s="226">
        <f t="shared" si="1"/>
        <v>0</v>
      </c>
      <c r="F63" s="8">
        <f t="shared" si="1"/>
        <v>0</v>
      </c>
      <c r="G63" s="226">
        <f t="shared" si="1"/>
        <v>0</v>
      </c>
      <c r="H63" s="31">
        <f t="shared" si="1"/>
        <v>0</v>
      </c>
      <c r="I63" s="8">
        <f t="shared" si="1"/>
        <v>0</v>
      </c>
      <c r="J63" s="8">
        <f t="shared" si="2"/>
        <v>0</v>
      </c>
      <c r="K63" s="72">
        <f t="shared" si="3"/>
        <v>-61931.589537223328</v>
      </c>
    </row>
    <row r="64" spans="1:11" x14ac:dyDescent="0.25">
      <c r="A64" s="38">
        <f>Données!A61</f>
        <v>5495</v>
      </c>
      <c r="B64" s="171" t="str">
        <f>Données!B61</f>
        <v>Penthalaz</v>
      </c>
      <c r="C64" s="8">
        <f>Données!Z61</f>
        <v>3210</v>
      </c>
      <c r="D64" s="8">
        <f t="shared" si="1"/>
        <v>1000</v>
      </c>
      <c r="E64" s="226">
        <f t="shared" si="1"/>
        <v>2000</v>
      </c>
      <c r="F64" s="8">
        <f t="shared" si="1"/>
        <v>210</v>
      </c>
      <c r="G64" s="226">
        <f t="shared" si="1"/>
        <v>0</v>
      </c>
      <c r="H64" s="31">
        <f t="shared" si="1"/>
        <v>0</v>
      </c>
      <c r="I64" s="8">
        <f t="shared" si="1"/>
        <v>0</v>
      </c>
      <c r="J64" s="8">
        <f t="shared" si="2"/>
        <v>0</v>
      </c>
      <c r="K64" s="72">
        <f t="shared" si="3"/>
        <v>-959939.63782696158</v>
      </c>
    </row>
    <row r="65" spans="1:11" x14ac:dyDescent="0.25">
      <c r="A65" s="38">
        <f>Données!A62</f>
        <v>5496</v>
      </c>
      <c r="B65" s="171" t="str">
        <f>Données!B62</f>
        <v>Penthaz</v>
      </c>
      <c r="C65" s="8">
        <f>Données!Z62</f>
        <v>1890</v>
      </c>
      <c r="D65" s="8">
        <f t="shared" ref="D65:I107" si="4">IF($C65&gt;D$5,IF($C65&lt;D$6,$C65-D$5,D$6-D$5),0)</f>
        <v>1000</v>
      </c>
      <c r="E65" s="226">
        <f t="shared" si="4"/>
        <v>890</v>
      </c>
      <c r="F65" s="8">
        <f t="shared" si="4"/>
        <v>0</v>
      </c>
      <c r="G65" s="226">
        <f t="shared" si="4"/>
        <v>0</v>
      </c>
      <c r="H65" s="31">
        <f t="shared" si="4"/>
        <v>0</v>
      </c>
      <c r="I65" s="8">
        <f t="shared" si="4"/>
        <v>0</v>
      </c>
      <c r="J65" s="8">
        <f t="shared" si="2"/>
        <v>0</v>
      </c>
      <c r="K65" s="72">
        <f t="shared" si="3"/>
        <v>-450552.31388329971</v>
      </c>
    </row>
    <row r="66" spans="1:11" x14ac:dyDescent="0.25">
      <c r="A66" s="38">
        <f>Données!A63</f>
        <v>5497</v>
      </c>
      <c r="B66" s="171" t="str">
        <f>Données!B63</f>
        <v>Pompaples</v>
      </c>
      <c r="C66" s="8">
        <f>Données!Z63</f>
        <v>849</v>
      </c>
      <c r="D66" s="8">
        <f t="shared" si="4"/>
        <v>849</v>
      </c>
      <c r="E66" s="226">
        <f t="shared" si="4"/>
        <v>0</v>
      </c>
      <c r="F66" s="8">
        <f t="shared" si="4"/>
        <v>0</v>
      </c>
      <c r="G66" s="226">
        <f t="shared" si="4"/>
        <v>0</v>
      </c>
      <c r="H66" s="31">
        <f t="shared" si="4"/>
        <v>0</v>
      </c>
      <c r="I66" s="8">
        <f t="shared" si="4"/>
        <v>0</v>
      </c>
      <c r="J66" s="8">
        <f t="shared" si="2"/>
        <v>0</v>
      </c>
      <c r="K66" s="72">
        <f t="shared" si="3"/>
        <v>-109541.49899396376</v>
      </c>
    </row>
    <row r="67" spans="1:11" x14ac:dyDescent="0.25">
      <c r="A67" s="38">
        <f>Données!A64</f>
        <v>5498</v>
      </c>
      <c r="B67" s="171" t="str">
        <f>Données!B64</f>
        <v>La Sarraz</v>
      </c>
      <c r="C67" s="8">
        <f>Données!Z64</f>
        <v>2620</v>
      </c>
      <c r="D67" s="8">
        <f t="shared" si="4"/>
        <v>1000</v>
      </c>
      <c r="E67" s="226">
        <f t="shared" si="4"/>
        <v>1620</v>
      </c>
      <c r="F67" s="8">
        <f t="shared" si="4"/>
        <v>0</v>
      </c>
      <c r="G67" s="226">
        <f t="shared" si="4"/>
        <v>0</v>
      </c>
      <c r="H67" s="31">
        <f t="shared" si="4"/>
        <v>0</v>
      </c>
      <c r="I67" s="8">
        <f t="shared" si="4"/>
        <v>0</v>
      </c>
      <c r="J67" s="8">
        <f t="shared" si="2"/>
        <v>0</v>
      </c>
      <c r="K67" s="72">
        <f t="shared" si="3"/>
        <v>-714277.66599597572</v>
      </c>
    </row>
    <row r="68" spans="1:11" x14ac:dyDescent="0.25">
      <c r="A68" s="38">
        <f>Données!A65</f>
        <v>5499</v>
      </c>
      <c r="B68" s="171" t="str">
        <f>Données!B65</f>
        <v>Senarclens</v>
      </c>
      <c r="C68" s="8">
        <f>Données!Z65</f>
        <v>491</v>
      </c>
      <c r="D68" s="8">
        <f t="shared" si="4"/>
        <v>491</v>
      </c>
      <c r="E68" s="226">
        <f t="shared" si="4"/>
        <v>0</v>
      </c>
      <c r="F68" s="8">
        <f t="shared" si="4"/>
        <v>0</v>
      </c>
      <c r="G68" s="226">
        <f t="shared" si="4"/>
        <v>0</v>
      </c>
      <c r="H68" s="31">
        <f t="shared" si="4"/>
        <v>0</v>
      </c>
      <c r="I68" s="8">
        <f t="shared" si="4"/>
        <v>0</v>
      </c>
      <c r="J68" s="8">
        <f t="shared" si="2"/>
        <v>0</v>
      </c>
      <c r="K68" s="72">
        <f t="shared" si="3"/>
        <v>-63350.855130784694</v>
      </c>
    </row>
    <row r="69" spans="1:11" x14ac:dyDescent="0.25">
      <c r="A69" s="38">
        <f>Données!A66</f>
        <v>5501</v>
      </c>
      <c r="B69" s="171" t="str">
        <f>Données!B66</f>
        <v>Sullens</v>
      </c>
      <c r="C69" s="8">
        <f>Données!Z66</f>
        <v>1143</v>
      </c>
      <c r="D69" s="8">
        <f t="shared" si="4"/>
        <v>1000</v>
      </c>
      <c r="E69" s="226">
        <f t="shared" si="4"/>
        <v>143</v>
      </c>
      <c r="F69" s="8">
        <f t="shared" si="4"/>
        <v>0</v>
      </c>
      <c r="G69" s="226">
        <f t="shared" si="4"/>
        <v>0</v>
      </c>
      <c r="H69" s="31">
        <f t="shared" si="4"/>
        <v>0</v>
      </c>
      <c r="I69" s="8">
        <f t="shared" si="4"/>
        <v>0</v>
      </c>
      <c r="J69" s="8">
        <f t="shared" si="2"/>
        <v>0</v>
      </c>
      <c r="K69" s="72">
        <f t="shared" si="3"/>
        <v>-180685.41247484906</v>
      </c>
    </row>
    <row r="70" spans="1:11" x14ac:dyDescent="0.25">
      <c r="A70" s="38">
        <f>Données!A67</f>
        <v>5503</v>
      </c>
      <c r="B70" s="171" t="str">
        <f>Données!B67</f>
        <v>Vufflens-la-Ville</v>
      </c>
      <c r="C70" s="8">
        <f>Données!Z67</f>
        <v>1346</v>
      </c>
      <c r="D70" s="8">
        <f t="shared" si="4"/>
        <v>1000</v>
      </c>
      <c r="E70" s="226">
        <f t="shared" si="4"/>
        <v>346</v>
      </c>
      <c r="F70" s="8">
        <f t="shared" si="4"/>
        <v>0</v>
      </c>
      <c r="G70" s="226">
        <f t="shared" si="4"/>
        <v>0</v>
      </c>
      <c r="H70" s="31">
        <f t="shared" si="4"/>
        <v>0</v>
      </c>
      <c r="I70" s="8">
        <f t="shared" si="4"/>
        <v>0</v>
      </c>
      <c r="J70" s="8">
        <f t="shared" si="2"/>
        <v>0</v>
      </c>
      <c r="K70" s="72">
        <f t="shared" si="3"/>
        <v>-254022.73641851102</v>
      </c>
    </row>
    <row r="71" spans="1:11" x14ac:dyDescent="0.25">
      <c r="A71" s="38">
        <f>Données!A68</f>
        <v>5511</v>
      </c>
      <c r="B71" s="171" t="str">
        <f>Données!B68</f>
        <v>Assens</v>
      </c>
      <c r="C71" s="8">
        <f>Données!Z68</f>
        <v>1669</v>
      </c>
      <c r="D71" s="8">
        <f t="shared" si="4"/>
        <v>1000</v>
      </c>
      <c r="E71" s="226">
        <f t="shared" si="4"/>
        <v>669</v>
      </c>
      <c r="F71" s="8">
        <f t="shared" si="4"/>
        <v>0</v>
      </c>
      <c r="G71" s="226">
        <f t="shared" si="4"/>
        <v>0</v>
      </c>
      <c r="H71" s="31">
        <f t="shared" si="4"/>
        <v>0</v>
      </c>
      <c r="I71" s="8">
        <f t="shared" si="4"/>
        <v>0</v>
      </c>
      <c r="J71" s="8">
        <f t="shared" si="2"/>
        <v>0</v>
      </c>
      <c r="K71" s="72">
        <f t="shared" si="3"/>
        <v>-370712.17303822935</v>
      </c>
    </row>
    <row r="72" spans="1:11" x14ac:dyDescent="0.25">
      <c r="A72" s="38">
        <f>Données!A69</f>
        <v>5512</v>
      </c>
      <c r="B72" s="171" t="str">
        <f>Données!B69</f>
        <v>Bercher</v>
      </c>
      <c r="C72" s="8">
        <f>Données!Z69</f>
        <v>1320</v>
      </c>
      <c r="D72" s="8">
        <f t="shared" si="4"/>
        <v>1000</v>
      </c>
      <c r="E72" s="226">
        <f t="shared" si="4"/>
        <v>320</v>
      </c>
      <c r="F72" s="8">
        <f t="shared" si="4"/>
        <v>0</v>
      </c>
      <c r="G72" s="226">
        <f t="shared" si="4"/>
        <v>0</v>
      </c>
      <c r="H72" s="31">
        <f t="shared" si="4"/>
        <v>0</v>
      </c>
      <c r="I72" s="8">
        <f t="shared" si="4"/>
        <v>0</v>
      </c>
      <c r="J72" s="8">
        <f t="shared" si="2"/>
        <v>0</v>
      </c>
      <c r="K72" s="72">
        <f t="shared" si="3"/>
        <v>-244629.77867203215</v>
      </c>
    </row>
    <row r="73" spans="1:11" x14ac:dyDescent="0.25">
      <c r="A73" s="38">
        <f>Données!A70</f>
        <v>5514</v>
      </c>
      <c r="B73" s="171" t="str">
        <f>Données!B70</f>
        <v>Bottens</v>
      </c>
      <c r="C73" s="8">
        <f>Données!Z70</f>
        <v>1357</v>
      </c>
      <c r="D73" s="8">
        <f t="shared" si="4"/>
        <v>1000</v>
      </c>
      <c r="E73" s="226">
        <f t="shared" si="4"/>
        <v>357</v>
      </c>
      <c r="F73" s="8">
        <f t="shared" si="4"/>
        <v>0</v>
      </c>
      <c r="G73" s="226">
        <f t="shared" si="4"/>
        <v>0</v>
      </c>
      <c r="H73" s="31">
        <f t="shared" si="4"/>
        <v>0</v>
      </c>
      <c r="I73" s="8">
        <f t="shared" si="4"/>
        <v>0</v>
      </c>
      <c r="J73" s="8">
        <f t="shared" si="2"/>
        <v>0</v>
      </c>
      <c r="K73" s="72">
        <f t="shared" si="3"/>
        <v>-257996.68008048285</v>
      </c>
    </row>
    <row r="74" spans="1:11" x14ac:dyDescent="0.25">
      <c r="A74" s="38">
        <f>Données!A71</f>
        <v>5515</v>
      </c>
      <c r="B74" s="171" t="str">
        <f>Données!B71</f>
        <v>Bretigny-sur-Morrens</v>
      </c>
      <c r="C74" s="8">
        <f>Données!Z71</f>
        <v>882</v>
      </c>
      <c r="D74" s="8">
        <f t="shared" si="4"/>
        <v>882</v>
      </c>
      <c r="E74" s="226">
        <f t="shared" si="4"/>
        <v>0</v>
      </c>
      <c r="F74" s="8">
        <f t="shared" si="4"/>
        <v>0</v>
      </c>
      <c r="G74" s="226">
        <f t="shared" si="4"/>
        <v>0</v>
      </c>
      <c r="H74" s="31">
        <f t="shared" si="4"/>
        <v>0</v>
      </c>
      <c r="I74" s="8">
        <f t="shared" si="4"/>
        <v>0</v>
      </c>
      <c r="J74" s="8">
        <f t="shared" ref="J74:J137" si="5">IF(C74&gt;$J$5,C74-$J$5,0)</f>
        <v>0</v>
      </c>
      <c r="K74" s="72">
        <f t="shared" ref="K74:K137" si="6">-((D74*D$8)+(E74*E$8)+(F74*F$8)+(G74*G$8)+(H74*H$8)+(I74*I$8)+(J74*J$8))</f>
        <v>-113799.29577464786</v>
      </c>
    </row>
    <row r="75" spans="1:11" x14ac:dyDescent="0.25">
      <c r="A75" s="38">
        <f>Données!A72</f>
        <v>5516</v>
      </c>
      <c r="B75" s="171" t="str">
        <f>Données!B72</f>
        <v>Cugy</v>
      </c>
      <c r="C75" s="8">
        <f>Données!Z72</f>
        <v>2733</v>
      </c>
      <c r="D75" s="8">
        <f t="shared" si="4"/>
        <v>1000</v>
      </c>
      <c r="E75" s="226">
        <f t="shared" si="4"/>
        <v>1733</v>
      </c>
      <c r="F75" s="8">
        <f t="shared" si="4"/>
        <v>0</v>
      </c>
      <c r="G75" s="226">
        <f t="shared" si="4"/>
        <v>0</v>
      </c>
      <c r="H75" s="31">
        <f t="shared" si="4"/>
        <v>0</v>
      </c>
      <c r="I75" s="8">
        <f t="shared" si="4"/>
        <v>0</v>
      </c>
      <c r="J75" s="8">
        <f t="shared" si="5"/>
        <v>0</v>
      </c>
      <c r="K75" s="72">
        <f t="shared" si="6"/>
        <v>-755100.90543259541</v>
      </c>
    </row>
    <row r="76" spans="1:11" x14ac:dyDescent="0.25">
      <c r="A76" s="38">
        <f>Données!A73</f>
        <v>5518</v>
      </c>
      <c r="B76" s="171" t="str">
        <f>Données!B73</f>
        <v>Echallens</v>
      </c>
      <c r="C76" s="8">
        <f>Données!Z73</f>
        <v>5739</v>
      </c>
      <c r="D76" s="8">
        <f t="shared" si="4"/>
        <v>1000</v>
      </c>
      <c r="E76" s="226">
        <f t="shared" si="4"/>
        <v>2000</v>
      </c>
      <c r="F76" s="8">
        <f t="shared" si="4"/>
        <v>2000</v>
      </c>
      <c r="G76" s="226">
        <f t="shared" si="4"/>
        <v>739</v>
      </c>
      <c r="H76" s="31">
        <f t="shared" si="4"/>
        <v>0</v>
      </c>
      <c r="I76" s="8">
        <f t="shared" si="4"/>
        <v>0</v>
      </c>
      <c r="J76" s="8">
        <f t="shared" si="5"/>
        <v>0</v>
      </c>
      <c r="K76" s="72">
        <f t="shared" si="6"/>
        <v>-2341426.961770623</v>
      </c>
    </row>
    <row r="77" spans="1:11" x14ac:dyDescent="0.25">
      <c r="A77" s="38">
        <f>Données!A74</f>
        <v>5520</v>
      </c>
      <c r="B77" s="171" t="str">
        <f>Données!B74</f>
        <v>Essertines-sur-Yverdon</v>
      </c>
      <c r="C77" s="8">
        <f>Données!Z74</f>
        <v>1059</v>
      </c>
      <c r="D77" s="8">
        <f t="shared" si="4"/>
        <v>1000</v>
      </c>
      <c r="E77" s="226">
        <f t="shared" si="4"/>
        <v>59</v>
      </c>
      <c r="F77" s="8">
        <f t="shared" si="4"/>
        <v>0</v>
      </c>
      <c r="G77" s="226">
        <f t="shared" si="4"/>
        <v>0</v>
      </c>
      <c r="H77" s="31">
        <f t="shared" si="4"/>
        <v>0</v>
      </c>
      <c r="I77" s="8">
        <f t="shared" si="4"/>
        <v>0</v>
      </c>
      <c r="J77" s="8">
        <f t="shared" si="5"/>
        <v>0</v>
      </c>
      <c r="K77" s="72">
        <f t="shared" si="6"/>
        <v>-150338.93360160963</v>
      </c>
    </row>
    <row r="78" spans="1:11" x14ac:dyDescent="0.25">
      <c r="A78" s="38">
        <f>Données!A75</f>
        <v>5521</v>
      </c>
      <c r="B78" s="171" t="str">
        <f>Données!B75</f>
        <v>Etagnières</v>
      </c>
      <c r="C78" s="8">
        <f>Données!Z75</f>
        <v>1148</v>
      </c>
      <c r="D78" s="8">
        <f t="shared" si="4"/>
        <v>1000</v>
      </c>
      <c r="E78" s="226">
        <f t="shared" si="4"/>
        <v>148</v>
      </c>
      <c r="F78" s="8">
        <f t="shared" si="4"/>
        <v>0</v>
      </c>
      <c r="G78" s="226">
        <f t="shared" si="4"/>
        <v>0</v>
      </c>
      <c r="H78" s="31">
        <f t="shared" si="4"/>
        <v>0</v>
      </c>
      <c r="I78" s="8">
        <f t="shared" si="4"/>
        <v>0</v>
      </c>
      <c r="J78" s="8">
        <f t="shared" si="5"/>
        <v>0</v>
      </c>
      <c r="K78" s="72">
        <f t="shared" si="6"/>
        <v>-182491.75050301806</v>
      </c>
    </row>
    <row r="79" spans="1:11" x14ac:dyDescent="0.25">
      <c r="A79" s="38">
        <f>Données!A76</f>
        <v>5522</v>
      </c>
      <c r="B79" s="171" t="str">
        <f>Données!B76</f>
        <v>Fey</v>
      </c>
      <c r="C79" s="8">
        <f>Données!Z76</f>
        <v>754</v>
      </c>
      <c r="D79" s="8">
        <f t="shared" si="4"/>
        <v>754</v>
      </c>
      <c r="E79" s="226">
        <f t="shared" si="4"/>
        <v>0</v>
      </c>
      <c r="F79" s="8">
        <f t="shared" si="4"/>
        <v>0</v>
      </c>
      <c r="G79" s="226">
        <f t="shared" si="4"/>
        <v>0</v>
      </c>
      <c r="H79" s="31">
        <f t="shared" si="4"/>
        <v>0</v>
      </c>
      <c r="I79" s="8">
        <f t="shared" si="4"/>
        <v>0</v>
      </c>
      <c r="J79" s="8">
        <f t="shared" si="5"/>
        <v>0</v>
      </c>
      <c r="K79" s="72">
        <f t="shared" si="6"/>
        <v>-97284.205231388303</v>
      </c>
    </row>
    <row r="80" spans="1:11" x14ac:dyDescent="0.25">
      <c r="A80" s="38">
        <f>Données!A77</f>
        <v>5523</v>
      </c>
      <c r="B80" s="171" t="str">
        <f>Données!B77</f>
        <v>Froideville</v>
      </c>
      <c r="C80" s="8">
        <f>Données!Z77</f>
        <v>2673</v>
      </c>
      <c r="D80" s="8">
        <f t="shared" si="4"/>
        <v>1000</v>
      </c>
      <c r="E80" s="226">
        <f t="shared" si="4"/>
        <v>1673</v>
      </c>
      <c r="F80" s="8">
        <f t="shared" si="4"/>
        <v>0</v>
      </c>
      <c r="G80" s="226">
        <f t="shared" si="4"/>
        <v>0</v>
      </c>
      <c r="H80" s="31">
        <f t="shared" si="4"/>
        <v>0</v>
      </c>
      <c r="I80" s="8">
        <f t="shared" si="4"/>
        <v>0</v>
      </c>
      <c r="J80" s="8">
        <f t="shared" si="5"/>
        <v>0</v>
      </c>
      <c r="K80" s="72">
        <f t="shared" si="6"/>
        <v>-733424.84909456735</v>
      </c>
    </row>
    <row r="81" spans="1:11" x14ac:dyDescent="0.25">
      <c r="A81" s="38">
        <f>Données!A78</f>
        <v>5527</v>
      </c>
      <c r="B81" s="171" t="str">
        <f>Données!B78</f>
        <v>Morrens</v>
      </c>
      <c r="C81" s="8">
        <f>Données!Z78</f>
        <v>1156</v>
      </c>
      <c r="D81" s="8">
        <f t="shared" si="4"/>
        <v>1000</v>
      </c>
      <c r="E81" s="226">
        <f t="shared" si="4"/>
        <v>156</v>
      </c>
      <c r="F81" s="8">
        <f t="shared" si="4"/>
        <v>0</v>
      </c>
      <c r="G81" s="226">
        <f t="shared" si="4"/>
        <v>0</v>
      </c>
      <c r="H81" s="31">
        <f t="shared" si="4"/>
        <v>0</v>
      </c>
      <c r="I81" s="8">
        <f t="shared" si="4"/>
        <v>0</v>
      </c>
      <c r="J81" s="8">
        <f t="shared" si="5"/>
        <v>0</v>
      </c>
      <c r="K81" s="72">
        <f t="shared" si="6"/>
        <v>-185381.89134808851</v>
      </c>
    </row>
    <row r="82" spans="1:11" x14ac:dyDescent="0.25">
      <c r="A82" s="38">
        <f>Données!A79</f>
        <v>5529</v>
      </c>
      <c r="B82" s="171" t="str">
        <f>Données!B79</f>
        <v>Oulens-sous-Echallens</v>
      </c>
      <c r="C82" s="8">
        <f>Données!Z79</f>
        <v>619</v>
      </c>
      <c r="D82" s="8">
        <f t="shared" si="4"/>
        <v>619</v>
      </c>
      <c r="E82" s="226">
        <f t="shared" si="4"/>
        <v>0</v>
      </c>
      <c r="F82" s="8">
        <f t="shared" si="4"/>
        <v>0</v>
      </c>
      <c r="G82" s="226">
        <f t="shared" si="4"/>
        <v>0</v>
      </c>
      <c r="H82" s="31">
        <f t="shared" si="4"/>
        <v>0</v>
      </c>
      <c r="I82" s="8">
        <f t="shared" si="4"/>
        <v>0</v>
      </c>
      <c r="J82" s="8">
        <f t="shared" si="5"/>
        <v>0</v>
      </c>
      <c r="K82" s="72">
        <f t="shared" si="6"/>
        <v>-79865.945674044255</v>
      </c>
    </row>
    <row r="83" spans="1:11" x14ac:dyDescent="0.25">
      <c r="A83" s="38">
        <f>Données!A80</f>
        <v>5530</v>
      </c>
      <c r="B83" s="171" t="str">
        <f>Données!B80</f>
        <v>Pailly</v>
      </c>
      <c r="C83" s="8">
        <f>Données!Z80</f>
        <v>575</v>
      </c>
      <c r="D83" s="8">
        <f t="shared" si="4"/>
        <v>575</v>
      </c>
      <c r="E83" s="226">
        <f t="shared" si="4"/>
        <v>0</v>
      </c>
      <c r="F83" s="8">
        <f t="shared" si="4"/>
        <v>0</v>
      </c>
      <c r="G83" s="226">
        <f t="shared" si="4"/>
        <v>0</v>
      </c>
      <c r="H83" s="31">
        <f t="shared" si="4"/>
        <v>0</v>
      </c>
      <c r="I83" s="8">
        <f t="shared" si="4"/>
        <v>0</v>
      </c>
      <c r="J83" s="8">
        <f t="shared" si="5"/>
        <v>0</v>
      </c>
      <c r="K83" s="72">
        <f t="shared" si="6"/>
        <v>-74188.883299798777</v>
      </c>
    </row>
    <row r="84" spans="1:11" x14ac:dyDescent="0.25">
      <c r="A84" s="38">
        <f>Données!A81</f>
        <v>5531</v>
      </c>
      <c r="B84" s="171" t="str">
        <f>Données!B81</f>
        <v>Penthéréaz</v>
      </c>
      <c r="C84" s="8">
        <f>Données!Z81</f>
        <v>417</v>
      </c>
      <c r="D84" s="8">
        <f t="shared" si="4"/>
        <v>417</v>
      </c>
      <c r="E84" s="226">
        <f t="shared" si="4"/>
        <v>0</v>
      </c>
      <c r="F84" s="8">
        <f t="shared" si="4"/>
        <v>0</v>
      </c>
      <c r="G84" s="226">
        <f t="shared" si="4"/>
        <v>0</v>
      </c>
      <c r="H84" s="31">
        <f t="shared" si="4"/>
        <v>0</v>
      </c>
      <c r="I84" s="8">
        <f t="shared" si="4"/>
        <v>0</v>
      </c>
      <c r="J84" s="8">
        <f t="shared" si="5"/>
        <v>0</v>
      </c>
      <c r="K84" s="72">
        <f t="shared" si="6"/>
        <v>-53803.068410462765</v>
      </c>
    </row>
    <row r="85" spans="1:11" x14ac:dyDescent="0.25">
      <c r="A85" s="38">
        <f>Données!A82</f>
        <v>5533</v>
      </c>
      <c r="B85" s="171" t="str">
        <f>Données!B82</f>
        <v>Poliez-Pittet</v>
      </c>
      <c r="C85" s="8">
        <f>Données!Z82</f>
        <v>833</v>
      </c>
      <c r="D85" s="8">
        <f t="shared" si="4"/>
        <v>833</v>
      </c>
      <c r="E85" s="226">
        <f t="shared" si="4"/>
        <v>0</v>
      </c>
      <c r="F85" s="8">
        <f t="shared" si="4"/>
        <v>0</v>
      </c>
      <c r="G85" s="226">
        <f t="shared" si="4"/>
        <v>0</v>
      </c>
      <c r="H85" s="31">
        <f t="shared" si="4"/>
        <v>0</v>
      </c>
      <c r="I85" s="8">
        <f t="shared" si="4"/>
        <v>0</v>
      </c>
      <c r="J85" s="8">
        <f t="shared" si="5"/>
        <v>0</v>
      </c>
      <c r="K85" s="72">
        <f t="shared" si="6"/>
        <v>-107477.11267605632</v>
      </c>
    </row>
    <row r="86" spans="1:11" x14ac:dyDescent="0.25">
      <c r="A86" s="38">
        <f>Données!A83</f>
        <v>5534</v>
      </c>
      <c r="B86" s="171" t="str">
        <f>Données!B83</f>
        <v>Rueyres</v>
      </c>
      <c r="C86" s="8">
        <f>Données!Z83</f>
        <v>304</v>
      </c>
      <c r="D86" s="8">
        <f t="shared" si="4"/>
        <v>304</v>
      </c>
      <c r="E86" s="226">
        <f t="shared" si="4"/>
        <v>0</v>
      </c>
      <c r="F86" s="8">
        <f t="shared" si="4"/>
        <v>0</v>
      </c>
      <c r="G86" s="226">
        <f t="shared" si="4"/>
        <v>0</v>
      </c>
      <c r="H86" s="31">
        <f t="shared" si="4"/>
        <v>0</v>
      </c>
      <c r="I86" s="8">
        <f t="shared" si="4"/>
        <v>0</v>
      </c>
      <c r="J86" s="8">
        <f t="shared" si="5"/>
        <v>0</v>
      </c>
      <c r="K86" s="72">
        <f t="shared" si="6"/>
        <v>-39223.340040241441</v>
      </c>
    </row>
    <row r="87" spans="1:11" x14ac:dyDescent="0.25">
      <c r="A87" s="38">
        <f>Données!A84</f>
        <v>5535</v>
      </c>
      <c r="B87" s="171" t="str">
        <f>Données!B84</f>
        <v>Saint-Barthélemy</v>
      </c>
      <c r="C87" s="8">
        <f>Données!Z84</f>
        <v>809</v>
      </c>
      <c r="D87" s="8">
        <f t="shared" si="4"/>
        <v>809</v>
      </c>
      <c r="E87" s="226">
        <f t="shared" si="4"/>
        <v>0</v>
      </c>
      <c r="F87" s="8">
        <f t="shared" si="4"/>
        <v>0</v>
      </c>
      <c r="G87" s="226">
        <f t="shared" si="4"/>
        <v>0</v>
      </c>
      <c r="H87" s="31">
        <f t="shared" si="4"/>
        <v>0</v>
      </c>
      <c r="I87" s="8">
        <f t="shared" si="4"/>
        <v>0</v>
      </c>
      <c r="J87" s="8">
        <f t="shared" si="5"/>
        <v>0</v>
      </c>
      <c r="K87" s="72">
        <f t="shared" si="6"/>
        <v>-104380.53319919515</v>
      </c>
    </row>
    <row r="88" spans="1:11" x14ac:dyDescent="0.25">
      <c r="A88" s="38">
        <f>Données!A85</f>
        <v>5537</v>
      </c>
      <c r="B88" s="171" t="str">
        <f>Données!B85</f>
        <v>Villars-le-Terroir</v>
      </c>
      <c r="C88" s="8">
        <f>Données!Z85</f>
        <v>1316</v>
      </c>
      <c r="D88" s="8">
        <f t="shared" si="4"/>
        <v>1000</v>
      </c>
      <c r="E88" s="226">
        <f t="shared" si="4"/>
        <v>316</v>
      </c>
      <c r="F88" s="8">
        <f t="shared" si="4"/>
        <v>0</v>
      </c>
      <c r="G88" s="226">
        <f t="shared" si="4"/>
        <v>0</v>
      </c>
      <c r="H88" s="31">
        <f t="shared" si="4"/>
        <v>0</v>
      </c>
      <c r="I88" s="8">
        <f t="shared" si="4"/>
        <v>0</v>
      </c>
      <c r="J88" s="8">
        <f t="shared" si="5"/>
        <v>0</v>
      </c>
      <c r="K88" s="72">
        <f t="shared" si="6"/>
        <v>-243184.70824949694</v>
      </c>
    </row>
    <row r="89" spans="1:11" x14ac:dyDescent="0.25">
      <c r="A89" s="38">
        <f>Données!A86</f>
        <v>5539</v>
      </c>
      <c r="B89" s="171" t="str">
        <f>Données!B86</f>
        <v>Vuarrens</v>
      </c>
      <c r="C89" s="8">
        <f>Données!Z86</f>
        <v>1097</v>
      </c>
      <c r="D89" s="8">
        <f t="shared" si="4"/>
        <v>1000</v>
      </c>
      <c r="E89" s="226">
        <f t="shared" si="4"/>
        <v>97</v>
      </c>
      <c r="F89" s="8">
        <f t="shared" si="4"/>
        <v>0</v>
      </c>
      <c r="G89" s="226">
        <f t="shared" si="4"/>
        <v>0</v>
      </c>
      <c r="H89" s="31">
        <f t="shared" si="4"/>
        <v>0</v>
      </c>
      <c r="I89" s="8">
        <f t="shared" si="4"/>
        <v>0</v>
      </c>
      <c r="J89" s="8">
        <f t="shared" si="5"/>
        <v>0</v>
      </c>
      <c r="K89" s="72">
        <f t="shared" si="6"/>
        <v>-164067.10261569414</v>
      </c>
    </row>
    <row r="90" spans="1:11" x14ac:dyDescent="0.25">
      <c r="A90" s="38">
        <f>Données!A87</f>
        <v>5540</v>
      </c>
      <c r="B90" s="171" t="str">
        <f>Données!B87</f>
        <v>Montilliez</v>
      </c>
      <c r="C90" s="8">
        <f>Données!Z87</f>
        <v>1883</v>
      </c>
      <c r="D90" s="8">
        <f t="shared" si="4"/>
        <v>1000</v>
      </c>
      <c r="E90" s="226">
        <f t="shared" si="4"/>
        <v>883</v>
      </c>
      <c r="F90" s="8">
        <f t="shared" si="4"/>
        <v>0</v>
      </c>
      <c r="G90" s="226">
        <f t="shared" si="4"/>
        <v>0</v>
      </c>
      <c r="H90" s="31">
        <f t="shared" si="4"/>
        <v>0</v>
      </c>
      <c r="I90" s="8">
        <f t="shared" si="4"/>
        <v>0</v>
      </c>
      <c r="J90" s="8">
        <f t="shared" si="5"/>
        <v>0</v>
      </c>
      <c r="K90" s="72">
        <f t="shared" si="6"/>
        <v>-448023.44064386311</v>
      </c>
    </row>
    <row r="91" spans="1:11" x14ac:dyDescent="0.25">
      <c r="A91" s="38">
        <f>Données!A88</f>
        <v>5541</v>
      </c>
      <c r="B91" s="171" t="str">
        <f>Données!B88</f>
        <v>Goumoëns</v>
      </c>
      <c r="C91" s="8">
        <f>Données!Z88</f>
        <v>1166</v>
      </c>
      <c r="D91" s="8">
        <f t="shared" si="4"/>
        <v>1000</v>
      </c>
      <c r="E91" s="226">
        <f t="shared" si="4"/>
        <v>166</v>
      </c>
      <c r="F91" s="8">
        <f t="shared" si="4"/>
        <v>0</v>
      </c>
      <c r="G91" s="226">
        <f t="shared" si="4"/>
        <v>0</v>
      </c>
      <c r="H91" s="31">
        <f t="shared" si="4"/>
        <v>0</v>
      </c>
      <c r="I91" s="8">
        <f t="shared" si="4"/>
        <v>0</v>
      </c>
      <c r="J91" s="8">
        <f t="shared" si="5"/>
        <v>0</v>
      </c>
      <c r="K91" s="72">
        <f t="shared" si="6"/>
        <v>-188994.56740442652</v>
      </c>
    </row>
    <row r="92" spans="1:11" x14ac:dyDescent="0.25">
      <c r="A92" s="38">
        <f>Données!A89</f>
        <v>5551</v>
      </c>
      <c r="B92" s="171" t="str">
        <f>Données!B89</f>
        <v>Bonvillars</v>
      </c>
      <c r="C92" s="8">
        <f>Données!Z89</f>
        <v>481</v>
      </c>
      <c r="D92" s="8">
        <f t="shared" si="4"/>
        <v>481</v>
      </c>
      <c r="E92" s="226">
        <f t="shared" si="4"/>
        <v>0</v>
      </c>
      <c r="F92" s="8">
        <f t="shared" si="4"/>
        <v>0</v>
      </c>
      <c r="G92" s="226">
        <f t="shared" si="4"/>
        <v>0</v>
      </c>
      <c r="H92" s="31">
        <f t="shared" si="4"/>
        <v>0</v>
      </c>
      <c r="I92" s="8">
        <f t="shared" si="4"/>
        <v>0</v>
      </c>
      <c r="J92" s="8">
        <f t="shared" si="5"/>
        <v>0</v>
      </c>
      <c r="K92" s="72">
        <f t="shared" si="6"/>
        <v>-62060.613682092539</v>
      </c>
    </row>
    <row r="93" spans="1:11" x14ac:dyDescent="0.25">
      <c r="A93" s="38">
        <f>Données!A90</f>
        <v>5552</v>
      </c>
      <c r="B93" s="171" t="str">
        <f>Données!B90</f>
        <v>Bullet</v>
      </c>
      <c r="C93" s="8">
        <f>Données!Z90</f>
        <v>657</v>
      </c>
      <c r="D93" s="8">
        <f t="shared" si="4"/>
        <v>657</v>
      </c>
      <c r="E93" s="226">
        <f t="shared" si="4"/>
        <v>0</v>
      </c>
      <c r="F93" s="8">
        <f t="shared" si="4"/>
        <v>0</v>
      </c>
      <c r="G93" s="226">
        <f t="shared" si="4"/>
        <v>0</v>
      </c>
      <c r="H93" s="31">
        <f t="shared" si="4"/>
        <v>0</v>
      </c>
      <c r="I93" s="8">
        <f t="shared" si="4"/>
        <v>0</v>
      </c>
      <c r="J93" s="8">
        <f t="shared" si="5"/>
        <v>0</v>
      </c>
      <c r="K93" s="72">
        <f t="shared" si="6"/>
        <v>-84768.863179074426</v>
      </c>
    </row>
    <row r="94" spans="1:11" x14ac:dyDescent="0.25">
      <c r="A94" s="38">
        <f>Données!A91</f>
        <v>5553</v>
      </c>
      <c r="B94" s="171" t="str">
        <f>Données!B91</f>
        <v>Champagne</v>
      </c>
      <c r="C94" s="8">
        <f>Données!Z91</f>
        <v>1085</v>
      </c>
      <c r="D94" s="8">
        <f t="shared" si="4"/>
        <v>1000</v>
      </c>
      <c r="E94" s="226">
        <f t="shared" si="4"/>
        <v>85</v>
      </c>
      <c r="F94" s="8">
        <f t="shared" si="4"/>
        <v>0</v>
      </c>
      <c r="G94" s="226">
        <f t="shared" si="4"/>
        <v>0</v>
      </c>
      <c r="H94" s="31">
        <f t="shared" si="4"/>
        <v>0</v>
      </c>
      <c r="I94" s="8">
        <f t="shared" si="4"/>
        <v>0</v>
      </c>
      <c r="J94" s="8">
        <f t="shared" si="5"/>
        <v>0</v>
      </c>
      <c r="K94" s="72">
        <f t="shared" si="6"/>
        <v>-159731.89134808851</v>
      </c>
    </row>
    <row r="95" spans="1:11" x14ac:dyDescent="0.25">
      <c r="A95" s="38">
        <f>Données!A92</f>
        <v>5554</v>
      </c>
      <c r="B95" s="171" t="str">
        <f>Données!B92</f>
        <v>Concise</v>
      </c>
      <c r="C95" s="8">
        <f>Données!Z92</f>
        <v>1004</v>
      </c>
      <c r="D95" s="8">
        <f t="shared" si="4"/>
        <v>1000</v>
      </c>
      <c r="E95" s="226">
        <f t="shared" si="4"/>
        <v>4</v>
      </c>
      <c r="F95" s="8">
        <f t="shared" si="4"/>
        <v>0</v>
      </c>
      <c r="G95" s="226">
        <f t="shared" si="4"/>
        <v>0</v>
      </c>
      <c r="H95" s="31">
        <f t="shared" si="4"/>
        <v>0</v>
      </c>
      <c r="I95" s="8">
        <f t="shared" si="4"/>
        <v>0</v>
      </c>
      <c r="J95" s="8">
        <f t="shared" si="5"/>
        <v>0</v>
      </c>
      <c r="K95" s="72">
        <f t="shared" si="6"/>
        <v>-130469.21529175047</v>
      </c>
    </row>
    <row r="96" spans="1:11" x14ac:dyDescent="0.25">
      <c r="A96" s="38">
        <f>Données!A93</f>
        <v>5555</v>
      </c>
      <c r="B96" s="171" t="str">
        <f>Données!B93</f>
        <v>Corcelles-près-Concise</v>
      </c>
      <c r="C96" s="8">
        <f>Données!Z93</f>
        <v>417</v>
      </c>
      <c r="D96" s="8">
        <f t="shared" si="4"/>
        <v>417</v>
      </c>
      <c r="E96" s="226">
        <f t="shared" si="4"/>
        <v>0</v>
      </c>
      <c r="F96" s="8">
        <f t="shared" si="4"/>
        <v>0</v>
      </c>
      <c r="G96" s="226">
        <f t="shared" si="4"/>
        <v>0</v>
      </c>
      <c r="H96" s="31">
        <f t="shared" si="4"/>
        <v>0</v>
      </c>
      <c r="I96" s="8">
        <f t="shared" si="4"/>
        <v>0</v>
      </c>
      <c r="J96" s="8">
        <f t="shared" si="5"/>
        <v>0</v>
      </c>
      <c r="K96" s="72">
        <f t="shared" si="6"/>
        <v>-53803.068410462765</v>
      </c>
    </row>
    <row r="97" spans="1:11" x14ac:dyDescent="0.25">
      <c r="A97" s="38">
        <f>Données!A94</f>
        <v>5556</v>
      </c>
      <c r="B97" s="171" t="str">
        <f>Données!B94</f>
        <v>Fiez</v>
      </c>
      <c r="C97" s="8">
        <f>Données!Z94</f>
        <v>442</v>
      </c>
      <c r="D97" s="8">
        <f t="shared" si="4"/>
        <v>442</v>
      </c>
      <c r="E97" s="226">
        <f t="shared" si="4"/>
        <v>0</v>
      </c>
      <c r="F97" s="8">
        <f t="shared" si="4"/>
        <v>0</v>
      </c>
      <c r="G97" s="226">
        <f t="shared" si="4"/>
        <v>0</v>
      </c>
      <c r="H97" s="31">
        <f t="shared" si="4"/>
        <v>0</v>
      </c>
      <c r="I97" s="8">
        <f t="shared" si="4"/>
        <v>0</v>
      </c>
      <c r="J97" s="8">
        <f t="shared" si="5"/>
        <v>0</v>
      </c>
      <c r="K97" s="72">
        <f t="shared" si="6"/>
        <v>-57028.67203219315</v>
      </c>
    </row>
    <row r="98" spans="1:11" x14ac:dyDescent="0.25">
      <c r="A98" s="38">
        <f>Données!A95</f>
        <v>5557</v>
      </c>
      <c r="B98" s="171" t="str">
        <f>Données!B95</f>
        <v>Fontaines-sur-Grandson</v>
      </c>
      <c r="C98" s="8">
        <f>Données!Z95</f>
        <v>220</v>
      </c>
      <c r="D98" s="8">
        <f t="shared" si="4"/>
        <v>220</v>
      </c>
      <c r="E98" s="226">
        <f t="shared" si="4"/>
        <v>0</v>
      </c>
      <c r="F98" s="8">
        <f t="shared" si="4"/>
        <v>0</v>
      </c>
      <c r="G98" s="226">
        <f t="shared" si="4"/>
        <v>0</v>
      </c>
      <c r="H98" s="31">
        <f t="shared" si="4"/>
        <v>0</v>
      </c>
      <c r="I98" s="8">
        <f t="shared" si="4"/>
        <v>0</v>
      </c>
      <c r="J98" s="8">
        <f t="shared" si="5"/>
        <v>0</v>
      </c>
      <c r="K98" s="72">
        <f t="shared" si="6"/>
        <v>-28385.311871227357</v>
      </c>
    </row>
    <row r="99" spans="1:11" x14ac:dyDescent="0.25">
      <c r="A99" s="38">
        <f>Données!A96</f>
        <v>5559</v>
      </c>
      <c r="B99" s="171" t="str">
        <f>Données!B96</f>
        <v>Giez</v>
      </c>
      <c r="C99" s="8">
        <f>Données!Z96</f>
        <v>443</v>
      </c>
      <c r="D99" s="8">
        <f t="shared" si="4"/>
        <v>443</v>
      </c>
      <c r="E99" s="226">
        <f t="shared" si="4"/>
        <v>0</v>
      </c>
      <c r="F99" s="8">
        <f t="shared" si="4"/>
        <v>0</v>
      </c>
      <c r="G99" s="226">
        <f t="shared" si="4"/>
        <v>0</v>
      </c>
      <c r="H99" s="31">
        <f t="shared" si="4"/>
        <v>0</v>
      </c>
      <c r="I99" s="8">
        <f t="shared" si="4"/>
        <v>0</v>
      </c>
      <c r="J99" s="8">
        <f t="shared" si="5"/>
        <v>0</v>
      </c>
      <c r="K99" s="72">
        <f t="shared" si="6"/>
        <v>-57157.69617706236</v>
      </c>
    </row>
    <row r="100" spans="1:11" x14ac:dyDescent="0.25">
      <c r="A100" s="38">
        <f>Données!A97</f>
        <v>5560</v>
      </c>
      <c r="B100" s="171" t="str">
        <f>Données!B97</f>
        <v>Grandevent</v>
      </c>
      <c r="C100" s="8">
        <f>Données!Z97</f>
        <v>238</v>
      </c>
      <c r="D100" s="8">
        <f t="shared" si="4"/>
        <v>238</v>
      </c>
      <c r="E100" s="226">
        <f t="shared" si="4"/>
        <v>0</v>
      </c>
      <c r="F100" s="8">
        <f t="shared" si="4"/>
        <v>0</v>
      </c>
      <c r="G100" s="226">
        <f t="shared" si="4"/>
        <v>0</v>
      </c>
      <c r="H100" s="31">
        <f t="shared" si="4"/>
        <v>0</v>
      </c>
      <c r="I100" s="8">
        <f t="shared" si="4"/>
        <v>0</v>
      </c>
      <c r="J100" s="8">
        <f t="shared" si="5"/>
        <v>0</v>
      </c>
      <c r="K100" s="72">
        <f t="shared" si="6"/>
        <v>-30707.746478873232</v>
      </c>
    </row>
    <row r="101" spans="1:11" x14ac:dyDescent="0.25">
      <c r="A101" s="38">
        <f>Données!A98</f>
        <v>5561</v>
      </c>
      <c r="B101" s="171" t="str">
        <f>Données!B98</f>
        <v>Grandson</v>
      </c>
      <c r="C101" s="8">
        <f>Données!Z98</f>
        <v>3366</v>
      </c>
      <c r="D101" s="8">
        <f t="shared" si="4"/>
        <v>1000</v>
      </c>
      <c r="E101" s="226">
        <f t="shared" si="4"/>
        <v>2000</v>
      </c>
      <c r="F101" s="8">
        <f t="shared" si="4"/>
        <v>366</v>
      </c>
      <c r="G101" s="226">
        <f t="shared" si="4"/>
        <v>0</v>
      </c>
      <c r="H101" s="31">
        <f t="shared" si="4"/>
        <v>0</v>
      </c>
      <c r="I101" s="8">
        <f t="shared" si="4"/>
        <v>0</v>
      </c>
      <c r="J101" s="8">
        <f t="shared" si="5"/>
        <v>0</v>
      </c>
      <c r="K101" s="72">
        <f t="shared" si="6"/>
        <v>-1040450.7042253519</v>
      </c>
    </row>
    <row r="102" spans="1:11" x14ac:dyDescent="0.25">
      <c r="A102" s="38">
        <f>Données!A99</f>
        <v>5562</v>
      </c>
      <c r="B102" s="171" t="str">
        <f>Données!B99</f>
        <v>Mauborget</v>
      </c>
      <c r="C102" s="8">
        <f>Données!Z99</f>
        <v>137</v>
      </c>
      <c r="D102" s="8">
        <f t="shared" si="4"/>
        <v>137</v>
      </c>
      <c r="E102" s="226">
        <f t="shared" si="4"/>
        <v>0</v>
      </c>
      <c r="F102" s="8">
        <f t="shared" si="4"/>
        <v>0</v>
      </c>
      <c r="G102" s="226">
        <f t="shared" si="4"/>
        <v>0</v>
      </c>
      <c r="H102" s="31">
        <f t="shared" si="4"/>
        <v>0</v>
      </c>
      <c r="I102" s="8">
        <f t="shared" si="4"/>
        <v>0</v>
      </c>
      <c r="J102" s="8">
        <f t="shared" si="5"/>
        <v>0</v>
      </c>
      <c r="K102" s="72">
        <f t="shared" si="6"/>
        <v>-17676.307847082491</v>
      </c>
    </row>
    <row r="103" spans="1:11" x14ac:dyDescent="0.25">
      <c r="A103" s="38">
        <f>Données!A100</f>
        <v>5563</v>
      </c>
      <c r="B103" s="171" t="str">
        <f>Données!B100</f>
        <v>Mutrux</v>
      </c>
      <c r="C103" s="8">
        <f>Données!Z100</f>
        <v>151</v>
      </c>
      <c r="D103" s="8">
        <f t="shared" si="4"/>
        <v>151</v>
      </c>
      <c r="E103" s="226">
        <f t="shared" si="4"/>
        <v>0</v>
      </c>
      <c r="F103" s="8">
        <f t="shared" si="4"/>
        <v>0</v>
      </c>
      <c r="G103" s="226">
        <f t="shared" si="4"/>
        <v>0</v>
      </c>
      <c r="H103" s="31">
        <f t="shared" si="4"/>
        <v>0</v>
      </c>
      <c r="I103" s="8">
        <f t="shared" si="4"/>
        <v>0</v>
      </c>
      <c r="J103" s="8">
        <f t="shared" si="5"/>
        <v>0</v>
      </c>
      <c r="K103" s="72">
        <f t="shared" si="6"/>
        <v>-19482.645875251506</v>
      </c>
    </row>
    <row r="104" spans="1:11" x14ac:dyDescent="0.25">
      <c r="A104" s="38">
        <f>Données!A101</f>
        <v>5564</v>
      </c>
      <c r="B104" s="171" t="str">
        <f>Données!B101</f>
        <v>Novalles</v>
      </c>
      <c r="C104" s="8">
        <f>Données!Z101</f>
        <v>103</v>
      </c>
      <c r="D104" s="8">
        <f t="shared" si="4"/>
        <v>103</v>
      </c>
      <c r="E104" s="226">
        <f t="shared" si="4"/>
        <v>0</v>
      </c>
      <c r="F104" s="8">
        <f t="shared" si="4"/>
        <v>0</v>
      </c>
      <c r="G104" s="226">
        <f t="shared" si="4"/>
        <v>0</v>
      </c>
      <c r="H104" s="31">
        <f t="shared" si="4"/>
        <v>0</v>
      </c>
      <c r="I104" s="8">
        <f t="shared" si="4"/>
        <v>0</v>
      </c>
      <c r="J104" s="8">
        <f t="shared" si="5"/>
        <v>0</v>
      </c>
      <c r="K104" s="72">
        <f t="shared" si="6"/>
        <v>-13289.486921529173</v>
      </c>
    </row>
    <row r="105" spans="1:11" x14ac:dyDescent="0.25">
      <c r="A105" s="38">
        <f>Données!A102</f>
        <v>5565</v>
      </c>
      <c r="B105" s="171" t="str">
        <f>Données!B102</f>
        <v>Onnens</v>
      </c>
      <c r="C105" s="8">
        <f>Données!Z102</f>
        <v>495</v>
      </c>
      <c r="D105" s="8">
        <f t="shared" si="4"/>
        <v>495</v>
      </c>
      <c r="E105" s="226">
        <f t="shared" si="4"/>
        <v>0</v>
      </c>
      <c r="F105" s="8">
        <f t="shared" si="4"/>
        <v>0</v>
      </c>
      <c r="G105" s="226">
        <f t="shared" si="4"/>
        <v>0</v>
      </c>
      <c r="H105" s="31">
        <f t="shared" si="4"/>
        <v>0</v>
      </c>
      <c r="I105" s="8">
        <f t="shared" si="4"/>
        <v>0</v>
      </c>
      <c r="J105" s="8">
        <f t="shared" si="5"/>
        <v>0</v>
      </c>
      <c r="K105" s="72">
        <f t="shared" si="6"/>
        <v>-63866.951710261557</v>
      </c>
    </row>
    <row r="106" spans="1:11" x14ac:dyDescent="0.25">
      <c r="A106" s="38">
        <f>Données!A103</f>
        <v>5566</v>
      </c>
      <c r="B106" s="171" t="str">
        <f>Données!B103</f>
        <v>Provence</v>
      </c>
      <c r="C106" s="8">
        <f>Données!Z103</f>
        <v>403</v>
      </c>
      <c r="D106" s="8">
        <f t="shared" si="4"/>
        <v>403</v>
      </c>
      <c r="E106" s="226">
        <f t="shared" si="4"/>
        <v>0</v>
      </c>
      <c r="F106" s="8">
        <f t="shared" si="4"/>
        <v>0</v>
      </c>
      <c r="G106" s="226">
        <f t="shared" si="4"/>
        <v>0</v>
      </c>
      <c r="H106" s="31">
        <f t="shared" si="4"/>
        <v>0</v>
      </c>
      <c r="I106" s="8">
        <f t="shared" si="4"/>
        <v>0</v>
      </c>
      <c r="J106" s="8">
        <f t="shared" si="5"/>
        <v>0</v>
      </c>
      <c r="K106" s="72">
        <f t="shared" si="6"/>
        <v>-51996.730382293754</v>
      </c>
    </row>
    <row r="107" spans="1:11" x14ac:dyDescent="0.25">
      <c r="A107" s="38">
        <f>Données!A104</f>
        <v>5568</v>
      </c>
      <c r="B107" s="171" t="str">
        <f>Données!B104</f>
        <v>Sainte-Croix</v>
      </c>
      <c r="C107" s="8">
        <f>Données!Z104</f>
        <v>4948</v>
      </c>
      <c r="D107" s="8">
        <f t="shared" si="4"/>
        <v>1000</v>
      </c>
      <c r="E107" s="226">
        <f t="shared" si="4"/>
        <v>2000</v>
      </c>
      <c r="F107" s="8">
        <f t="shared" si="4"/>
        <v>1948</v>
      </c>
      <c r="G107" s="226">
        <f t="shared" ref="E107:I158" si="7">IF($C107&gt;G$5,IF($C107&lt;G$6,$C107-G$5,G$6-G$5),0)</f>
        <v>0</v>
      </c>
      <c r="H107" s="31">
        <f t="shared" si="7"/>
        <v>0</v>
      </c>
      <c r="I107" s="8">
        <f t="shared" si="7"/>
        <v>0</v>
      </c>
      <c r="J107" s="8">
        <f t="shared" si="5"/>
        <v>0</v>
      </c>
      <c r="K107" s="72">
        <f t="shared" si="6"/>
        <v>-1856915.4929577461</v>
      </c>
    </row>
    <row r="108" spans="1:11" x14ac:dyDescent="0.25">
      <c r="A108" s="38">
        <f>Données!A105</f>
        <v>5571</v>
      </c>
      <c r="B108" s="171" t="str">
        <f>Données!B105</f>
        <v>Tévenon</v>
      </c>
      <c r="C108" s="8">
        <f>Données!Z105</f>
        <v>883</v>
      </c>
      <c r="D108" s="8">
        <f t="shared" ref="D108:D171" si="8">IF($C108&gt;D$5,IF($C108&lt;D$6,$C108-D$5,D$6-D$5),0)</f>
        <v>883</v>
      </c>
      <c r="E108" s="226">
        <f t="shared" si="7"/>
        <v>0</v>
      </c>
      <c r="F108" s="8">
        <f t="shared" si="7"/>
        <v>0</v>
      </c>
      <c r="G108" s="226">
        <f t="shared" si="7"/>
        <v>0</v>
      </c>
      <c r="H108" s="31">
        <f t="shared" si="7"/>
        <v>0</v>
      </c>
      <c r="I108" s="8">
        <f t="shared" si="7"/>
        <v>0</v>
      </c>
      <c r="J108" s="8">
        <f t="shared" si="5"/>
        <v>0</v>
      </c>
      <c r="K108" s="72">
        <f t="shared" si="6"/>
        <v>-113928.31991951707</v>
      </c>
    </row>
    <row r="109" spans="1:11" x14ac:dyDescent="0.25">
      <c r="A109" s="38">
        <f>Données!A106</f>
        <v>5581</v>
      </c>
      <c r="B109" s="171" t="str">
        <f>Données!B106</f>
        <v>Belmont-sur-Lausanne</v>
      </c>
      <c r="C109" s="8">
        <f>Données!Z106</f>
        <v>3871</v>
      </c>
      <c r="D109" s="8">
        <f t="shared" si="8"/>
        <v>1000</v>
      </c>
      <c r="E109" s="226">
        <f t="shared" si="7"/>
        <v>2000</v>
      </c>
      <c r="F109" s="8">
        <f t="shared" si="7"/>
        <v>871</v>
      </c>
      <c r="G109" s="226">
        <f t="shared" si="7"/>
        <v>0</v>
      </c>
      <c r="H109" s="31">
        <f t="shared" si="7"/>
        <v>0</v>
      </c>
      <c r="I109" s="8">
        <f t="shared" si="7"/>
        <v>0</v>
      </c>
      <c r="J109" s="8">
        <f t="shared" si="5"/>
        <v>0</v>
      </c>
      <c r="K109" s="72">
        <f t="shared" si="6"/>
        <v>-1301079.4768611668</v>
      </c>
    </row>
    <row r="110" spans="1:11" x14ac:dyDescent="0.25">
      <c r="A110" s="38">
        <f>Données!A107</f>
        <v>5582</v>
      </c>
      <c r="B110" s="171" t="str">
        <f>Données!B107</f>
        <v>Cheseaux-sur-Lausanne</v>
      </c>
      <c r="C110" s="8">
        <f>Données!Z107</f>
        <v>4449</v>
      </c>
      <c r="D110" s="8">
        <f t="shared" si="8"/>
        <v>1000</v>
      </c>
      <c r="E110" s="226">
        <f t="shared" si="7"/>
        <v>2000</v>
      </c>
      <c r="F110" s="8">
        <f t="shared" si="7"/>
        <v>1449</v>
      </c>
      <c r="G110" s="226">
        <f t="shared" si="7"/>
        <v>0</v>
      </c>
      <c r="H110" s="31">
        <f t="shared" si="7"/>
        <v>0</v>
      </c>
      <c r="I110" s="8">
        <f t="shared" si="7"/>
        <v>0</v>
      </c>
      <c r="J110" s="8">
        <f t="shared" si="5"/>
        <v>0</v>
      </c>
      <c r="K110" s="72">
        <f t="shared" si="6"/>
        <v>-1599383.2997987925</v>
      </c>
    </row>
    <row r="111" spans="1:11" x14ac:dyDescent="0.25">
      <c r="A111" s="38">
        <f>Données!A108</f>
        <v>5583</v>
      </c>
      <c r="B111" s="171" t="str">
        <f>Données!B108</f>
        <v>Crissier</v>
      </c>
      <c r="C111" s="8">
        <f>Données!Z108</f>
        <v>8974</v>
      </c>
      <c r="D111" s="8">
        <f t="shared" si="8"/>
        <v>1000</v>
      </c>
      <c r="E111" s="226">
        <f t="shared" si="7"/>
        <v>2000</v>
      </c>
      <c r="F111" s="8">
        <f t="shared" si="7"/>
        <v>2000</v>
      </c>
      <c r="G111" s="226">
        <f t="shared" si="7"/>
        <v>3974</v>
      </c>
      <c r="H111" s="31">
        <f t="shared" si="7"/>
        <v>0</v>
      </c>
      <c r="I111" s="8">
        <f t="shared" si="7"/>
        <v>0</v>
      </c>
      <c r="J111" s="8">
        <f t="shared" si="5"/>
        <v>0</v>
      </c>
      <c r="K111" s="72">
        <f t="shared" si="6"/>
        <v>-4344913.8832997978</v>
      </c>
    </row>
    <row r="112" spans="1:11" x14ac:dyDescent="0.25">
      <c r="A112" s="38">
        <f>Données!A109</f>
        <v>5584</v>
      </c>
      <c r="B112" s="171" t="str">
        <f>Données!B109</f>
        <v>Epalinges</v>
      </c>
      <c r="C112" s="8">
        <f>Données!Z109</f>
        <v>9813</v>
      </c>
      <c r="D112" s="8">
        <f t="shared" si="8"/>
        <v>1000</v>
      </c>
      <c r="E112" s="226">
        <f t="shared" si="7"/>
        <v>2000</v>
      </c>
      <c r="F112" s="8">
        <f t="shared" si="7"/>
        <v>2000</v>
      </c>
      <c r="G112" s="226">
        <f t="shared" si="7"/>
        <v>4000</v>
      </c>
      <c r="H112" s="31">
        <f t="shared" si="7"/>
        <v>813</v>
      </c>
      <c r="I112" s="8">
        <f t="shared" si="7"/>
        <v>0</v>
      </c>
      <c r="J112" s="8">
        <f t="shared" si="5"/>
        <v>0</v>
      </c>
      <c r="K112" s="72">
        <f t="shared" si="6"/>
        <v>-5074313.1790744448</v>
      </c>
    </row>
    <row r="113" spans="1:11" x14ac:dyDescent="0.25">
      <c r="A113" s="38">
        <f>Données!A110</f>
        <v>5585</v>
      </c>
      <c r="B113" s="171" t="str">
        <f>Données!B110</f>
        <v>Jouxtens-Mézery</v>
      </c>
      <c r="C113" s="8">
        <f>Données!Z110</f>
        <v>1460</v>
      </c>
      <c r="D113" s="8">
        <f t="shared" si="8"/>
        <v>1000</v>
      </c>
      <c r="E113" s="226">
        <f t="shared" si="7"/>
        <v>460</v>
      </c>
      <c r="F113" s="8">
        <f t="shared" si="7"/>
        <v>0</v>
      </c>
      <c r="G113" s="226">
        <f t="shared" si="7"/>
        <v>0</v>
      </c>
      <c r="H113" s="31">
        <f t="shared" si="7"/>
        <v>0</v>
      </c>
      <c r="I113" s="8">
        <f t="shared" si="7"/>
        <v>0</v>
      </c>
      <c r="J113" s="8">
        <f t="shared" si="5"/>
        <v>0</v>
      </c>
      <c r="K113" s="72">
        <f t="shared" si="6"/>
        <v>-295207.24346076453</v>
      </c>
    </row>
    <row r="114" spans="1:11" x14ac:dyDescent="0.25">
      <c r="A114" s="38">
        <f>Données!A111</f>
        <v>5586</v>
      </c>
      <c r="B114" s="171" t="str">
        <f>Données!B111</f>
        <v>Lausanne</v>
      </c>
      <c r="C114" s="8">
        <f>Données!Z111</f>
        <v>140824</v>
      </c>
      <c r="D114" s="8">
        <f t="shared" si="8"/>
        <v>1000</v>
      </c>
      <c r="E114" s="226">
        <f t="shared" si="7"/>
        <v>2000</v>
      </c>
      <c r="F114" s="8">
        <f t="shared" si="7"/>
        <v>2000</v>
      </c>
      <c r="G114" s="226">
        <f t="shared" si="7"/>
        <v>4000</v>
      </c>
      <c r="H114" s="31">
        <f t="shared" si="7"/>
        <v>3000</v>
      </c>
      <c r="I114" s="8">
        <f t="shared" si="7"/>
        <v>3000</v>
      </c>
      <c r="J114" s="8">
        <f t="shared" si="5"/>
        <v>125824</v>
      </c>
      <c r="K114" s="72">
        <f t="shared" si="6"/>
        <v>-146458093.76257545</v>
      </c>
    </row>
    <row r="115" spans="1:11" x14ac:dyDescent="0.25">
      <c r="A115" s="38">
        <f>Données!A112</f>
        <v>5587</v>
      </c>
      <c r="B115" s="171" t="str">
        <f>Données!B112</f>
        <v>Le Mont-sur-Lausanne</v>
      </c>
      <c r="C115" s="8">
        <f>Données!Z112</f>
        <v>9217</v>
      </c>
      <c r="D115" s="8">
        <f t="shared" si="8"/>
        <v>1000</v>
      </c>
      <c r="E115" s="226">
        <f t="shared" si="7"/>
        <v>2000</v>
      </c>
      <c r="F115" s="8">
        <f t="shared" si="7"/>
        <v>2000</v>
      </c>
      <c r="G115" s="226">
        <f t="shared" si="7"/>
        <v>4000</v>
      </c>
      <c r="H115" s="31">
        <f t="shared" si="7"/>
        <v>217</v>
      </c>
      <c r="I115" s="8">
        <f t="shared" si="7"/>
        <v>0</v>
      </c>
      <c r="J115" s="8">
        <f t="shared" si="5"/>
        <v>0</v>
      </c>
      <c r="K115" s="72">
        <f t="shared" si="6"/>
        <v>-4551404.1247484898</v>
      </c>
    </row>
    <row r="116" spans="1:11" x14ac:dyDescent="0.25">
      <c r="A116" s="38">
        <f>Données!A113</f>
        <v>5588</v>
      </c>
      <c r="B116" s="171" t="str">
        <f>Données!B113</f>
        <v>Paudex</v>
      </c>
      <c r="C116" s="8">
        <f>Données!Z113</f>
        <v>1545</v>
      </c>
      <c r="D116" s="8">
        <f t="shared" si="8"/>
        <v>1000</v>
      </c>
      <c r="E116" s="226">
        <f t="shared" si="7"/>
        <v>545</v>
      </c>
      <c r="F116" s="8">
        <f t="shared" si="7"/>
        <v>0</v>
      </c>
      <c r="G116" s="226">
        <f t="shared" si="7"/>
        <v>0</v>
      </c>
      <c r="H116" s="31">
        <f t="shared" si="7"/>
        <v>0</v>
      </c>
      <c r="I116" s="8">
        <f t="shared" si="7"/>
        <v>0</v>
      </c>
      <c r="J116" s="8">
        <f t="shared" si="5"/>
        <v>0</v>
      </c>
      <c r="K116" s="72">
        <f t="shared" si="6"/>
        <v>-325914.98993963777</v>
      </c>
    </row>
    <row r="117" spans="1:11" x14ac:dyDescent="0.25">
      <c r="A117" s="38">
        <f>Données!A114</f>
        <v>5589</v>
      </c>
      <c r="B117" s="171" t="str">
        <f>Données!B114</f>
        <v>Prilly</v>
      </c>
      <c r="C117" s="8">
        <f>Données!Z114</f>
        <v>12341</v>
      </c>
      <c r="D117" s="8">
        <f t="shared" si="8"/>
        <v>1000</v>
      </c>
      <c r="E117" s="226">
        <f t="shared" si="7"/>
        <v>2000</v>
      </c>
      <c r="F117" s="8">
        <f t="shared" si="7"/>
        <v>2000</v>
      </c>
      <c r="G117" s="226">
        <f t="shared" si="7"/>
        <v>4000</v>
      </c>
      <c r="H117" s="31">
        <f t="shared" si="7"/>
        <v>3000</v>
      </c>
      <c r="I117" s="8">
        <f t="shared" si="7"/>
        <v>341</v>
      </c>
      <c r="J117" s="8">
        <f t="shared" si="5"/>
        <v>0</v>
      </c>
      <c r="K117" s="72">
        <f t="shared" si="6"/>
        <v>-7345086.5191146862</v>
      </c>
    </row>
    <row r="118" spans="1:11" x14ac:dyDescent="0.25">
      <c r="A118" s="38">
        <f>Données!A115</f>
        <v>5590</v>
      </c>
      <c r="B118" s="171" t="str">
        <f>Données!B115</f>
        <v>Pully</v>
      </c>
      <c r="C118" s="8">
        <f>Données!Z115</f>
        <v>18946</v>
      </c>
      <c r="D118" s="8">
        <f t="shared" si="8"/>
        <v>1000</v>
      </c>
      <c r="E118" s="226">
        <f t="shared" si="7"/>
        <v>2000</v>
      </c>
      <c r="F118" s="8">
        <f t="shared" si="7"/>
        <v>2000</v>
      </c>
      <c r="G118" s="226">
        <f t="shared" si="7"/>
        <v>4000</v>
      </c>
      <c r="H118" s="31">
        <f t="shared" si="7"/>
        <v>3000</v>
      </c>
      <c r="I118" s="8">
        <f t="shared" si="7"/>
        <v>3000</v>
      </c>
      <c r="J118" s="8">
        <f t="shared" si="5"/>
        <v>3946</v>
      </c>
      <c r="K118" s="72">
        <f t="shared" si="6"/>
        <v>-14366374.044265591</v>
      </c>
    </row>
    <row r="119" spans="1:11" x14ac:dyDescent="0.25">
      <c r="A119" s="38">
        <f>Données!A116</f>
        <v>5591</v>
      </c>
      <c r="B119" s="171" t="str">
        <f>Données!B116</f>
        <v>Renens</v>
      </c>
      <c r="C119" s="8">
        <f>Données!Z116</f>
        <v>20917</v>
      </c>
      <c r="D119" s="8">
        <f t="shared" si="8"/>
        <v>1000</v>
      </c>
      <c r="E119" s="226">
        <f t="shared" si="7"/>
        <v>2000</v>
      </c>
      <c r="F119" s="8">
        <f t="shared" si="7"/>
        <v>2000</v>
      </c>
      <c r="G119" s="226">
        <f t="shared" si="7"/>
        <v>4000</v>
      </c>
      <c r="H119" s="31">
        <f t="shared" si="7"/>
        <v>3000</v>
      </c>
      <c r="I119" s="8">
        <f t="shared" si="7"/>
        <v>3000</v>
      </c>
      <c r="J119" s="8">
        <f t="shared" si="5"/>
        <v>5917</v>
      </c>
      <c r="K119" s="72">
        <f t="shared" si="6"/>
        <v>-16502549.396378266</v>
      </c>
    </row>
    <row r="120" spans="1:11" x14ac:dyDescent="0.25">
      <c r="A120" s="38">
        <f>Données!A117</f>
        <v>5592</v>
      </c>
      <c r="B120" s="171" t="str">
        <f>Données!B117</f>
        <v>Romanel-sur-Lausanne</v>
      </c>
      <c r="C120" s="8">
        <f>Données!Z117</f>
        <v>3482</v>
      </c>
      <c r="D120" s="8">
        <f t="shared" si="8"/>
        <v>1000</v>
      </c>
      <c r="E120" s="226">
        <f t="shared" si="7"/>
        <v>2000</v>
      </c>
      <c r="F120" s="8">
        <f t="shared" si="7"/>
        <v>482</v>
      </c>
      <c r="G120" s="226">
        <f t="shared" si="7"/>
        <v>0</v>
      </c>
      <c r="H120" s="31">
        <f t="shared" si="7"/>
        <v>0</v>
      </c>
      <c r="I120" s="8">
        <f t="shared" si="7"/>
        <v>0</v>
      </c>
      <c r="J120" s="8">
        <f t="shared" si="5"/>
        <v>0</v>
      </c>
      <c r="K120" s="72">
        <f t="shared" si="6"/>
        <v>-1100317.9074446678</v>
      </c>
    </row>
    <row r="121" spans="1:11" x14ac:dyDescent="0.25">
      <c r="A121" s="38">
        <f>Données!A118</f>
        <v>5601</v>
      </c>
      <c r="B121" s="171" t="str">
        <f>Données!B118</f>
        <v>Chexbres</v>
      </c>
      <c r="C121" s="8">
        <f>Données!Z118</f>
        <v>2229</v>
      </c>
      <c r="D121" s="8">
        <f t="shared" si="8"/>
        <v>1000</v>
      </c>
      <c r="E121" s="226">
        <f t="shared" si="7"/>
        <v>1229</v>
      </c>
      <c r="F121" s="8">
        <f t="shared" si="7"/>
        <v>0</v>
      </c>
      <c r="G121" s="226">
        <f t="shared" si="7"/>
        <v>0</v>
      </c>
      <c r="H121" s="31">
        <f t="shared" si="7"/>
        <v>0</v>
      </c>
      <c r="I121" s="8">
        <f t="shared" si="7"/>
        <v>0</v>
      </c>
      <c r="J121" s="8">
        <f t="shared" si="5"/>
        <v>0</v>
      </c>
      <c r="K121" s="72">
        <f t="shared" si="6"/>
        <v>-573022.03219315887</v>
      </c>
    </row>
    <row r="122" spans="1:11" x14ac:dyDescent="0.25">
      <c r="A122" s="38">
        <f>Données!A119</f>
        <v>5604</v>
      </c>
      <c r="B122" s="171" t="str">
        <f>Données!B119</f>
        <v>Forel (Lavaux)</v>
      </c>
      <c r="C122" s="8">
        <f>Données!Z119</f>
        <v>2110</v>
      </c>
      <c r="D122" s="8">
        <f t="shared" si="8"/>
        <v>1000</v>
      </c>
      <c r="E122" s="226">
        <f t="shared" si="7"/>
        <v>1110</v>
      </c>
      <c r="F122" s="8">
        <f t="shared" si="7"/>
        <v>0</v>
      </c>
      <c r="G122" s="226">
        <f t="shared" si="7"/>
        <v>0</v>
      </c>
      <c r="H122" s="31">
        <f t="shared" si="7"/>
        <v>0</v>
      </c>
      <c r="I122" s="8">
        <f t="shared" si="7"/>
        <v>0</v>
      </c>
      <c r="J122" s="8">
        <f t="shared" si="5"/>
        <v>0</v>
      </c>
      <c r="K122" s="72">
        <f t="shared" si="6"/>
        <v>-530031.18712273636</v>
      </c>
    </row>
    <row r="123" spans="1:11" x14ac:dyDescent="0.25">
      <c r="A123" s="38">
        <f>Données!A120</f>
        <v>5606</v>
      </c>
      <c r="B123" s="171" t="str">
        <f>Données!B120</f>
        <v>Lutry</v>
      </c>
      <c r="C123" s="8">
        <f>Données!Z120</f>
        <v>10704</v>
      </c>
      <c r="D123" s="8">
        <f t="shared" si="8"/>
        <v>1000</v>
      </c>
      <c r="E123" s="226">
        <f t="shared" si="7"/>
        <v>2000</v>
      </c>
      <c r="F123" s="8">
        <f t="shared" si="7"/>
        <v>2000</v>
      </c>
      <c r="G123" s="226">
        <f t="shared" si="7"/>
        <v>4000</v>
      </c>
      <c r="H123" s="31">
        <f t="shared" si="7"/>
        <v>1704</v>
      </c>
      <c r="I123" s="8">
        <f t="shared" si="7"/>
        <v>0</v>
      </c>
      <c r="J123" s="8">
        <f t="shared" si="5"/>
        <v>0</v>
      </c>
      <c r="K123" s="72">
        <f t="shared" si="6"/>
        <v>-5856044.6680080462</v>
      </c>
    </row>
    <row r="124" spans="1:11" x14ac:dyDescent="0.25">
      <c r="A124" s="38">
        <f>Données!A121</f>
        <v>5607</v>
      </c>
      <c r="B124" s="171" t="str">
        <f>Données!B121</f>
        <v>Puidoux</v>
      </c>
      <c r="C124" s="8">
        <f>Données!Z121</f>
        <v>2924</v>
      </c>
      <c r="D124" s="8">
        <f t="shared" si="8"/>
        <v>1000</v>
      </c>
      <c r="E124" s="226">
        <f t="shared" si="7"/>
        <v>1924</v>
      </c>
      <c r="F124" s="8">
        <f t="shared" si="7"/>
        <v>0</v>
      </c>
      <c r="G124" s="226">
        <f t="shared" si="7"/>
        <v>0</v>
      </c>
      <c r="H124" s="31">
        <f t="shared" si="7"/>
        <v>0</v>
      </c>
      <c r="I124" s="8">
        <f t="shared" si="7"/>
        <v>0</v>
      </c>
      <c r="J124" s="8">
        <f t="shared" si="5"/>
        <v>0</v>
      </c>
      <c r="K124" s="72">
        <f t="shared" si="6"/>
        <v>-824103.01810865174</v>
      </c>
    </row>
    <row r="125" spans="1:11" x14ac:dyDescent="0.25">
      <c r="A125" s="38">
        <f>Données!A122</f>
        <v>5609</v>
      </c>
      <c r="B125" s="171" t="str">
        <f>Données!B122</f>
        <v>Rivaz</v>
      </c>
      <c r="C125" s="8">
        <f>Données!Z122</f>
        <v>331</v>
      </c>
      <c r="D125" s="8">
        <f t="shared" si="8"/>
        <v>331</v>
      </c>
      <c r="E125" s="226">
        <f t="shared" si="7"/>
        <v>0</v>
      </c>
      <c r="F125" s="8">
        <f t="shared" si="7"/>
        <v>0</v>
      </c>
      <c r="G125" s="226">
        <f t="shared" si="7"/>
        <v>0</v>
      </c>
      <c r="H125" s="31">
        <f t="shared" si="7"/>
        <v>0</v>
      </c>
      <c r="I125" s="8">
        <f t="shared" si="7"/>
        <v>0</v>
      </c>
      <c r="J125" s="8">
        <f t="shared" si="5"/>
        <v>0</v>
      </c>
      <c r="K125" s="72">
        <f t="shared" si="6"/>
        <v>-42706.991951710253</v>
      </c>
    </row>
    <row r="126" spans="1:11" x14ac:dyDescent="0.25">
      <c r="A126" s="38">
        <f>Données!A123</f>
        <v>5610</v>
      </c>
      <c r="B126" s="171" t="str">
        <f>Données!B123</f>
        <v>St-Saphorin (Lavaux)</v>
      </c>
      <c r="C126" s="8">
        <f>Données!Z123</f>
        <v>396</v>
      </c>
      <c r="D126" s="8">
        <f t="shared" si="8"/>
        <v>396</v>
      </c>
      <c r="E126" s="226">
        <f t="shared" si="7"/>
        <v>0</v>
      </c>
      <c r="F126" s="8">
        <f t="shared" si="7"/>
        <v>0</v>
      </c>
      <c r="G126" s="226">
        <f t="shared" si="7"/>
        <v>0</v>
      </c>
      <c r="H126" s="31">
        <f t="shared" si="7"/>
        <v>0</v>
      </c>
      <c r="I126" s="8">
        <f t="shared" si="7"/>
        <v>0</v>
      </c>
      <c r="J126" s="8">
        <f t="shared" si="5"/>
        <v>0</v>
      </c>
      <c r="K126" s="72">
        <f t="shared" si="6"/>
        <v>-51093.561368209244</v>
      </c>
    </row>
    <row r="127" spans="1:11" x14ac:dyDescent="0.25">
      <c r="A127" s="38">
        <f>Données!A124</f>
        <v>5611</v>
      </c>
      <c r="B127" s="171" t="str">
        <f>Données!B124</f>
        <v>Savigny</v>
      </c>
      <c r="C127" s="8">
        <f>Données!Z124</f>
        <v>3370</v>
      </c>
      <c r="D127" s="8">
        <f t="shared" si="8"/>
        <v>1000</v>
      </c>
      <c r="E127" s="226">
        <f t="shared" si="7"/>
        <v>2000</v>
      </c>
      <c r="F127" s="8">
        <f t="shared" si="7"/>
        <v>370</v>
      </c>
      <c r="G127" s="226">
        <f t="shared" si="7"/>
        <v>0</v>
      </c>
      <c r="H127" s="31">
        <f t="shared" si="7"/>
        <v>0</v>
      </c>
      <c r="I127" s="8">
        <f t="shared" si="7"/>
        <v>0</v>
      </c>
      <c r="J127" s="8">
        <f t="shared" si="5"/>
        <v>0</v>
      </c>
      <c r="K127" s="72">
        <f t="shared" si="6"/>
        <v>-1042515.0905432594</v>
      </c>
    </row>
    <row r="128" spans="1:11" x14ac:dyDescent="0.25">
      <c r="A128" s="38">
        <f>Données!A125</f>
        <v>5613</v>
      </c>
      <c r="B128" s="171" t="str">
        <f>Données!B125</f>
        <v>Bourg-en-Lavaux</v>
      </c>
      <c r="C128" s="8">
        <f>Données!Z125</f>
        <v>5367</v>
      </c>
      <c r="D128" s="8">
        <f t="shared" si="8"/>
        <v>1000</v>
      </c>
      <c r="E128" s="226">
        <f t="shared" si="7"/>
        <v>2000</v>
      </c>
      <c r="F128" s="8">
        <f t="shared" si="7"/>
        <v>2000</v>
      </c>
      <c r="G128" s="226">
        <f t="shared" si="7"/>
        <v>367</v>
      </c>
      <c r="H128" s="31">
        <f t="shared" si="7"/>
        <v>0</v>
      </c>
      <c r="I128" s="8">
        <f t="shared" si="7"/>
        <v>0</v>
      </c>
      <c r="J128" s="8">
        <f t="shared" si="5"/>
        <v>0</v>
      </c>
      <c r="K128" s="72">
        <f t="shared" si="6"/>
        <v>-2111041.4486921523</v>
      </c>
    </row>
    <row r="129" spans="1:11" x14ac:dyDescent="0.25">
      <c r="A129" s="38">
        <f>Données!A126</f>
        <v>5621</v>
      </c>
      <c r="B129" s="171" t="str">
        <f>Données!B126</f>
        <v>Aclens</v>
      </c>
      <c r="C129" s="8">
        <f>Données!Z126</f>
        <v>517</v>
      </c>
      <c r="D129" s="8">
        <f t="shared" si="8"/>
        <v>517</v>
      </c>
      <c r="E129" s="226">
        <f t="shared" si="7"/>
        <v>0</v>
      </c>
      <c r="F129" s="8">
        <f t="shared" si="7"/>
        <v>0</v>
      </c>
      <c r="G129" s="226">
        <f t="shared" si="7"/>
        <v>0</v>
      </c>
      <c r="H129" s="31">
        <f t="shared" si="7"/>
        <v>0</v>
      </c>
      <c r="I129" s="8">
        <f t="shared" si="7"/>
        <v>0</v>
      </c>
      <c r="J129" s="8">
        <f t="shared" si="5"/>
        <v>0</v>
      </c>
      <c r="K129" s="72">
        <f t="shared" si="6"/>
        <v>-66705.482897384296</v>
      </c>
    </row>
    <row r="130" spans="1:11" x14ac:dyDescent="0.25">
      <c r="A130" s="38">
        <f>Données!A127</f>
        <v>5622</v>
      </c>
      <c r="B130" s="171" t="str">
        <f>Données!B127</f>
        <v>Bremblens</v>
      </c>
      <c r="C130" s="8">
        <f>Données!Z127</f>
        <v>607</v>
      </c>
      <c r="D130" s="8">
        <f t="shared" si="8"/>
        <v>607</v>
      </c>
      <c r="E130" s="226">
        <f t="shared" si="7"/>
        <v>0</v>
      </c>
      <c r="F130" s="8">
        <f t="shared" si="7"/>
        <v>0</v>
      </c>
      <c r="G130" s="226">
        <f t="shared" si="7"/>
        <v>0</v>
      </c>
      <c r="H130" s="31">
        <f t="shared" si="7"/>
        <v>0</v>
      </c>
      <c r="I130" s="8">
        <f t="shared" si="7"/>
        <v>0</v>
      </c>
      <c r="J130" s="8">
        <f t="shared" si="5"/>
        <v>0</v>
      </c>
      <c r="K130" s="72">
        <f t="shared" si="6"/>
        <v>-78317.655935613671</v>
      </c>
    </row>
    <row r="131" spans="1:11" x14ac:dyDescent="0.25">
      <c r="A131" s="38">
        <f>Données!A128</f>
        <v>5623</v>
      </c>
      <c r="B131" s="171" t="str">
        <f>Données!B128</f>
        <v>Buchillon</v>
      </c>
      <c r="C131" s="8">
        <f>Données!Z128</f>
        <v>669</v>
      </c>
      <c r="D131" s="8">
        <f t="shared" si="8"/>
        <v>669</v>
      </c>
      <c r="E131" s="226">
        <f t="shared" si="7"/>
        <v>0</v>
      </c>
      <c r="F131" s="8">
        <f t="shared" si="7"/>
        <v>0</v>
      </c>
      <c r="G131" s="226">
        <f t="shared" si="7"/>
        <v>0</v>
      </c>
      <c r="H131" s="31">
        <f t="shared" si="7"/>
        <v>0</v>
      </c>
      <c r="I131" s="8">
        <f t="shared" si="7"/>
        <v>0</v>
      </c>
      <c r="J131" s="8">
        <f t="shared" si="5"/>
        <v>0</v>
      </c>
      <c r="K131" s="72">
        <f t="shared" si="6"/>
        <v>-86317.152917505009</v>
      </c>
    </row>
    <row r="132" spans="1:11" x14ac:dyDescent="0.25">
      <c r="A132" s="38">
        <f>Données!A129</f>
        <v>5624</v>
      </c>
      <c r="B132" s="171" t="str">
        <f>Données!B129</f>
        <v>Bussigny</v>
      </c>
      <c r="C132" s="8">
        <f>Données!Z129</f>
        <v>10253</v>
      </c>
      <c r="D132" s="8">
        <f t="shared" si="8"/>
        <v>1000</v>
      </c>
      <c r="E132" s="226">
        <f t="shared" si="7"/>
        <v>2000</v>
      </c>
      <c r="F132" s="8">
        <f t="shared" si="7"/>
        <v>2000</v>
      </c>
      <c r="G132" s="226">
        <f t="shared" si="7"/>
        <v>4000</v>
      </c>
      <c r="H132" s="31">
        <f t="shared" si="7"/>
        <v>1253</v>
      </c>
      <c r="I132" s="8">
        <f t="shared" si="7"/>
        <v>0</v>
      </c>
      <c r="J132" s="8">
        <f t="shared" si="5"/>
        <v>0</v>
      </c>
      <c r="K132" s="72">
        <f t="shared" si="6"/>
        <v>-5460353.4205231369</v>
      </c>
    </row>
    <row r="133" spans="1:11" x14ac:dyDescent="0.25">
      <c r="A133" s="38">
        <f>Données!A130</f>
        <v>5627</v>
      </c>
      <c r="B133" s="171" t="str">
        <f>Données!B130</f>
        <v>Chavannes-près-Renens</v>
      </c>
      <c r="C133" s="8">
        <f>Données!Z130</f>
        <v>8767</v>
      </c>
      <c r="D133" s="8">
        <f t="shared" si="8"/>
        <v>1000</v>
      </c>
      <c r="E133" s="226">
        <f t="shared" si="7"/>
        <v>2000</v>
      </c>
      <c r="F133" s="8">
        <f t="shared" si="7"/>
        <v>2000</v>
      </c>
      <c r="G133" s="226">
        <f t="shared" si="7"/>
        <v>3767</v>
      </c>
      <c r="H133" s="31">
        <f t="shared" si="7"/>
        <v>0</v>
      </c>
      <c r="I133" s="8">
        <f t="shared" si="7"/>
        <v>0</v>
      </c>
      <c r="J133" s="8">
        <f t="shared" si="5"/>
        <v>0</v>
      </c>
      <c r="K133" s="72">
        <f t="shared" si="6"/>
        <v>-4216715.4929577457</v>
      </c>
    </row>
    <row r="134" spans="1:11" x14ac:dyDescent="0.25">
      <c r="A134" s="38">
        <f>Données!A131</f>
        <v>5628</v>
      </c>
      <c r="B134" s="171" t="str">
        <f>Données!B131</f>
        <v>Chigny</v>
      </c>
      <c r="C134" s="8">
        <f>Données!Z131</f>
        <v>405</v>
      </c>
      <c r="D134" s="8">
        <f t="shared" si="8"/>
        <v>405</v>
      </c>
      <c r="E134" s="226">
        <f t="shared" si="7"/>
        <v>0</v>
      </c>
      <c r="F134" s="8">
        <f t="shared" si="7"/>
        <v>0</v>
      </c>
      <c r="G134" s="226">
        <f t="shared" si="7"/>
        <v>0</v>
      </c>
      <c r="H134" s="31">
        <f t="shared" si="7"/>
        <v>0</v>
      </c>
      <c r="I134" s="8">
        <f t="shared" si="7"/>
        <v>0</v>
      </c>
      <c r="J134" s="8">
        <f t="shared" si="5"/>
        <v>0</v>
      </c>
      <c r="K134" s="72">
        <f t="shared" si="6"/>
        <v>-52254.778672032182</v>
      </c>
    </row>
    <row r="135" spans="1:11" x14ac:dyDescent="0.25">
      <c r="A135" s="38">
        <f>Données!A132</f>
        <v>5629</v>
      </c>
      <c r="B135" s="171" t="str">
        <f>Données!B132</f>
        <v>Clarmont</v>
      </c>
      <c r="C135" s="8">
        <f>Données!Z132</f>
        <v>211</v>
      </c>
      <c r="D135" s="8">
        <f t="shared" si="8"/>
        <v>211</v>
      </c>
      <c r="E135" s="226">
        <f t="shared" si="7"/>
        <v>0</v>
      </c>
      <c r="F135" s="8">
        <f t="shared" si="7"/>
        <v>0</v>
      </c>
      <c r="G135" s="226">
        <f t="shared" si="7"/>
        <v>0</v>
      </c>
      <c r="H135" s="31">
        <f t="shared" si="7"/>
        <v>0</v>
      </c>
      <c r="I135" s="8">
        <f t="shared" si="7"/>
        <v>0</v>
      </c>
      <c r="J135" s="8">
        <f t="shared" si="5"/>
        <v>0</v>
      </c>
      <c r="K135" s="72">
        <f t="shared" si="6"/>
        <v>-27224.09456740442</v>
      </c>
    </row>
    <row r="136" spans="1:11" x14ac:dyDescent="0.25">
      <c r="A136" s="38">
        <f>Données!A133</f>
        <v>5631</v>
      </c>
      <c r="B136" s="171" t="str">
        <f>Données!B133</f>
        <v>Denens</v>
      </c>
      <c r="C136" s="8">
        <f>Données!Z133</f>
        <v>733</v>
      </c>
      <c r="D136" s="8">
        <f t="shared" si="8"/>
        <v>733</v>
      </c>
      <c r="E136" s="226">
        <f t="shared" si="7"/>
        <v>0</v>
      </c>
      <c r="F136" s="8">
        <f t="shared" si="7"/>
        <v>0</v>
      </c>
      <c r="G136" s="226">
        <f t="shared" si="7"/>
        <v>0</v>
      </c>
      <c r="H136" s="31">
        <f t="shared" si="7"/>
        <v>0</v>
      </c>
      <c r="I136" s="8">
        <f t="shared" si="7"/>
        <v>0</v>
      </c>
      <c r="J136" s="8">
        <f t="shared" si="5"/>
        <v>0</v>
      </c>
      <c r="K136" s="72">
        <f t="shared" si="6"/>
        <v>-94574.698189134782</v>
      </c>
    </row>
    <row r="137" spans="1:11" x14ac:dyDescent="0.25">
      <c r="A137" s="38">
        <f>Données!A134</f>
        <v>5632</v>
      </c>
      <c r="B137" s="171" t="str">
        <f>Données!B134</f>
        <v>Denges</v>
      </c>
      <c r="C137" s="8">
        <f>Données!Z134</f>
        <v>1744</v>
      </c>
      <c r="D137" s="8">
        <f t="shared" si="8"/>
        <v>1000</v>
      </c>
      <c r="E137" s="226">
        <f t="shared" si="7"/>
        <v>744</v>
      </c>
      <c r="F137" s="8">
        <f t="shared" si="7"/>
        <v>0</v>
      </c>
      <c r="G137" s="226">
        <f t="shared" si="7"/>
        <v>0</v>
      </c>
      <c r="H137" s="31">
        <f t="shared" si="7"/>
        <v>0</v>
      </c>
      <c r="I137" s="8">
        <f t="shared" si="7"/>
        <v>0</v>
      </c>
      <c r="J137" s="8">
        <f t="shared" si="5"/>
        <v>0</v>
      </c>
      <c r="K137" s="72">
        <f t="shared" si="6"/>
        <v>-397807.24346076453</v>
      </c>
    </row>
    <row r="138" spans="1:11" x14ac:dyDescent="0.25">
      <c r="A138" s="38">
        <f>Données!A135</f>
        <v>5633</v>
      </c>
      <c r="B138" s="171" t="str">
        <f>Données!B135</f>
        <v>Echandens</v>
      </c>
      <c r="C138" s="8">
        <f>Données!Z135</f>
        <v>2775</v>
      </c>
      <c r="D138" s="8">
        <f t="shared" si="8"/>
        <v>1000</v>
      </c>
      <c r="E138" s="226">
        <f t="shared" si="7"/>
        <v>1775</v>
      </c>
      <c r="F138" s="8">
        <f t="shared" si="7"/>
        <v>0</v>
      </c>
      <c r="G138" s="226">
        <f t="shared" si="7"/>
        <v>0</v>
      </c>
      <c r="H138" s="31">
        <f t="shared" si="7"/>
        <v>0</v>
      </c>
      <c r="I138" s="8">
        <f t="shared" si="7"/>
        <v>0</v>
      </c>
      <c r="J138" s="8">
        <f t="shared" ref="J138:J201" si="9">IF(C138&gt;$J$5,C138-$J$5,0)</f>
        <v>0</v>
      </c>
      <c r="K138" s="72">
        <f t="shared" ref="K138:K201" si="10">-((D138*D$8)+(E138*E$8)+(F138*F$8)+(G138*G$8)+(H138*H$8)+(I138*I$8)+(J138*J$8))</f>
        <v>-770274.14486921509</v>
      </c>
    </row>
    <row r="139" spans="1:11" x14ac:dyDescent="0.25">
      <c r="A139" s="38">
        <f>Données!A136</f>
        <v>5634</v>
      </c>
      <c r="B139" s="171" t="str">
        <f>Données!B136</f>
        <v>Echichens</v>
      </c>
      <c r="C139" s="8">
        <f>Données!Z136</f>
        <v>3142</v>
      </c>
      <c r="D139" s="8">
        <f t="shared" si="8"/>
        <v>1000</v>
      </c>
      <c r="E139" s="226">
        <f t="shared" si="7"/>
        <v>2000</v>
      </c>
      <c r="F139" s="8">
        <f t="shared" si="7"/>
        <v>142</v>
      </c>
      <c r="G139" s="226">
        <f t="shared" si="7"/>
        <v>0</v>
      </c>
      <c r="H139" s="31">
        <f t="shared" si="7"/>
        <v>0</v>
      </c>
      <c r="I139" s="8">
        <f t="shared" si="7"/>
        <v>0</v>
      </c>
      <c r="J139" s="8">
        <f t="shared" si="9"/>
        <v>0</v>
      </c>
      <c r="K139" s="72">
        <f t="shared" si="10"/>
        <v>-924845.07042253506</v>
      </c>
    </row>
    <row r="140" spans="1:11" x14ac:dyDescent="0.25">
      <c r="A140" s="38">
        <f>Données!A137</f>
        <v>5635</v>
      </c>
      <c r="B140" s="171" t="str">
        <f>Données!B137</f>
        <v>Ecublens</v>
      </c>
      <c r="C140" s="8">
        <f>Données!Z137</f>
        <v>13214</v>
      </c>
      <c r="D140" s="8">
        <f t="shared" si="8"/>
        <v>1000</v>
      </c>
      <c r="E140" s="226">
        <f t="shared" si="7"/>
        <v>2000</v>
      </c>
      <c r="F140" s="8">
        <f t="shared" si="7"/>
        <v>2000</v>
      </c>
      <c r="G140" s="226">
        <f t="shared" si="7"/>
        <v>4000</v>
      </c>
      <c r="H140" s="31">
        <f t="shared" si="7"/>
        <v>3000</v>
      </c>
      <c r="I140" s="8">
        <f t="shared" si="7"/>
        <v>1214</v>
      </c>
      <c r="J140" s="8">
        <f t="shared" si="9"/>
        <v>0</v>
      </c>
      <c r="K140" s="72">
        <f t="shared" si="10"/>
        <v>-8246191.1468812861</v>
      </c>
    </row>
    <row r="141" spans="1:11" x14ac:dyDescent="0.25">
      <c r="A141" s="38">
        <f>Données!A138</f>
        <v>5636</v>
      </c>
      <c r="B141" s="171" t="str">
        <f>Données!B138</f>
        <v>Etoy</v>
      </c>
      <c r="C141" s="8">
        <f>Données!Z138</f>
        <v>2918</v>
      </c>
      <c r="D141" s="8">
        <f t="shared" si="8"/>
        <v>1000</v>
      </c>
      <c r="E141" s="226">
        <f t="shared" si="7"/>
        <v>1918</v>
      </c>
      <c r="F141" s="8">
        <f t="shared" si="7"/>
        <v>0</v>
      </c>
      <c r="G141" s="226">
        <f t="shared" si="7"/>
        <v>0</v>
      </c>
      <c r="H141" s="31">
        <f t="shared" si="7"/>
        <v>0</v>
      </c>
      <c r="I141" s="8">
        <f t="shared" si="7"/>
        <v>0</v>
      </c>
      <c r="J141" s="8">
        <f t="shared" si="9"/>
        <v>0</v>
      </c>
      <c r="K141" s="72">
        <f t="shared" si="10"/>
        <v>-821935.41247484903</v>
      </c>
    </row>
    <row r="142" spans="1:11" x14ac:dyDescent="0.25">
      <c r="A142" s="38">
        <f>Données!A139</f>
        <v>5637</v>
      </c>
      <c r="B142" s="171" t="str">
        <f>Données!B139</f>
        <v>Lavigny</v>
      </c>
      <c r="C142" s="8">
        <f>Données!Z139</f>
        <v>1026</v>
      </c>
      <c r="D142" s="8">
        <f t="shared" si="8"/>
        <v>1000</v>
      </c>
      <c r="E142" s="226">
        <f t="shared" si="7"/>
        <v>26</v>
      </c>
      <c r="F142" s="8">
        <f t="shared" si="7"/>
        <v>0</v>
      </c>
      <c r="G142" s="226">
        <f t="shared" si="7"/>
        <v>0</v>
      </c>
      <c r="H142" s="31">
        <f t="shared" si="7"/>
        <v>0</v>
      </c>
      <c r="I142" s="8">
        <f t="shared" si="7"/>
        <v>0</v>
      </c>
      <c r="J142" s="8">
        <f t="shared" si="9"/>
        <v>0</v>
      </c>
      <c r="K142" s="72">
        <f t="shared" si="10"/>
        <v>-138417.10261569414</v>
      </c>
    </row>
    <row r="143" spans="1:11" x14ac:dyDescent="0.25">
      <c r="A143" s="38">
        <f>Données!A140</f>
        <v>5638</v>
      </c>
      <c r="B143" s="171" t="str">
        <f>Données!B140</f>
        <v>Lonay</v>
      </c>
      <c r="C143" s="8">
        <f>Données!Z140</f>
        <v>2751</v>
      </c>
      <c r="D143" s="8">
        <f t="shared" si="8"/>
        <v>1000</v>
      </c>
      <c r="E143" s="226">
        <f t="shared" si="7"/>
        <v>1751</v>
      </c>
      <c r="F143" s="8">
        <f t="shared" si="7"/>
        <v>0</v>
      </c>
      <c r="G143" s="226">
        <f t="shared" si="7"/>
        <v>0</v>
      </c>
      <c r="H143" s="31">
        <f t="shared" si="7"/>
        <v>0</v>
      </c>
      <c r="I143" s="8">
        <f t="shared" si="7"/>
        <v>0</v>
      </c>
      <c r="J143" s="8">
        <f t="shared" si="9"/>
        <v>0</v>
      </c>
      <c r="K143" s="72">
        <f t="shared" si="10"/>
        <v>-761603.72233400401</v>
      </c>
    </row>
    <row r="144" spans="1:11" x14ac:dyDescent="0.25">
      <c r="A144" s="38">
        <f>Données!A141</f>
        <v>5639</v>
      </c>
      <c r="B144" s="171" t="str">
        <f>Données!B141</f>
        <v>Lully</v>
      </c>
      <c r="C144" s="8">
        <f>Données!Z141</f>
        <v>828</v>
      </c>
      <c r="D144" s="8">
        <f t="shared" si="8"/>
        <v>828</v>
      </c>
      <c r="E144" s="226">
        <f t="shared" si="7"/>
        <v>0</v>
      </c>
      <c r="F144" s="8">
        <f t="shared" si="7"/>
        <v>0</v>
      </c>
      <c r="G144" s="226">
        <f t="shared" si="7"/>
        <v>0</v>
      </c>
      <c r="H144" s="31">
        <f t="shared" si="7"/>
        <v>0</v>
      </c>
      <c r="I144" s="8">
        <f t="shared" si="7"/>
        <v>0</v>
      </c>
      <c r="J144" s="8">
        <f t="shared" si="9"/>
        <v>0</v>
      </c>
      <c r="K144" s="72">
        <f t="shared" si="10"/>
        <v>-106831.99195171024</v>
      </c>
    </row>
    <row r="145" spans="1:11" x14ac:dyDescent="0.25">
      <c r="A145" s="38">
        <f>Données!A142</f>
        <v>5640</v>
      </c>
      <c r="B145" s="171" t="str">
        <f>Données!B142</f>
        <v>Lussy-sur-Morges</v>
      </c>
      <c r="C145" s="8">
        <f>Données!Z142</f>
        <v>740</v>
      </c>
      <c r="D145" s="8">
        <f t="shared" si="8"/>
        <v>740</v>
      </c>
      <c r="E145" s="226">
        <f t="shared" si="7"/>
        <v>0</v>
      </c>
      <c r="F145" s="8">
        <f t="shared" si="7"/>
        <v>0</v>
      </c>
      <c r="G145" s="226">
        <f t="shared" si="7"/>
        <v>0</v>
      </c>
      <c r="H145" s="31">
        <f t="shared" si="7"/>
        <v>0</v>
      </c>
      <c r="I145" s="8">
        <f t="shared" si="7"/>
        <v>0</v>
      </c>
      <c r="J145" s="8">
        <f t="shared" si="9"/>
        <v>0</v>
      </c>
      <c r="K145" s="72">
        <f t="shared" si="10"/>
        <v>-95477.867203219299</v>
      </c>
    </row>
    <row r="146" spans="1:11" x14ac:dyDescent="0.25">
      <c r="A146" s="38">
        <f>Données!A143</f>
        <v>5642</v>
      </c>
      <c r="B146" s="171" t="str">
        <f>Données!B143</f>
        <v>Morges</v>
      </c>
      <c r="C146" s="8">
        <f>Données!Z143</f>
        <v>16885</v>
      </c>
      <c r="D146" s="8">
        <f t="shared" si="8"/>
        <v>1000</v>
      </c>
      <c r="E146" s="226">
        <f t="shared" si="7"/>
        <v>2000</v>
      </c>
      <c r="F146" s="8">
        <f t="shared" si="7"/>
        <v>2000</v>
      </c>
      <c r="G146" s="226">
        <f t="shared" si="7"/>
        <v>4000</v>
      </c>
      <c r="H146" s="31">
        <f t="shared" si="7"/>
        <v>3000</v>
      </c>
      <c r="I146" s="8">
        <f t="shared" si="7"/>
        <v>3000</v>
      </c>
      <c r="J146" s="8">
        <f t="shared" si="9"/>
        <v>1885</v>
      </c>
      <c r="K146" s="72">
        <f t="shared" si="10"/>
        <v>-12132656.438631788</v>
      </c>
    </row>
    <row r="147" spans="1:11" x14ac:dyDescent="0.25">
      <c r="A147" s="38">
        <f>Données!A144</f>
        <v>5643</v>
      </c>
      <c r="B147" s="171" t="str">
        <f>Données!B144</f>
        <v>Préverenges</v>
      </c>
      <c r="C147" s="8">
        <f>Données!Z144</f>
        <v>5208</v>
      </c>
      <c r="D147" s="8">
        <f t="shared" si="8"/>
        <v>1000</v>
      </c>
      <c r="E147" s="226">
        <f t="shared" si="7"/>
        <v>2000</v>
      </c>
      <c r="F147" s="8">
        <f t="shared" si="7"/>
        <v>2000</v>
      </c>
      <c r="G147" s="226">
        <f t="shared" si="7"/>
        <v>208</v>
      </c>
      <c r="H147" s="31">
        <f t="shared" si="7"/>
        <v>0</v>
      </c>
      <c r="I147" s="8">
        <f t="shared" si="7"/>
        <v>0</v>
      </c>
      <c r="J147" s="8">
        <f t="shared" si="9"/>
        <v>0</v>
      </c>
      <c r="K147" s="72">
        <f t="shared" si="10"/>
        <v>-2012570.2213279675</v>
      </c>
    </row>
    <row r="148" spans="1:11" x14ac:dyDescent="0.25">
      <c r="A148" s="38">
        <f>Données!A145</f>
        <v>5645</v>
      </c>
      <c r="B148" s="171" t="str">
        <f>Données!B145</f>
        <v>Romanel-sur-Morges</v>
      </c>
      <c r="C148" s="8">
        <f>Données!Z145</f>
        <v>466</v>
      </c>
      <c r="D148" s="8">
        <f t="shared" si="8"/>
        <v>466</v>
      </c>
      <c r="E148" s="226">
        <f t="shared" si="7"/>
        <v>0</v>
      </c>
      <c r="F148" s="8">
        <f t="shared" si="7"/>
        <v>0</v>
      </c>
      <c r="G148" s="226">
        <f t="shared" si="7"/>
        <v>0</v>
      </c>
      <c r="H148" s="31">
        <f t="shared" si="7"/>
        <v>0</v>
      </c>
      <c r="I148" s="8">
        <f t="shared" si="7"/>
        <v>0</v>
      </c>
      <c r="J148" s="8">
        <f t="shared" si="9"/>
        <v>0</v>
      </c>
      <c r="K148" s="72">
        <f t="shared" si="10"/>
        <v>-60125.251509054309</v>
      </c>
    </row>
    <row r="149" spans="1:11" x14ac:dyDescent="0.25">
      <c r="A149" s="38">
        <f>Données!A146</f>
        <v>5646</v>
      </c>
      <c r="B149" s="171" t="str">
        <f>Données!B146</f>
        <v>Saint-Prex</v>
      </c>
      <c r="C149" s="8">
        <f>Données!Z146</f>
        <v>5866</v>
      </c>
      <c r="D149" s="8">
        <f t="shared" si="8"/>
        <v>1000</v>
      </c>
      <c r="E149" s="226">
        <f t="shared" si="7"/>
        <v>2000</v>
      </c>
      <c r="F149" s="8">
        <f t="shared" si="7"/>
        <v>2000</v>
      </c>
      <c r="G149" s="226">
        <f t="shared" si="7"/>
        <v>866</v>
      </c>
      <c r="H149" s="31">
        <f t="shared" si="7"/>
        <v>0</v>
      </c>
      <c r="I149" s="8">
        <f t="shared" si="7"/>
        <v>0</v>
      </c>
      <c r="J149" s="8">
        <f t="shared" si="9"/>
        <v>0</v>
      </c>
      <c r="K149" s="72">
        <f t="shared" si="10"/>
        <v>-2420080.0804828969</v>
      </c>
    </row>
    <row r="150" spans="1:11" x14ac:dyDescent="0.25">
      <c r="A150" s="38">
        <f>Données!A147</f>
        <v>5648</v>
      </c>
      <c r="B150" s="171" t="str">
        <f>Données!B147</f>
        <v>Saint-Sulpice</v>
      </c>
      <c r="C150" s="8">
        <f>Données!Z147</f>
        <v>4932</v>
      </c>
      <c r="D150" s="8">
        <f t="shared" si="8"/>
        <v>1000</v>
      </c>
      <c r="E150" s="226">
        <f t="shared" si="7"/>
        <v>2000</v>
      </c>
      <c r="F150" s="8">
        <f t="shared" si="7"/>
        <v>1932</v>
      </c>
      <c r="G150" s="226">
        <f t="shared" si="7"/>
        <v>0</v>
      </c>
      <c r="H150" s="31">
        <f t="shared" si="7"/>
        <v>0</v>
      </c>
      <c r="I150" s="8">
        <f t="shared" si="7"/>
        <v>0</v>
      </c>
      <c r="J150" s="8">
        <f t="shared" si="9"/>
        <v>0</v>
      </c>
      <c r="K150" s="72">
        <f t="shared" si="10"/>
        <v>-1848657.9476861162</v>
      </c>
    </row>
    <row r="151" spans="1:11" x14ac:dyDescent="0.25">
      <c r="A151" s="38">
        <f>Données!A148</f>
        <v>5649</v>
      </c>
      <c r="B151" s="171" t="str">
        <f>Données!B148</f>
        <v>Tolochenaz</v>
      </c>
      <c r="C151" s="8">
        <f>Données!Z148</f>
        <v>1886</v>
      </c>
      <c r="D151" s="8">
        <f t="shared" si="8"/>
        <v>1000</v>
      </c>
      <c r="E151" s="226">
        <f t="shared" si="7"/>
        <v>886</v>
      </c>
      <c r="F151" s="8">
        <f t="shared" si="7"/>
        <v>0</v>
      </c>
      <c r="G151" s="226">
        <f t="shared" si="7"/>
        <v>0</v>
      </c>
      <c r="H151" s="31">
        <f t="shared" si="7"/>
        <v>0</v>
      </c>
      <c r="I151" s="8">
        <f t="shared" si="7"/>
        <v>0</v>
      </c>
      <c r="J151" s="8">
        <f t="shared" si="9"/>
        <v>0</v>
      </c>
      <c r="K151" s="72">
        <f t="shared" si="10"/>
        <v>-449107.24346076453</v>
      </c>
    </row>
    <row r="152" spans="1:11" x14ac:dyDescent="0.25">
      <c r="A152" s="38">
        <f>Données!A149</f>
        <v>5650</v>
      </c>
      <c r="B152" s="171" t="str">
        <f>Données!B149</f>
        <v>Vaux-sur-Morges</v>
      </c>
      <c r="C152" s="8">
        <f>Données!Z149</f>
        <v>196</v>
      </c>
      <c r="D152" s="8">
        <f t="shared" si="8"/>
        <v>196</v>
      </c>
      <c r="E152" s="226">
        <f t="shared" si="7"/>
        <v>0</v>
      </c>
      <c r="F152" s="8">
        <f t="shared" si="7"/>
        <v>0</v>
      </c>
      <c r="G152" s="226">
        <f t="shared" si="7"/>
        <v>0</v>
      </c>
      <c r="H152" s="31">
        <f t="shared" si="7"/>
        <v>0</v>
      </c>
      <c r="I152" s="8">
        <f t="shared" si="7"/>
        <v>0</v>
      </c>
      <c r="J152" s="8">
        <f t="shared" si="9"/>
        <v>0</v>
      </c>
      <c r="K152" s="72">
        <f t="shared" si="10"/>
        <v>-25288.73239436619</v>
      </c>
    </row>
    <row r="153" spans="1:11" x14ac:dyDescent="0.25">
      <c r="A153" s="38">
        <f>Données!A150</f>
        <v>5651</v>
      </c>
      <c r="B153" s="171" t="str">
        <f>Données!B150</f>
        <v>Villars-Sainte-Croix</v>
      </c>
      <c r="C153" s="8">
        <f>Données!Z150</f>
        <v>958</v>
      </c>
      <c r="D153" s="8">
        <f t="shared" si="8"/>
        <v>958</v>
      </c>
      <c r="E153" s="226">
        <f t="shared" si="7"/>
        <v>0</v>
      </c>
      <c r="F153" s="8">
        <f t="shared" si="7"/>
        <v>0</v>
      </c>
      <c r="G153" s="226">
        <f t="shared" si="7"/>
        <v>0</v>
      </c>
      <c r="H153" s="31">
        <f t="shared" si="7"/>
        <v>0</v>
      </c>
      <c r="I153" s="8">
        <f t="shared" si="7"/>
        <v>0</v>
      </c>
      <c r="J153" s="8">
        <f t="shared" si="9"/>
        <v>0</v>
      </c>
      <c r="K153" s="72">
        <f t="shared" si="10"/>
        <v>-123605.13078470822</v>
      </c>
    </row>
    <row r="154" spans="1:11" x14ac:dyDescent="0.25">
      <c r="A154" s="38">
        <f>Données!A151</f>
        <v>5652</v>
      </c>
      <c r="B154" s="171" t="str">
        <f>Données!B151</f>
        <v>Villars-sous-Yens</v>
      </c>
      <c r="C154" s="8">
        <f>Données!Z151</f>
        <v>626</v>
      </c>
      <c r="D154" s="8">
        <f t="shared" si="8"/>
        <v>626</v>
      </c>
      <c r="E154" s="226">
        <f t="shared" si="7"/>
        <v>0</v>
      </c>
      <c r="F154" s="8">
        <f t="shared" si="7"/>
        <v>0</v>
      </c>
      <c r="G154" s="226">
        <f t="shared" si="7"/>
        <v>0</v>
      </c>
      <c r="H154" s="31">
        <f t="shared" si="7"/>
        <v>0</v>
      </c>
      <c r="I154" s="8">
        <f t="shared" si="7"/>
        <v>0</v>
      </c>
      <c r="J154" s="8">
        <f t="shared" si="9"/>
        <v>0</v>
      </c>
      <c r="K154" s="72">
        <f t="shared" si="10"/>
        <v>-80769.114688128757</v>
      </c>
    </row>
    <row r="155" spans="1:11" x14ac:dyDescent="0.25">
      <c r="A155" s="38">
        <f>Données!A152</f>
        <v>5653</v>
      </c>
      <c r="B155" s="171" t="str">
        <f>Données!B152</f>
        <v>Vufflens-le-Château</v>
      </c>
      <c r="C155" s="8">
        <f>Données!Z152</f>
        <v>894</v>
      </c>
      <c r="D155" s="8">
        <f t="shared" si="8"/>
        <v>894</v>
      </c>
      <c r="E155" s="226">
        <f t="shared" si="7"/>
        <v>0</v>
      </c>
      <c r="F155" s="8">
        <f t="shared" si="7"/>
        <v>0</v>
      </c>
      <c r="G155" s="226">
        <f t="shared" si="7"/>
        <v>0</v>
      </c>
      <c r="H155" s="31">
        <f t="shared" si="7"/>
        <v>0</v>
      </c>
      <c r="I155" s="8">
        <f t="shared" si="7"/>
        <v>0</v>
      </c>
      <c r="J155" s="8">
        <f t="shared" si="9"/>
        <v>0</v>
      </c>
      <c r="K155" s="72">
        <f t="shared" si="10"/>
        <v>-115347.58551307845</v>
      </c>
    </row>
    <row r="156" spans="1:11" x14ac:dyDescent="0.25">
      <c r="A156" s="38">
        <f>Données!A153</f>
        <v>5654</v>
      </c>
      <c r="B156" s="171" t="str">
        <f>Données!B153</f>
        <v>Vullierens</v>
      </c>
      <c r="C156" s="8">
        <f>Données!Z153</f>
        <v>560</v>
      </c>
      <c r="D156" s="8">
        <f t="shared" si="8"/>
        <v>560</v>
      </c>
      <c r="E156" s="226">
        <f t="shared" si="7"/>
        <v>0</v>
      </c>
      <c r="F156" s="8">
        <f t="shared" si="7"/>
        <v>0</v>
      </c>
      <c r="G156" s="226">
        <f t="shared" si="7"/>
        <v>0</v>
      </c>
      <c r="H156" s="31">
        <f t="shared" si="7"/>
        <v>0</v>
      </c>
      <c r="I156" s="8">
        <f t="shared" si="7"/>
        <v>0</v>
      </c>
      <c r="J156" s="8">
        <f t="shared" si="9"/>
        <v>0</v>
      </c>
      <c r="K156" s="72">
        <f t="shared" si="10"/>
        <v>-72253.521126760548</v>
      </c>
    </row>
    <row r="157" spans="1:11" x14ac:dyDescent="0.25">
      <c r="A157" s="38">
        <f>Données!A154</f>
        <v>5655</v>
      </c>
      <c r="B157" s="171" t="str">
        <f>Données!B154</f>
        <v>Yens</v>
      </c>
      <c r="C157" s="8">
        <f>Données!Z154</f>
        <v>1499</v>
      </c>
      <c r="D157" s="8">
        <f t="shared" si="8"/>
        <v>1000</v>
      </c>
      <c r="E157" s="226">
        <f t="shared" si="7"/>
        <v>499</v>
      </c>
      <c r="F157" s="8">
        <f t="shared" si="7"/>
        <v>0</v>
      </c>
      <c r="G157" s="226">
        <f t="shared" si="7"/>
        <v>0</v>
      </c>
      <c r="H157" s="31">
        <f t="shared" si="7"/>
        <v>0</v>
      </c>
      <c r="I157" s="8">
        <f t="shared" si="7"/>
        <v>0</v>
      </c>
      <c r="J157" s="8">
        <f t="shared" si="9"/>
        <v>0</v>
      </c>
      <c r="K157" s="72">
        <f t="shared" si="10"/>
        <v>-309296.68008048285</v>
      </c>
    </row>
    <row r="158" spans="1:11" x14ac:dyDescent="0.25">
      <c r="A158" s="38">
        <f>Données!A155</f>
        <v>5656</v>
      </c>
      <c r="B158" s="171" t="str">
        <f>Données!B155</f>
        <v>Hautemorges</v>
      </c>
      <c r="C158" s="8">
        <f>Données!Z155</f>
        <v>4173</v>
      </c>
      <c r="D158" s="8">
        <f t="shared" si="8"/>
        <v>1000</v>
      </c>
      <c r="E158" s="226">
        <f t="shared" si="7"/>
        <v>2000</v>
      </c>
      <c r="F158" s="8">
        <f t="shared" si="7"/>
        <v>1173</v>
      </c>
      <c r="G158" s="226">
        <f t="shared" ref="E158:I209" si="11">IF($C158&gt;G$5,IF($C158&lt;G$6,$C158-G$5,G$6-G$5),0)</f>
        <v>0</v>
      </c>
      <c r="H158" s="31">
        <f t="shared" si="11"/>
        <v>0</v>
      </c>
      <c r="I158" s="8">
        <f t="shared" si="11"/>
        <v>0</v>
      </c>
      <c r="J158" s="8">
        <f t="shared" si="9"/>
        <v>0</v>
      </c>
      <c r="K158" s="72">
        <f t="shared" si="10"/>
        <v>-1456940.6438631788</v>
      </c>
    </row>
    <row r="159" spans="1:11" x14ac:dyDescent="0.25">
      <c r="A159" s="38">
        <f>Données!A156</f>
        <v>5661</v>
      </c>
      <c r="B159" s="171" t="str">
        <f>Données!B156</f>
        <v>Boulens</v>
      </c>
      <c r="C159" s="8">
        <f>Données!Z156</f>
        <v>371</v>
      </c>
      <c r="D159" s="8">
        <f t="shared" si="8"/>
        <v>371</v>
      </c>
      <c r="E159" s="226">
        <f t="shared" si="11"/>
        <v>0</v>
      </c>
      <c r="F159" s="8">
        <f t="shared" si="11"/>
        <v>0</v>
      </c>
      <c r="G159" s="226">
        <f t="shared" si="11"/>
        <v>0</v>
      </c>
      <c r="H159" s="31">
        <f t="shared" si="11"/>
        <v>0</v>
      </c>
      <c r="I159" s="8">
        <f t="shared" si="11"/>
        <v>0</v>
      </c>
      <c r="J159" s="8">
        <f t="shared" si="9"/>
        <v>0</v>
      </c>
      <c r="K159" s="72">
        <f t="shared" si="10"/>
        <v>-47867.95774647886</v>
      </c>
    </row>
    <row r="160" spans="1:11" x14ac:dyDescent="0.25">
      <c r="A160" s="38">
        <f>Données!A157</f>
        <v>5663</v>
      </c>
      <c r="B160" s="171" t="str">
        <f>Données!B157</f>
        <v>Bussy-sur-Moudon</v>
      </c>
      <c r="C160" s="8">
        <f>Données!Z157</f>
        <v>236</v>
      </c>
      <c r="D160" s="8">
        <f t="shared" si="8"/>
        <v>236</v>
      </c>
      <c r="E160" s="226">
        <f t="shared" si="11"/>
        <v>0</v>
      </c>
      <c r="F160" s="8">
        <f t="shared" si="11"/>
        <v>0</v>
      </c>
      <c r="G160" s="226">
        <f t="shared" si="11"/>
        <v>0</v>
      </c>
      <c r="H160" s="31">
        <f t="shared" si="11"/>
        <v>0</v>
      </c>
      <c r="I160" s="8">
        <f t="shared" si="11"/>
        <v>0</v>
      </c>
      <c r="J160" s="8">
        <f t="shared" si="9"/>
        <v>0</v>
      </c>
      <c r="K160" s="72">
        <f t="shared" si="10"/>
        <v>-30449.6981891348</v>
      </c>
    </row>
    <row r="161" spans="1:11" x14ac:dyDescent="0.25">
      <c r="A161" s="38">
        <f>Données!A158</f>
        <v>5665</v>
      </c>
      <c r="B161" s="171" t="str">
        <f>Données!B158</f>
        <v>Chavannes-sur-Moudon</v>
      </c>
      <c r="C161" s="8">
        <f>Données!Z158</f>
        <v>222</v>
      </c>
      <c r="D161" s="8">
        <f t="shared" si="8"/>
        <v>222</v>
      </c>
      <c r="E161" s="226">
        <f t="shared" si="11"/>
        <v>0</v>
      </c>
      <c r="F161" s="8">
        <f t="shared" si="11"/>
        <v>0</v>
      </c>
      <c r="G161" s="226">
        <f t="shared" si="11"/>
        <v>0</v>
      </c>
      <c r="H161" s="31">
        <f t="shared" si="11"/>
        <v>0</v>
      </c>
      <c r="I161" s="8">
        <f t="shared" si="11"/>
        <v>0</v>
      </c>
      <c r="J161" s="8">
        <f t="shared" si="9"/>
        <v>0</v>
      </c>
      <c r="K161" s="72">
        <f t="shared" si="10"/>
        <v>-28643.360160965789</v>
      </c>
    </row>
    <row r="162" spans="1:11" x14ac:dyDescent="0.25">
      <c r="A162" s="38">
        <f>Données!A159</f>
        <v>5669</v>
      </c>
      <c r="B162" s="171" t="str">
        <f>Données!B159</f>
        <v>Curtilles</v>
      </c>
      <c r="C162" s="8">
        <f>Données!Z159</f>
        <v>296</v>
      </c>
      <c r="D162" s="8">
        <f t="shared" si="8"/>
        <v>296</v>
      </c>
      <c r="E162" s="226">
        <f t="shared" si="11"/>
        <v>0</v>
      </c>
      <c r="F162" s="8">
        <f t="shared" si="11"/>
        <v>0</v>
      </c>
      <c r="G162" s="226">
        <f t="shared" si="11"/>
        <v>0</v>
      </c>
      <c r="H162" s="31">
        <f t="shared" si="11"/>
        <v>0</v>
      </c>
      <c r="I162" s="8">
        <f t="shared" si="11"/>
        <v>0</v>
      </c>
      <c r="J162" s="8">
        <f t="shared" si="9"/>
        <v>0</v>
      </c>
      <c r="K162" s="72">
        <f t="shared" si="10"/>
        <v>-38191.146881287721</v>
      </c>
    </row>
    <row r="163" spans="1:11" x14ac:dyDescent="0.25">
      <c r="A163" s="38">
        <f>Données!A160</f>
        <v>5671</v>
      </c>
      <c r="B163" s="171" t="str">
        <f>Données!B160</f>
        <v>Dompierre</v>
      </c>
      <c r="C163" s="8">
        <f>Données!Z160</f>
        <v>246</v>
      </c>
      <c r="D163" s="8">
        <f t="shared" si="8"/>
        <v>246</v>
      </c>
      <c r="E163" s="226">
        <f t="shared" si="11"/>
        <v>0</v>
      </c>
      <c r="F163" s="8">
        <f t="shared" si="11"/>
        <v>0</v>
      </c>
      <c r="G163" s="226">
        <f t="shared" si="11"/>
        <v>0</v>
      </c>
      <c r="H163" s="31">
        <f t="shared" si="11"/>
        <v>0</v>
      </c>
      <c r="I163" s="8">
        <f t="shared" si="11"/>
        <v>0</v>
      </c>
      <c r="J163" s="8">
        <f t="shared" si="9"/>
        <v>0</v>
      </c>
      <c r="K163" s="72">
        <f t="shared" si="10"/>
        <v>-31739.939637826956</v>
      </c>
    </row>
    <row r="164" spans="1:11" x14ac:dyDescent="0.25">
      <c r="A164" s="38">
        <f>Données!A161</f>
        <v>5673</v>
      </c>
      <c r="B164" s="171" t="str">
        <f>Données!B161</f>
        <v>Hermenches</v>
      </c>
      <c r="C164" s="8">
        <f>Données!Z161</f>
        <v>371</v>
      </c>
      <c r="D164" s="8">
        <f t="shared" si="8"/>
        <v>371</v>
      </c>
      <c r="E164" s="226">
        <f t="shared" si="11"/>
        <v>0</v>
      </c>
      <c r="F164" s="8">
        <f t="shared" si="11"/>
        <v>0</v>
      </c>
      <c r="G164" s="226">
        <f t="shared" si="11"/>
        <v>0</v>
      </c>
      <c r="H164" s="31">
        <f t="shared" si="11"/>
        <v>0</v>
      </c>
      <c r="I164" s="8">
        <f t="shared" si="11"/>
        <v>0</v>
      </c>
      <c r="J164" s="8">
        <f t="shared" si="9"/>
        <v>0</v>
      </c>
      <c r="K164" s="72">
        <f t="shared" si="10"/>
        <v>-47867.95774647886</v>
      </c>
    </row>
    <row r="165" spans="1:11" x14ac:dyDescent="0.25">
      <c r="A165" s="38">
        <f>Données!A162</f>
        <v>5674</v>
      </c>
      <c r="B165" s="171" t="str">
        <f>Données!B162</f>
        <v>Lovatens</v>
      </c>
      <c r="C165" s="8">
        <f>Données!Z162</f>
        <v>146</v>
      </c>
      <c r="D165" s="8">
        <f t="shared" si="8"/>
        <v>146</v>
      </c>
      <c r="E165" s="226">
        <f t="shared" si="11"/>
        <v>0</v>
      </c>
      <c r="F165" s="8">
        <f t="shared" si="11"/>
        <v>0</v>
      </c>
      <c r="G165" s="226">
        <f t="shared" si="11"/>
        <v>0</v>
      </c>
      <c r="H165" s="31">
        <f t="shared" si="11"/>
        <v>0</v>
      </c>
      <c r="I165" s="8">
        <f t="shared" si="11"/>
        <v>0</v>
      </c>
      <c r="J165" s="8">
        <f t="shared" si="9"/>
        <v>0</v>
      </c>
      <c r="K165" s="72">
        <f t="shared" si="10"/>
        <v>-18837.525150905429</v>
      </c>
    </row>
    <row r="166" spans="1:11" x14ac:dyDescent="0.25">
      <c r="A166" s="38">
        <f>Données!A163</f>
        <v>5675</v>
      </c>
      <c r="B166" s="171" t="str">
        <f>Données!B163</f>
        <v>Lucens</v>
      </c>
      <c r="C166" s="8">
        <f>Données!Z163</f>
        <v>4373</v>
      </c>
      <c r="D166" s="8">
        <f t="shared" si="8"/>
        <v>1000</v>
      </c>
      <c r="E166" s="226">
        <f t="shared" si="11"/>
        <v>2000</v>
      </c>
      <c r="F166" s="8">
        <f t="shared" si="11"/>
        <v>1373</v>
      </c>
      <c r="G166" s="226">
        <f t="shared" si="11"/>
        <v>0</v>
      </c>
      <c r="H166" s="31">
        <f t="shared" si="11"/>
        <v>0</v>
      </c>
      <c r="I166" s="8">
        <f t="shared" si="11"/>
        <v>0</v>
      </c>
      <c r="J166" s="8">
        <f t="shared" si="9"/>
        <v>0</v>
      </c>
      <c r="K166" s="72">
        <f t="shared" si="10"/>
        <v>-1560159.9597585509</v>
      </c>
    </row>
    <row r="167" spans="1:11" x14ac:dyDescent="0.25">
      <c r="A167" s="38">
        <f>Données!A164</f>
        <v>5678</v>
      </c>
      <c r="B167" s="171" t="str">
        <f>Données!B164</f>
        <v>Moudon</v>
      </c>
      <c r="C167" s="8">
        <f>Données!Z164</f>
        <v>6120</v>
      </c>
      <c r="D167" s="8">
        <f t="shared" si="8"/>
        <v>1000</v>
      </c>
      <c r="E167" s="226">
        <f t="shared" si="11"/>
        <v>2000</v>
      </c>
      <c r="F167" s="8">
        <f t="shared" si="11"/>
        <v>2000</v>
      </c>
      <c r="G167" s="226">
        <f t="shared" si="11"/>
        <v>1120</v>
      </c>
      <c r="H167" s="31">
        <f t="shared" si="11"/>
        <v>0</v>
      </c>
      <c r="I167" s="8">
        <f t="shared" si="11"/>
        <v>0</v>
      </c>
      <c r="J167" s="8">
        <f t="shared" si="9"/>
        <v>0</v>
      </c>
      <c r="K167" s="72">
        <f t="shared" si="10"/>
        <v>-2577386.3179074442</v>
      </c>
    </row>
    <row r="168" spans="1:11" x14ac:dyDescent="0.25">
      <c r="A168" s="38">
        <f>Données!A165</f>
        <v>5680</v>
      </c>
      <c r="B168" s="171" t="str">
        <f>Données!B165</f>
        <v>Ogens</v>
      </c>
      <c r="C168" s="8">
        <f>Données!Z165</f>
        <v>321</v>
      </c>
      <c r="D168" s="8">
        <f t="shared" si="8"/>
        <v>321</v>
      </c>
      <c r="E168" s="226">
        <f t="shared" si="11"/>
        <v>0</v>
      </c>
      <c r="F168" s="8">
        <f t="shared" si="11"/>
        <v>0</v>
      </c>
      <c r="G168" s="226">
        <f t="shared" si="11"/>
        <v>0</v>
      </c>
      <c r="H168" s="31">
        <f t="shared" si="11"/>
        <v>0</v>
      </c>
      <c r="I168" s="8">
        <f t="shared" si="11"/>
        <v>0</v>
      </c>
      <c r="J168" s="8">
        <f t="shared" si="9"/>
        <v>0</v>
      </c>
      <c r="K168" s="72">
        <f t="shared" si="10"/>
        <v>-41416.750503018098</v>
      </c>
    </row>
    <row r="169" spans="1:11" x14ac:dyDescent="0.25">
      <c r="A169" s="38">
        <f>Données!A166</f>
        <v>5683</v>
      </c>
      <c r="B169" s="171" t="str">
        <f>Données!B166</f>
        <v>Prévonloup</v>
      </c>
      <c r="C169" s="8">
        <f>Données!Z166</f>
        <v>215</v>
      </c>
      <c r="D169" s="8">
        <f t="shared" si="8"/>
        <v>215</v>
      </c>
      <c r="E169" s="226">
        <f t="shared" si="11"/>
        <v>0</v>
      </c>
      <c r="F169" s="8">
        <f t="shared" si="11"/>
        <v>0</v>
      </c>
      <c r="G169" s="226">
        <f t="shared" si="11"/>
        <v>0</v>
      </c>
      <c r="H169" s="31">
        <f t="shared" si="11"/>
        <v>0</v>
      </c>
      <c r="I169" s="8">
        <f t="shared" si="11"/>
        <v>0</v>
      </c>
      <c r="J169" s="8">
        <f t="shared" si="9"/>
        <v>0</v>
      </c>
      <c r="K169" s="72">
        <f t="shared" si="10"/>
        <v>-27740.191146881283</v>
      </c>
    </row>
    <row r="170" spans="1:11" x14ac:dyDescent="0.25">
      <c r="A170" s="38">
        <f>Données!A167</f>
        <v>5684</v>
      </c>
      <c r="B170" s="171" t="str">
        <f>Données!B167</f>
        <v>Rossenges</v>
      </c>
      <c r="C170" s="8">
        <f>Données!Z167</f>
        <v>93</v>
      </c>
      <c r="D170" s="8">
        <f t="shared" si="8"/>
        <v>93</v>
      </c>
      <c r="E170" s="226">
        <f t="shared" si="11"/>
        <v>0</v>
      </c>
      <c r="F170" s="8">
        <f t="shared" si="11"/>
        <v>0</v>
      </c>
      <c r="G170" s="226">
        <f t="shared" si="11"/>
        <v>0</v>
      </c>
      <c r="H170" s="31">
        <f t="shared" si="11"/>
        <v>0</v>
      </c>
      <c r="I170" s="8">
        <f t="shared" si="11"/>
        <v>0</v>
      </c>
      <c r="J170" s="8">
        <f t="shared" si="9"/>
        <v>0</v>
      </c>
      <c r="K170" s="72">
        <f t="shared" si="10"/>
        <v>-11999.245472837019</v>
      </c>
    </row>
    <row r="171" spans="1:11" x14ac:dyDescent="0.25">
      <c r="A171" s="38">
        <f>Données!A168</f>
        <v>5688</v>
      </c>
      <c r="B171" s="171" t="str">
        <f>Données!B168</f>
        <v>Syens</v>
      </c>
      <c r="C171" s="8">
        <f>Données!Z168</f>
        <v>161</v>
      </c>
      <c r="D171" s="8">
        <f t="shared" si="8"/>
        <v>161</v>
      </c>
      <c r="E171" s="226">
        <f t="shared" si="11"/>
        <v>0</v>
      </c>
      <c r="F171" s="8">
        <f t="shared" si="11"/>
        <v>0</v>
      </c>
      <c r="G171" s="226">
        <f t="shared" si="11"/>
        <v>0</v>
      </c>
      <c r="H171" s="31">
        <f t="shared" si="11"/>
        <v>0</v>
      </c>
      <c r="I171" s="8">
        <f t="shared" si="11"/>
        <v>0</v>
      </c>
      <c r="J171" s="8">
        <f t="shared" si="9"/>
        <v>0</v>
      </c>
      <c r="K171" s="72">
        <f t="shared" si="10"/>
        <v>-20772.887323943658</v>
      </c>
    </row>
    <row r="172" spans="1:11" x14ac:dyDescent="0.25">
      <c r="A172" s="38">
        <f>Données!A169</f>
        <v>5690</v>
      </c>
      <c r="B172" s="171" t="str">
        <f>Données!B169</f>
        <v>Villars-le-Comte</v>
      </c>
      <c r="C172" s="8">
        <f>Données!Z169</f>
        <v>133</v>
      </c>
      <c r="D172" s="8">
        <f t="shared" ref="D172:D235" si="12">IF($C172&gt;D$5,IF($C172&lt;D$6,$C172-D$5,D$6-D$5),0)</f>
        <v>133</v>
      </c>
      <c r="E172" s="226">
        <f t="shared" si="11"/>
        <v>0</v>
      </c>
      <c r="F172" s="8">
        <f t="shared" si="11"/>
        <v>0</v>
      </c>
      <c r="G172" s="226">
        <f t="shared" si="11"/>
        <v>0</v>
      </c>
      <c r="H172" s="31">
        <f t="shared" si="11"/>
        <v>0</v>
      </c>
      <c r="I172" s="8">
        <f t="shared" si="11"/>
        <v>0</v>
      </c>
      <c r="J172" s="8">
        <f t="shared" si="9"/>
        <v>0</v>
      </c>
      <c r="K172" s="72">
        <f t="shared" si="10"/>
        <v>-17160.211267605631</v>
      </c>
    </row>
    <row r="173" spans="1:11" x14ac:dyDescent="0.25">
      <c r="A173" s="38">
        <f>Données!A170</f>
        <v>5692</v>
      </c>
      <c r="B173" s="171" t="str">
        <f>Données!B170</f>
        <v>Vucherens</v>
      </c>
      <c r="C173" s="8">
        <f>Données!Z170</f>
        <v>623</v>
      </c>
      <c r="D173" s="8">
        <f t="shared" si="12"/>
        <v>623</v>
      </c>
      <c r="E173" s="226">
        <f t="shared" si="11"/>
        <v>0</v>
      </c>
      <c r="F173" s="8">
        <f t="shared" si="11"/>
        <v>0</v>
      </c>
      <c r="G173" s="226">
        <f t="shared" si="11"/>
        <v>0</v>
      </c>
      <c r="H173" s="31">
        <f t="shared" si="11"/>
        <v>0</v>
      </c>
      <c r="I173" s="8">
        <f t="shared" si="11"/>
        <v>0</v>
      </c>
      <c r="J173" s="8">
        <f t="shared" si="9"/>
        <v>0</v>
      </c>
      <c r="K173" s="72">
        <f t="shared" si="10"/>
        <v>-80382.042253521111</v>
      </c>
    </row>
    <row r="174" spans="1:11" x14ac:dyDescent="0.25">
      <c r="A174" s="38">
        <f>Données!A171</f>
        <v>5693</v>
      </c>
      <c r="B174" s="171" t="str">
        <f>Données!B171</f>
        <v>Montanaire</v>
      </c>
      <c r="C174" s="8">
        <f>Données!Z171</f>
        <v>2768</v>
      </c>
      <c r="D174" s="8">
        <f t="shared" si="12"/>
        <v>1000</v>
      </c>
      <c r="E174" s="226">
        <f t="shared" si="11"/>
        <v>1768</v>
      </c>
      <c r="F174" s="8">
        <f t="shared" si="11"/>
        <v>0</v>
      </c>
      <c r="G174" s="226">
        <f t="shared" si="11"/>
        <v>0</v>
      </c>
      <c r="H174" s="31">
        <f t="shared" si="11"/>
        <v>0</v>
      </c>
      <c r="I174" s="8">
        <f t="shared" si="11"/>
        <v>0</v>
      </c>
      <c r="J174" s="8">
        <f t="shared" si="9"/>
        <v>0</v>
      </c>
      <c r="K174" s="72">
        <f t="shared" si="10"/>
        <v>-767745.27162977844</v>
      </c>
    </row>
    <row r="175" spans="1:11" x14ac:dyDescent="0.25">
      <c r="A175" s="38">
        <f>Données!A172</f>
        <v>5701</v>
      </c>
      <c r="B175" s="171" t="str">
        <f>Données!B172</f>
        <v>Arnex-sur-Nyon</v>
      </c>
      <c r="C175" s="8">
        <f>Données!Z172</f>
        <v>226</v>
      </c>
      <c r="D175" s="8">
        <f t="shared" si="12"/>
        <v>226</v>
      </c>
      <c r="E175" s="226">
        <f t="shared" si="11"/>
        <v>0</v>
      </c>
      <c r="F175" s="8">
        <f t="shared" si="11"/>
        <v>0</v>
      </c>
      <c r="G175" s="226">
        <f t="shared" si="11"/>
        <v>0</v>
      </c>
      <c r="H175" s="31">
        <f t="shared" si="11"/>
        <v>0</v>
      </c>
      <c r="I175" s="8">
        <f t="shared" si="11"/>
        <v>0</v>
      </c>
      <c r="J175" s="8">
        <f t="shared" si="9"/>
        <v>0</v>
      </c>
      <c r="K175" s="72">
        <f t="shared" si="10"/>
        <v>-29159.456740442649</v>
      </c>
    </row>
    <row r="176" spans="1:11" x14ac:dyDescent="0.25">
      <c r="A176" s="38">
        <f>Données!A173</f>
        <v>5702</v>
      </c>
      <c r="B176" s="171" t="str">
        <f>Données!B173</f>
        <v>Arzier-Le Muids</v>
      </c>
      <c r="C176" s="8">
        <f>Données!Z173</f>
        <v>2947</v>
      </c>
      <c r="D176" s="8">
        <f t="shared" si="12"/>
        <v>1000</v>
      </c>
      <c r="E176" s="226">
        <f t="shared" si="11"/>
        <v>1947</v>
      </c>
      <c r="F176" s="8">
        <f t="shared" si="11"/>
        <v>0</v>
      </c>
      <c r="G176" s="226">
        <f t="shared" si="11"/>
        <v>0</v>
      </c>
      <c r="H176" s="31">
        <f t="shared" si="11"/>
        <v>0</v>
      </c>
      <c r="I176" s="8">
        <f t="shared" si="11"/>
        <v>0</v>
      </c>
      <c r="J176" s="8">
        <f t="shared" si="9"/>
        <v>0</v>
      </c>
      <c r="K176" s="72">
        <f t="shared" si="10"/>
        <v>-832412.17303822935</v>
      </c>
    </row>
    <row r="177" spans="1:11" x14ac:dyDescent="0.25">
      <c r="A177" s="38">
        <f>Données!A174</f>
        <v>5703</v>
      </c>
      <c r="B177" s="171" t="str">
        <f>Données!B174</f>
        <v>Bassins</v>
      </c>
      <c r="C177" s="8">
        <f>Données!Z174</f>
        <v>1487</v>
      </c>
      <c r="D177" s="8">
        <f t="shared" si="12"/>
        <v>1000</v>
      </c>
      <c r="E177" s="226">
        <f t="shared" si="11"/>
        <v>487</v>
      </c>
      <c r="F177" s="8">
        <f t="shared" si="11"/>
        <v>0</v>
      </c>
      <c r="G177" s="226">
        <f t="shared" si="11"/>
        <v>0</v>
      </c>
      <c r="H177" s="31">
        <f t="shared" si="11"/>
        <v>0</v>
      </c>
      <c r="I177" s="8">
        <f t="shared" si="11"/>
        <v>0</v>
      </c>
      <c r="J177" s="8">
        <f t="shared" si="9"/>
        <v>0</v>
      </c>
      <c r="K177" s="72">
        <f t="shared" si="10"/>
        <v>-304961.4688128772</v>
      </c>
    </row>
    <row r="178" spans="1:11" x14ac:dyDescent="0.25">
      <c r="A178" s="38">
        <f>Données!A175</f>
        <v>5704</v>
      </c>
      <c r="B178" s="171" t="str">
        <f>Données!B175</f>
        <v>Begnins</v>
      </c>
      <c r="C178" s="8">
        <f>Données!Z175</f>
        <v>1941</v>
      </c>
      <c r="D178" s="8">
        <f t="shared" si="12"/>
        <v>1000</v>
      </c>
      <c r="E178" s="226">
        <f t="shared" si="11"/>
        <v>941</v>
      </c>
      <c r="F178" s="8">
        <f t="shared" si="11"/>
        <v>0</v>
      </c>
      <c r="G178" s="226">
        <f t="shared" si="11"/>
        <v>0</v>
      </c>
      <c r="H178" s="31">
        <f t="shared" si="11"/>
        <v>0</v>
      </c>
      <c r="I178" s="8">
        <f t="shared" si="11"/>
        <v>0</v>
      </c>
      <c r="J178" s="8">
        <f t="shared" si="9"/>
        <v>0</v>
      </c>
      <c r="K178" s="72">
        <f t="shared" si="10"/>
        <v>-468976.96177062363</v>
      </c>
    </row>
    <row r="179" spans="1:11" x14ac:dyDescent="0.25">
      <c r="A179" s="38">
        <f>Données!A176</f>
        <v>5705</v>
      </c>
      <c r="B179" s="171" t="str">
        <f>Données!B176</f>
        <v>Bogis-Bossey</v>
      </c>
      <c r="C179" s="8">
        <f>Données!Z176</f>
        <v>888</v>
      </c>
      <c r="D179" s="8">
        <f t="shared" si="12"/>
        <v>888</v>
      </c>
      <c r="E179" s="226">
        <f t="shared" si="11"/>
        <v>0</v>
      </c>
      <c r="F179" s="8">
        <f t="shared" si="11"/>
        <v>0</v>
      </c>
      <c r="G179" s="226">
        <f t="shared" si="11"/>
        <v>0</v>
      </c>
      <c r="H179" s="31">
        <f t="shared" si="11"/>
        <v>0</v>
      </c>
      <c r="I179" s="8">
        <f t="shared" si="11"/>
        <v>0</v>
      </c>
      <c r="J179" s="8">
        <f t="shared" si="9"/>
        <v>0</v>
      </c>
      <c r="K179" s="72">
        <f t="shared" si="10"/>
        <v>-114573.44064386316</v>
      </c>
    </row>
    <row r="180" spans="1:11" x14ac:dyDescent="0.25">
      <c r="A180" s="38">
        <f>Données!A177</f>
        <v>5706</v>
      </c>
      <c r="B180" s="171" t="str">
        <f>Données!B177</f>
        <v>Borex</v>
      </c>
      <c r="C180" s="8">
        <f>Données!Z177</f>
        <v>1165</v>
      </c>
      <c r="D180" s="8">
        <f t="shared" si="12"/>
        <v>1000</v>
      </c>
      <c r="E180" s="226">
        <f t="shared" si="11"/>
        <v>165</v>
      </c>
      <c r="F180" s="8">
        <f t="shared" si="11"/>
        <v>0</v>
      </c>
      <c r="G180" s="226">
        <f t="shared" si="11"/>
        <v>0</v>
      </c>
      <c r="H180" s="31">
        <f t="shared" si="11"/>
        <v>0</v>
      </c>
      <c r="I180" s="8">
        <f t="shared" si="11"/>
        <v>0</v>
      </c>
      <c r="J180" s="8">
        <f t="shared" si="9"/>
        <v>0</v>
      </c>
      <c r="K180" s="72">
        <f t="shared" si="10"/>
        <v>-188633.29979879272</v>
      </c>
    </row>
    <row r="181" spans="1:11" x14ac:dyDescent="0.25">
      <c r="A181" s="38">
        <f>Données!A178</f>
        <v>5707</v>
      </c>
      <c r="B181" s="171" t="str">
        <f>Données!B178</f>
        <v>Chavannes-de-Bogis</v>
      </c>
      <c r="C181" s="8">
        <f>Données!Z178</f>
        <v>1330</v>
      </c>
      <c r="D181" s="8">
        <f t="shared" si="12"/>
        <v>1000</v>
      </c>
      <c r="E181" s="226">
        <f t="shared" si="11"/>
        <v>330</v>
      </c>
      <c r="F181" s="8">
        <f t="shared" si="11"/>
        <v>0</v>
      </c>
      <c r="G181" s="226">
        <f t="shared" si="11"/>
        <v>0</v>
      </c>
      <c r="H181" s="31">
        <f t="shared" si="11"/>
        <v>0</v>
      </c>
      <c r="I181" s="8">
        <f t="shared" si="11"/>
        <v>0</v>
      </c>
      <c r="J181" s="8">
        <f t="shared" si="9"/>
        <v>0</v>
      </c>
      <c r="K181" s="72">
        <f t="shared" si="10"/>
        <v>-248242.45472837018</v>
      </c>
    </row>
    <row r="182" spans="1:11" x14ac:dyDescent="0.25">
      <c r="A182" s="38">
        <f>Données!A179</f>
        <v>5708</v>
      </c>
      <c r="B182" s="171" t="str">
        <f>Données!B179</f>
        <v>Chavannes-des-Bois</v>
      </c>
      <c r="C182" s="8">
        <f>Données!Z179</f>
        <v>1005</v>
      </c>
      <c r="D182" s="8">
        <f t="shared" si="12"/>
        <v>1000</v>
      </c>
      <c r="E182" s="226">
        <f t="shared" si="11"/>
        <v>5</v>
      </c>
      <c r="F182" s="8">
        <f t="shared" si="11"/>
        <v>0</v>
      </c>
      <c r="G182" s="226">
        <f t="shared" si="11"/>
        <v>0</v>
      </c>
      <c r="H182" s="31">
        <f t="shared" si="11"/>
        <v>0</v>
      </c>
      <c r="I182" s="8">
        <f t="shared" si="11"/>
        <v>0</v>
      </c>
      <c r="J182" s="8">
        <f t="shared" si="9"/>
        <v>0</v>
      </c>
      <c r="K182" s="72">
        <f t="shared" si="10"/>
        <v>-130830.48289738428</v>
      </c>
    </row>
    <row r="183" spans="1:11" x14ac:dyDescent="0.25">
      <c r="A183" s="38">
        <f>Données!A180</f>
        <v>5709</v>
      </c>
      <c r="B183" s="171" t="str">
        <f>Données!B180</f>
        <v>Chéserex</v>
      </c>
      <c r="C183" s="8">
        <f>Données!Z180</f>
        <v>1263</v>
      </c>
      <c r="D183" s="8">
        <f t="shared" si="12"/>
        <v>1000</v>
      </c>
      <c r="E183" s="226">
        <f t="shared" si="11"/>
        <v>263</v>
      </c>
      <c r="F183" s="8">
        <f t="shared" si="11"/>
        <v>0</v>
      </c>
      <c r="G183" s="226">
        <f t="shared" si="11"/>
        <v>0</v>
      </c>
      <c r="H183" s="31">
        <f t="shared" si="11"/>
        <v>0</v>
      </c>
      <c r="I183" s="8">
        <f t="shared" si="11"/>
        <v>0</v>
      </c>
      <c r="J183" s="8">
        <f t="shared" si="9"/>
        <v>0</v>
      </c>
      <c r="K183" s="72">
        <f t="shared" si="10"/>
        <v>-224037.52515090539</v>
      </c>
    </row>
    <row r="184" spans="1:11" x14ac:dyDescent="0.25">
      <c r="A184" s="38">
        <f>Données!A181</f>
        <v>5710</v>
      </c>
      <c r="B184" s="171" t="str">
        <f>Données!B181</f>
        <v>Coinsins</v>
      </c>
      <c r="C184" s="8">
        <f>Données!Z181</f>
        <v>508</v>
      </c>
      <c r="D184" s="8">
        <f t="shared" si="12"/>
        <v>508</v>
      </c>
      <c r="E184" s="226">
        <f t="shared" si="11"/>
        <v>0</v>
      </c>
      <c r="F184" s="8">
        <f t="shared" si="11"/>
        <v>0</v>
      </c>
      <c r="G184" s="226">
        <f t="shared" si="11"/>
        <v>0</v>
      </c>
      <c r="H184" s="31">
        <f t="shared" si="11"/>
        <v>0</v>
      </c>
      <c r="I184" s="8">
        <f t="shared" si="11"/>
        <v>0</v>
      </c>
      <c r="J184" s="8">
        <f t="shared" si="9"/>
        <v>0</v>
      </c>
      <c r="K184" s="72">
        <f t="shared" si="10"/>
        <v>-65544.265593561358</v>
      </c>
    </row>
    <row r="185" spans="1:11" x14ac:dyDescent="0.25">
      <c r="A185" s="38">
        <f>Données!A182</f>
        <v>5711</v>
      </c>
      <c r="B185" s="171" t="str">
        <f>Données!B182</f>
        <v>Commugny</v>
      </c>
      <c r="C185" s="8">
        <f>Données!Z182</f>
        <v>3001</v>
      </c>
      <c r="D185" s="8">
        <f t="shared" si="12"/>
        <v>1000</v>
      </c>
      <c r="E185" s="226">
        <f t="shared" si="11"/>
        <v>2000</v>
      </c>
      <c r="F185" s="8">
        <f t="shared" si="11"/>
        <v>1</v>
      </c>
      <c r="G185" s="226">
        <f t="shared" si="11"/>
        <v>0</v>
      </c>
      <c r="H185" s="31">
        <f t="shared" si="11"/>
        <v>0</v>
      </c>
      <c r="I185" s="8">
        <f t="shared" si="11"/>
        <v>0</v>
      </c>
      <c r="J185" s="8">
        <f t="shared" si="9"/>
        <v>0</v>
      </c>
      <c r="K185" s="72">
        <f t="shared" si="10"/>
        <v>-852075.45271629759</v>
      </c>
    </row>
    <row r="186" spans="1:11" x14ac:dyDescent="0.25">
      <c r="A186" s="38">
        <f>Données!A183</f>
        <v>5712</v>
      </c>
      <c r="B186" s="171" t="str">
        <f>Données!B183</f>
        <v>Coppet</v>
      </c>
      <c r="C186" s="8">
        <f>Données!Z183</f>
        <v>3211</v>
      </c>
      <c r="D186" s="8">
        <f t="shared" si="12"/>
        <v>1000</v>
      </c>
      <c r="E186" s="226">
        <f t="shared" si="11"/>
        <v>2000</v>
      </c>
      <c r="F186" s="8">
        <f t="shared" si="11"/>
        <v>211</v>
      </c>
      <c r="G186" s="226">
        <f t="shared" si="11"/>
        <v>0</v>
      </c>
      <c r="H186" s="31">
        <f t="shared" si="11"/>
        <v>0</v>
      </c>
      <c r="I186" s="8">
        <f t="shared" si="11"/>
        <v>0</v>
      </c>
      <c r="J186" s="8">
        <f t="shared" si="9"/>
        <v>0</v>
      </c>
      <c r="K186" s="72">
        <f t="shared" si="10"/>
        <v>-960455.73440643842</v>
      </c>
    </row>
    <row r="187" spans="1:11" x14ac:dyDescent="0.25">
      <c r="A187" s="38">
        <f>Données!A184</f>
        <v>5713</v>
      </c>
      <c r="B187" s="171" t="str">
        <f>Données!B184</f>
        <v>Crans</v>
      </c>
      <c r="C187" s="8">
        <f>Données!Z184</f>
        <v>2373</v>
      </c>
      <c r="D187" s="8">
        <f t="shared" si="12"/>
        <v>1000</v>
      </c>
      <c r="E187" s="226">
        <f t="shared" si="11"/>
        <v>1373</v>
      </c>
      <c r="F187" s="8">
        <f t="shared" si="11"/>
        <v>0</v>
      </c>
      <c r="G187" s="226">
        <f t="shared" si="11"/>
        <v>0</v>
      </c>
      <c r="H187" s="31">
        <f t="shared" si="11"/>
        <v>0</v>
      </c>
      <c r="I187" s="8">
        <f t="shared" si="11"/>
        <v>0</v>
      </c>
      <c r="J187" s="8">
        <f t="shared" si="9"/>
        <v>0</v>
      </c>
      <c r="K187" s="72">
        <f t="shared" si="10"/>
        <v>-625044.5674044264</v>
      </c>
    </row>
    <row r="188" spans="1:11" x14ac:dyDescent="0.25">
      <c r="A188" s="38">
        <f>Données!A185</f>
        <v>5714</v>
      </c>
      <c r="B188" s="171" t="str">
        <f>Données!B185</f>
        <v>Crassier</v>
      </c>
      <c r="C188" s="8">
        <f>Données!Z185</f>
        <v>1228</v>
      </c>
      <c r="D188" s="8">
        <f t="shared" si="12"/>
        <v>1000</v>
      </c>
      <c r="E188" s="226">
        <f t="shared" si="11"/>
        <v>228</v>
      </c>
      <c r="F188" s="8">
        <f t="shared" si="11"/>
        <v>0</v>
      </c>
      <c r="G188" s="226">
        <f t="shared" si="11"/>
        <v>0</v>
      </c>
      <c r="H188" s="31">
        <f t="shared" si="11"/>
        <v>0</v>
      </c>
      <c r="I188" s="8">
        <f t="shared" si="11"/>
        <v>0</v>
      </c>
      <c r="J188" s="8">
        <f t="shared" si="9"/>
        <v>0</v>
      </c>
      <c r="K188" s="72">
        <f t="shared" si="10"/>
        <v>-211393.15895372228</v>
      </c>
    </row>
    <row r="189" spans="1:11" x14ac:dyDescent="0.25">
      <c r="A189" s="38">
        <f>Données!A186</f>
        <v>5715</v>
      </c>
      <c r="B189" s="171" t="str">
        <f>Données!B186</f>
        <v>Duillier</v>
      </c>
      <c r="C189" s="8">
        <f>Données!Z186</f>
        <v>1146</v>
      </c>
      <c r="D189" s="8">
        <f t="shared" si="12"/>
        <v>1000</v>
      </c>
      <c r="E189" s="226">
        <f t="shared" si="11"/>
        <v>146</v>
      </c>
      <c r="F189" s="8">
        <f t="shared" si="11"/>
        <v>0</v>
      </c>
      <c r="G189" s="226">
        <f t="shared" si="11"/>
        <v>0</v>
      </c>
      <c r="H189" s="31">
        <f t="shared" si="11"/>
        <v>0</v>
      </c>
      <c r="I189" s="8">
        <f t="shared" si="11"/>
        <v>0</v>
      </c>
      <c r="J189" s="8">
        <f t="shared" si="9"/>
        <v>0</v>
      </c>
      <c r="K189" s="72">
        <f t="shared" si="10"/>
        <v>-181769.21529175047</v>
      </c>
    </row>
    <row r="190" spans="1:11" x14ac:dyDescent="0.25">
      <c r="A190" s="38">
        <f>Données!A187</f>
        <v>5716</v>
      </c>
      <c r="B190" s="171" t="str">
        <f>Données!B187</f>
        <v>Eysins</v>
      </c>
      <c r="C190" s="8">
        <f>Données!Z187</f>
        <v>1736</v>
      </c>
      <c r="D190" s="8">
        <f t="shared" si="12"/>
        <v>1000</v>
      </c>
      <c r="E190" s="226">
        <f t="shared" si="11"/>
        <v>736</v>
      </c>
      <c r="F190" s="8">
        <f t="shared" si="11"/>
        <v>0</v>
      </c>
      <c r="G190" s="226">
        <f t="shared" si="11"/>
        <v>0</v>
      </c>
      <c r="H190" s="31">
        <f t="shared" si="11"/>
        <v>0</v>
      </c>
      <c r="I190" s="8">
        <f t="shared" si="11"/>
        <v>0</v>
      </c>
      <c r="J190" s="8">
        <f t="shared" si="9"/>
        <v>0</v>
      </c>
      <c r="K190" s="72">
        <f t="shared" si="10"/>
        <v>-394917.10261569411</v>
      </c>
    </row>
    <row r="191" spans="1:11" x14ac:dyDescent="0.25">
      <c r="A191" s="38">
        <f>Données!A188</f>
        <v>5717</v>
      </c>
      <c r="B191" s="171" t="str">
        <f>Données!B188</f>
        <v>Founex</v>
      </c>
      <c r="C191" s="8">
        <f>Données!Z188</f>
        <v>3822</v>
      </c>
      <c r="D191" s="8">
        <f t="shared" si="12"/>
        <v>1000</v>
      </c>
      <c r="E191" s="226">
        <f t="shared" si="11"/>
        <v>2000</v>
      </c>
      <c r="F191" s="8">
        <f t="shared" si="11"/>
        <v>822</v>
      </c>
      <c r="G191" s="226">
        <f t="shared" si="11"/>
        <v>0</v>
      </c>
      <c r="H191" s="31">
        <f t="shared" si="11"/>
        <v>0</v>
      </c>
      <c r="I191" s="8">
        <f t="shared" si="11"/>
        <v>0</v>
      </c>
      <c r="J191" s="8">
        <f t="shared" si="9"/>
        <v>0</v>
      </c>
      <c r="K191" s="72">
        <f t="shared" si="10"/>
        <v>-1275790.7444668005</v>
      </c>
    </row>
    <row r="192" spans="1:11" x14ac:dyDescent="0.25">
      <c r="A192" s="38">
        <f>Données!A189</f>
        <v>5718</v>
      </c>
      <c r="B192" s="171" t="str">
        <f>Données!B189</f>
        <v>Genolier</v>
      </c>
      <c r="C192" s="8">
        <f>Données!Z189</f>
        <v>2022</v>
      </c>
      <c r="D192" s="8">
        <f t="shared" si="12"/>
        <v>1000</v>
      </c>
      <c r="E192" s="226">
        <f t="shared" si="11"/>
        <v>1022</v>
      </c>
      <c r="F192" s="8">
        <f t="shared" si="11"/>
        <v>0</v>
      </c>
      <c r="G192" s="226">
        <f t="shared" si="11"/>
        <v>0</v>
      </c>
      <c r="H192" s="31">
        <f t="shared" si="11"/>
        <v>0</v>
      </c>
      <c r="I192" s="8">
        <f t="shared" si="11"/>
        <v>0</v>
      </c>
      <c r="J192" s="8">
        <f t="shared" si="9"/>
        <v>0</v>
      </c>
      <c r="K192" s="72">
        <f t="shared" si="10"/>
        <v>-498239.6378269617</v>
      </c>
    </row>
    <row r="193" spans="1:11" x14ac:dyDescent="0.25">
      <c r="A193" s="38">
        <f>Données!A190</f>
        <v>5719</v>
      </c>
      <c r="B193" s="171" t="str">
        <f>Données!B190</f>
        <v>Gingins</v>
      </c>
      <c r="C193" s="8">
        <f>Données!Z190</f>
        <v>1265</v>
      </c>
      <c r="D193" s="8">
        <f t="shared" si="12"/>
        <v>1000</v>
      </c>
      <c r="E193" s="226">
        <f t="shared" si="11"/>
        <v>265</v>
      </c>
      <c r="F193" s="8">
        <f t="shared" si="11"/>
        <v>0</v>
      </c>
      <c r="G193" s="226">
        <f t="shared" si="11"/>
        <v>0</v>
      </c>
      <c r="H193" s="31">
        <f t="shared" si="11"/>
        <v>0</v>
      </c>
      <c r="I193" s="8">
        <f t="shared" si="11"/>
        <v>0</v>
      </c>
      <c r="J193" s="8">
        <f t="shared" si="9"/>
        <v>0</v>
      </c>
      <c r="K193" s="72">
        <f t="shared" si="10"/>
        <v>-224760.06036217301</v>
      </c>
    </row>
    <row r="194" spans="1:11" x14ac:dyDescent="0.25">
      <c r="A194" s="38">
        <f>Données!A191</f>
        <v>5720</v>
      </c>
      <c r="B194" s="171" t="str">
        <f>Données!B191</f>
        <v>Givrins</v>
      </c>
      <c r="C194" s="8">
        <f>Données!Z191</f>
        <v>1010</v>
      </c>
      <c r="D194" s="8">
        <f t="shared" si="12"/>
        <v>1000</v>
      </c>
      <c r="E194" s="226">
        <f t="shared" si="11"/>
        <v>10</v>
      </c>
      <c r="F194" s="8">
        <f t="shared" si="11"/>
        <v>0</v>
      </c>
      <c r="G194" s="226">
        <f t="shared" si="11"/>
        <v>0</v>
      </c>
      <c r="H194" s="31">
        <f t="shared" si="11"/>
        <v>0</v>
      </c>
      <c r="I194" s="8">
        <f t="shared" si="11"/>
        <v>0</v>
      </c>
      <c r="J194" s="8">
        <f t="shared" si="9"/>
        <v>0</v>
      </c>
      <c r="K194" s="72">
        <f t="shared" si="10"/>
        <v>-132636.8209255533</v>
      </c>
    </row>
    <row r="195" spans="1:11" x14ac:dyDescent="0.25">
      <c r="A195" s="38">
        <f>Données!A192</f>
        <v>5721</v>
      </c>
      <c r="B195" s="171" t="str">
        <f>Données!B192</f>
        <v>Gland</v>
      </c>
      <c r="C195" s="8">
        <f>Données!Z192</f>
        <v>13306</v>
      </c>
      <c r="D195" s="8">
        <f t="shared" si="12"/>
        <v>1000</v>
      </c>
      <c r="E195" s="226">
        <f t="shared" si="11"/>
        <v>2000</v>
      </c>
      <c r="F195" s="8">
        <f t="shared" si="11"/>
        <v>2000</v>
      </c>
      <c r="G195" s="226">
        <f t="shared" si="11"/>
        <v>4000</v>
      </c>
      <c r="H195" s="31">
        <f t="shared" si="11"/>
        <v>3000</v>
      </c>
      <c r="I195" s="8">
        <f t="shared" si="11"/>
        <v>1306</v>
      </c>
      <c r="J195" s="8">
        <f t="shared" si="9"/>
        <v>0</v>
      </c>
      <c r="K195" s="72">
        <f t="shared" si="10"/>
        <v>-8341152.9175050287</v>
      </c>
    </row>
    <row r="196" spans="1:11" x14ac:dyDescent="0.25">
      <c r="A196" s="38">
        <f>Données!A193</f>
        <v>5722</v>
      </c>
      <c r="B196" s="171" t="str">
        <f>Données!B193</f>
        <v>Grens</v>
      </c>
      <c r="C196" s="8">
        <f>Données!Z193</f>
        <v>401</v>
      </c>
      <c r="D196" s="8">
        <f t="shared" si="12"/>
        <v>401</v>
      </c>
      <c r="E196" s="226">
        <f t="shared" si="11"/>
        <v>0</v>
      </c>
      <c r="F196" s="8">
        <f t="shared" si="11"/>
        <v>0</v>
      </c>
      <c r="G196" s="226">
        <f t="shared" si="11"/>
        <v>0</v>
      </c>
      <c r="H196" s="31">
        <f t="shared" si="11"/>
        <v>0</v>
      </c>
      <c r="I196" s="8">
        <f t="shared" si="11"/>
        <v>0</v>
      </c>
      <c r="J196" s="8">
        <f t="shared" si="9"/>
        <v>0</v>
      </c>
      <c r="K196" s="72">
        <f t="shared" si="10"/>
        <v>-51738.682092555318</v>
      </c>
    </row>
    <row r="197" spans="1:11" x14ac:dyDescent="0.25">
      <c r="A197" s="38">
        <f>Données!A194</f>
        <v>5723</v>
      </c>
      <c r="B197" s="171" t="str">
        <f>Données!B194</f>
        <v>Mies</v>
      </c>
      <c r="C197" s="8">
        <f>Données!Z194</f>
        <v>2195</v>
      </c>
      <c r="D197" s="8">
        <f t="shared" si="12"/>
        <v>1000</v>
      </c>
      <c r="E197" s="226">
        <f t="shared" si="11"/>
        <v>1195</v>
      </c>
      <c r="F197" s="8">
        <f t="shared" si="11"/>
        <v>0</v>
      </c>
      <c r="G197" s="226">
        <f t="shared" si="11"/>
        <v>0</v>
      </c>
      <c r="H197" s="31">
        <f t="shared" si="11"/>
        <v>0</v>
      </c>
      <c r="I197" s="8">
        <f t="shared" si="11"/>
        <v>0</v>
      </c>
      <c r="J197" s="8">
        <f t="shared" si="9"/>
        <v>0</v>
      </c>
      <c r="K197" s="72">
        <f t="shared" si="10"/>
        <v>-560738.93360160955</v>
      </c>
    </row>
    <row r="198" spans="1:11" x14ac:dyDescent="0.25">
      <c r="A198" s="38">
        <f>Données!A195</f>
        <v>5724</v>
      </c>
      <c r="B198" s="171" t="str">
        <f>Données!B195</f>
        <v>Nyon</v>
      </c>
      <c r="C198" s="8">
        <f>Données!Z195</f>
        <v>22124</v>
      </c>
      <c r="D198" s="8">
        <f t="shared" si="12"/>
        <v>1000</v>
      </c>
      <c r="E198" s="226">
        <f t="shared" si="11"/>
        <v>2000</v>
      </c>
      <c r="F198" s="8">
        <f t="shared" si="11"/>
        <v>2000</v>
      </c>
      <c r="G198" s="226">
        <f t="shared" si="11"/>
        <v>4000</v>
      </c>
      <c r="H198" s="31">
        <f t="shared" si="11"/>
        <v>3000</v>
      </c>
      <c r="I198" s="8">
        <f t="shared" si="11"/>
        <v>3000</v>
      </c>
      <c r="J198" s="8">
        <f t="shared" si="9"/>
        <v>7124</v>
      </c>
      <c r="K198" s="72">
        <f t="shared" si="10"/>
        <v>-17810699.396378264</v>
      </c>
    </row>
    <row r="199" spans="1:11" x14ac:dyDescent="0.25">
      <c r="A199" s="38">
        <f>Données!A196</f>
        <v>5725</v>
      </c>
      <c r="B199" s="171" t="str">
        <f>Données!B196</f>
        <v>Prangins</v>
      </c>
      <c r="C199" s="8">
        <f>Données!Z196</f>
        <v>4060</v>
      </c>
      <c r="D199" s="8">
        <f t="shared" si="12"/>
        <v>1000</v>
      </c>
      <c r="E199" s="226">
        <f t="shared" si="11"/>
        <v>2000</v>
      </c>
      <c r="F199" s="8">
        <f t="shared" si="11"/>
        <v>1060</v>
      </c>
      <c r="G199" s="226">
        <f t="shared" si="11"/>
        <v>0</v>
      </c>
      <c r="H199" s="31">
        <f t="shared" si="11"/>
        <v>0</v>
      </c>
      <c r="I199" s="8">
        <f t="shared" si="11"/>
        <v>0</v>
      </c>
      <c r="J199" s="8">
        <f t="shared" si="9"/>
        <v>0</v>
      </c>
      <c r="K199" s="72">
        <f t="shared" si="10"/>
        <v>-1398621.7303822935</v>
      </c>
    </row>
    <row r="200" spans="1:11" x14ac:dyDescent="0.25">
      <c r="A200" s="38">
        <f>Données!A197</f>
        <v>5726</v>
      </c>
      <c r="B200" s="171" t="str">
        <f>Données!B197</f>
        <v>La Rippe</v>
      </c>
      <c r="C200" s="8">
        <f>Données!Z197</f>
        <v>1165</v>
      </c>
      <c r="D200" s="8">
        <f t="shared" si="12"/>
        <v>1000</v>
      </c>
      <c r="E200" s="226">
        <f t="shared" si="11"/>
        <v>165</v>
      </c>
      <c r="F200" s="8">
        <f t="shared" si="11"/>
        <v>0</v>
      </c>
      <c r="G200" s="226">
        <f t="shared" si="11"/>
        <v>0</v>
      </c>
      <c r="H200" s="31">
        <f t="shared" si="11"/>
        <v>0</v>
      </c>
      <c r="I200" s="8">
        <f t="shared" si="11"/>
        <v>0</v>
      </c>
      <c r="J200" s="8">
        <f t="shared" si="9"/>
        <v>0</v>
      </c>
      <c r="K200" s="72">
        <f t="shared" si="10"/>
        <v>-188633.29979879272</v>
      </c>
    </row>
    <row r="201" spans="1:11" x14ac:dyDescent="0.25">
      <c r="A201" s="38">
        <f>Données!A198</f>
        <v>5727</v>
      </c>
      <c r="B201" s="171" t="str">
        <f>Données!B198</f>
        <v>Saint-Cergue</v>
      </c>
      <c r="C201" s="8">
        <f>Données!Z198</f>
        <v>2755</v>
      </c>
      <c r="D201" s="8">
        <f t="shared" si="12"/>
        <v>1000</v>
      </c>
      <c r="E201" s="226">
        <f t="shared" si="11"/>
        <v>1755</v>
      </c>
      <c r="F201" s="8">
        <f t="shared" si="11"/>
        <v>0</v>
      </c>
      <c r="G201" s="226">
        <f t="shared" si="11"/>
        <v>0</v>
      </c>
      <c r="H201" s="31">
        <f t="shared" si="11"/>
        <v>0</v>
      </c>
      <c r="I201" s="8">
        <f t="shared" si="11"/>
        <v>0</v>
      </c>
      <c r="J201" s="8">
        <f t="shared" si="9"/>
        <v>0</v>
      </c>
      <c r="K201" s="72">
        <f t="shared" si="10"/>
        <v>-763048.79275653907</v>
      </c>
    </row>
    <row r="202" spans="1:11" x14ac:dyDescent="0.25">
      <c r="A202" s="38">
        <f>Données!A199</f>
        <v>5728</v>
      </c>
      <c r="B202" s="171" t="str">
        <f>Données!B199</f>
        <v>Signy-Avenex</v>
      </c>
      <c r="C202" s="8">
        <f>Données!Z199</f>
        <v>584</v>
      </c>
      <c r="D202" s="8">
        <f t="shared" si="12"/>
        <v>584</v>
      </c>
      <c r="E202" s="226">
        <f t="shared" si="11"/>
        <v>0</v>
      </c>
      <c r="F202" s="8">
        <f t="shared" si="11"/>
        <v>0</v>
      </c>
      <c r="G202" s="226">
        <f t="shared" si="11"/>
        <v>0</v>
      </c>
      <c r="H202" s="31">
        <f t="shared" si="11"/>
        <v>0</v>
      </c>
      <c r="I202" s="8">
        <f t="shared" si="11"/>
        <v>0</v>
      </c>
      <c r="J202" s="8">
        <f t="shared" ref="J202:J265" si="13">IF(C202&gt;$J$5,C202-$J$5,0)</f>
        <v>0</v>
      </c>
      <c r="K202" s="72">
        <f t="shared" ref="K202:K265" si="14">-((D202*D$8)+(E202*E$8)+(F202*F$8)+(G202*G$8)+(H202*H$8)+(I202*I$8)+(J202*J$8))</f>
        <v>-75350.100603621715</v>
      </c>
    </row>
    <row r="203" spans="1:11" x14ac:dyDescent="0.25">
      <c r="A203" s="38">
        <f>Données!A200</f>
        <v>5729</v>
      </c>
      <c r="B203" s="171" t="str">
        <f>Données!B200</f>
        <v>Tannay</v>
      </c>
      <c r="C203" s="8">
        <f>Données!Z200</f>
        <v>1644</v>
      </c>
      <c r="D203" s="8">
        <f t="shared" si="12"/>
        <v>1000</v>
      </c>
      <c r="E203" s="226">
        <f t="shared" si="11"/>
        <v>644</v>
      </c>
      <c r="F203" s="8">
        <f t="shared" si="11"/>
        <v>0</v>
      </c>
      <c r="G203" s="226">
        <f t="shared" si="11"/>
        <v>0</v>
      </c>
      <c r="H203" s="31">
        <f t="shared" si="11"/>
        <v>0</v>
      </c>
      <c r="I203" s="8">
        <f t="shared" si="11"/>
        <v>0</v>
      </c>
      <c r="J203" s="8">
        <f t="shared" si="13"/>
        <v>0</v>
      </c>
      <c r="K203" s="72">
        <f t="shared" si="14"/>
        <v>-361680.48289738421</v>
      </c>
    </row>
    <row r="204" spans="1:11" x14ac:dyDescent="0.25">
      <c r="A204" s="38">
        <f>Données!A201</f>
        <v>5730</v>
      </c>
      <c r="B204" s="171" t="str">
        <f>Données!B201</f>
        <v>Trélex</v>
      </c>
      <c r="C204" s="8">
        <f>Données!Z201</f>
        <v>1439</v>
      </c>
      <c r="D204" s="8">
        <f t="shared" si="12"/>
        <v>1000</v>
      </c>
      <c r="E204" s="226">
        <f t="shared" si="11"/>
        <v>439</v>
      </c>
      <c r="F204" s="8">
        <f t="shared" si="11"/>
        <v>0</v>
      </c>
      <c r="G204" s="226">
        <f t="shared" si="11"/>
        <v>0</v>
      </c>
      <c r="H204" s="31">
        <f t="shared" si="11"/>
        <v>0</v>
      </c>
      <c r="I204" s="8">
        <f t="shared" si="11"/>
        <v>0</v>
      </c>
      <c r="J204" s="8">
        <f t="shared" si="13"/>
        <v>0</v>
      </c>
      <c r="K204" s="72">
        <f t="shared" si="14"/>
        <v>-287620.62374245469</v>
      </c>
    </row>
    <row r="205" spans="1:11" x14ac:dyDescent="0.25">
      <c r="A205" s="38">
        <f>Données!A202</f>
        <v>5731</v>
      </c>
      <c r="B205" s="171" t="str">
        <f>Données!B202</f>
        <v>Le Vaud</v>
      </c>
      <c r="C205" s="8">
        <f>Données!Z202</f>
        <v>1387</v>
      </c>
      <c r="D205" s="8">
        <f t="shared" si="12"/>
        <v>1000</v>
      </c>
      <c r="E205" s="226">
        <f t="shared" si="11"/>
        <v>387</v>
      </c>
      <c r="F205" s="8">
        <f t="shared" si="11"/>
        <v>0</v>
      </c>
      <c r="G205" s="226">
        <f t="shared" si="11"/>
        <v>0</v>
      </c>
      <c r="H205" s="31">
        <f t="shared" si="11"/>
        <v>0</v>
      </c>
      <c r="I205" s="8">
        <f t="shared" si="11"/>
        <v>0</v>
      </c>
      <c r="J205" s="8">
        <f t="shared" si="13"/>
        <v>0</v>
      </c>
      <c r="K205" s="72">
        <f t="shared" si="14"/>
        <v>-268834.70824949694</v>
      </c>
    </row>
    <row r="206" spans="1:11" x14ac:dyDescent="0.25">
      <c r="A206" s="38">
        <f>Données!A203</f>
        <v>5732</v>
      </c>
      <c r="B206" s="171" t="str">
        <f>Données!B203</f>
        <v>Vich</v>
      </c>
      <c r="C206" s="8">
        <f>Données!Z203</f>
        <v>1157</v>
      </c>
      <c r="D206" s="8">
        <f t="shared" si="12"/>
        <v>1000</v>
      </c>
      <c r="E206" s="226">
        <f t="shared" si="11"/>
        <v>157</v>
      </c>
      <c r="F206" s="8">
        <f t="shared" si="11"/>
        <v>0</v>
      </c>
      <c r="G206" s="226">
        <f t="shared" si="11"/>
        <v>0</v>
      </c>
      <c r="H206" s="31">
        <f t="shared" si="11"/>
        <v>0</v>
      </c>
      <c r="I206" s="8">
        <f t="shared" si="11"/>
        <v>0</v>
      </c>
      <c r="J206" s="8">
        <f t="shared" si="13"/>
        <v>0</v>
      </c>
      <c r="K206" s="72">
        <f t="shared" si="14"/>
        <v>-185743.1589537223</v>
      </c>
    </row>
    <row r="207" spans="1:11" x14ac:dyDescent="0.25">
      <c r="A207" s="38">
        <f>Données!A204</f>
        <v>5741</v>
      </c>
      <c r="B207" s="171" t="str">
        <f>Données!B204</f>
        <v>L'Abergement</v>
      </c>
      <c r="C207" s="8">
        <f>Données!Z204</f>
        <v>254</v>
      </c>
      <c r="D207" s="8">
        <f t="shared" si="12"/>
        <v>254</v>
      </c>
      <c r="E207" s="226">
        <f t="shared" si="11"/>
        <v>0</v>
      </c>
      <c r="F207" s="8">
        <f t="shared" si="11"/>
        <v>0</v>
      </c>
      <c r="G207" s="226">
        <f t="shared" si="11"/>
        <v>0</v>
      </c>
      <c r="H207" s="31">
        <f t="shared" si="11"/>
        <v>0</v>
      </c>
      <c r="I207" s="8">
        <f t="shared" si="11"/>
        <v>0</v>
      </c>
      <c r="J207" s="8">
        <f t="shared" si="13"/>
        <v>0</v>
      </c>
      <c r="K207" s="72">
        <f t="shared" si="14"/>
        <v>-32772.132796780679</v>
      </c>
    </row>
    <row r="208" spans="1:11" x14ac:dyDescent="0.25">
      <c r="A208" s="38">
        <f>Données!A205</f>
        <v>5742</v>
      </c>
      <c r="B208" s="171" t="str">
        <f>Données!B205</f>
        <v>Agiez</v>
      </c>
      <c r="C208" s="8">
        <f>Données!Z205</f>
        <v>375</v>
      </c>
      <c r="D208" s="8">
        <f t="shared" si="12"/>
        <v>375</v>
      </c>
      <c r="E208" s="226">
        <f t="shared" si="11"/>
        <v>0</v>
      </c>
      <c r="F208" s="8">
        <f t="shared" si="11"/>
        <v>0</v>
      </c>
      <c r="G208" s="226">
        <f t="shared" si="11"/>
        <v>0</v>
      </c>
      <c r="H208" s="31">
        <f t="shared" si="11"/>
        <v>0</v>
      </c>
      <c r="I208" s="8">
        <f t="shared" si="11"/>
        <v>0</v>
      </c>
      <c r="J208" s="8">
        <f t="shared" si="13"/>
        <v>0</v>
      </c>
      <c r="K208" s="72">
        <f t="shared" si="14"/>
        <v>-48384.054325955723</v>
      </c>
    </row>
    <row r="209" spans="1:11" x14ac:dyDescent="0.25">
      <c r="A209" s="38">
        <f>Données!A206</f>
        <v>5743</v>
      </c>
      <c r="B209" s="171" t="str">
        <f>Données!B206</f>
        <v>Arnex-sur-Orbe</v>
      </c>
      <c r="C209" s="8">
        <f>Données!Z206</f>
        <v>665</v>
      </c>
      <c r="D209" s="8">
        <f t="shared" si="12"/>
        <v>665</v>
      </c>
      <c r="E209" s="226">
        <f t="shared" si="11"/>
        <v>0</v>
      </c>
      <c r="F209" s="8">
        <f t="shared" si="11"/>
        <v>0</v>
      </c>
      <c r="G209" s="226">
        <f t="shared" ref="E209:I260" si="15">IF($C209&gt;G$5,IF($C209&lt;G$6,$C209-G$5,G$6-G$5),0)</f>
        <v>0</v>
      </c>
      <c r="H209" s="31">
        <f t="shared" si="15"/>
        <v>0</v>
      </c>
      <c r="I209" s="8">
        <f t="shared" si="15"/>
        <v>0</v>
      </c>
      <c r="J209" s="8">
        <f t="shared" si="13"/>
        <v>0</v>
      </c>
      <c r="K209" s="72">
        <f t="shared" si="14"/>
        <v>-85801.056338028153</v>
      </c>
    </row>
    <row r="210" spans="1:11" x14ac:dyDescent="0.25">
      <c r="A210" s="38">
        <f>Données!A207</f>
        <v>5744</v>
      </c>
      <c r="B210" s="171" t="str">
        <f>Données!B207</f>
        <v>Ballaigues</v>
      </c>
      <c r="C210" s="8">
        <f>Données!Z207</f>
        <v>1173</v>
      </c>
      <c r="D210" s="8">
        <f t="shared" si="12"/>
        <v>1000</v>
      </c>
      <c r="E210" s="226">
        <f t="shared" si="15"/>
        <v>173</v>
      </c>
      <c r="F210" s="8">
        <f t="shared" si="15"/>
        <v>0</v>
      </c>
      <c r="G210" s="226">
        <f t="shared" si="15"/>
        <v>0</v>
      </c>
      <c r="H210" s="31">
        <f t="shared" si="15"/>
        <v>0</v>
      </c>
      <c r="I210" s="8">
        <f t="shared" si="15"/>
        <v>0</v>
      </c>
      <c r="J210" s="8">
        <f t="shared" si="13"/>
        <v>0</v>
      </c>
      <c r="K210" s="72">
        <f t="shared" si="14"/>
        <v>-191523.44064386314</v>
      </c>
    </row>
    <row r="211" spans="1:11" x14ac:dyDescent="0.25">
      <c r="A211" s="38">
        <f>Données!A208</f>
        <v>5745</v>
      </c>
      <c r="B211" s="171" t="str">
        <f>Données!B208</f>
        <v>Baulmes</v>
      </c>
      <c r="C211" s="8">
        <f>Données!Z208</f>
        <v>1126</v>
      </c>
      <c r="D211" s="8">
        <f t="shared" si="12"/>
        <v>1000</v>
      </c>
      <c r="E211" s="226">
        <f t="shared" si="15"/>
        <v>126</v>
      </c>
      <c r="F211" s="8">
        <f t="shared" si="15"/>
        <v>0</v>
      </c>
      <c r="G211" s="226">
        <f t="shared" si="15"/>
        <v>0</v>
      </c>
      <c r="H211" s="31">
        <f t="shared" si="15"/>
        <v>0</v>
      </c>
      <c r="I211" s="8">
        <f t="shared" si="15"/>
        <v>0</v>
      </c>
      <c r="J211" s="8">
        <f t="shared" si="13"/>
        <v>0</v>
      </c>
      <c r="K211" s="72">
        <f t="shared" si="14"/>
        <v>-174543.86317907443</v>
      </c>
    </row>
    <row r="212" spans="1:11" x14ac:dyDescent="0.25">
      <c r="A212" s="38">
        <f>Données!A209</f>
        <v>5746</v>
      </c>
      <c r="B212" s="171" t="str">
        <f>Données!B209</f>
        <v>Bavois</v>
      </c>
      <c r="C212" s="8">
        <f>Données!Z209</f>
        <v>978</v>
      </c>
      <c r="D212" s="8">
        <f t="shared" si="12"/>
        <v>978</v>
      </c>
      <c r="E212" s="226">
        <f t="shared" si="15"/>
        <v>0</v>
      </c>
      <c r="F212" s="8">
        <f t="shared" si="15"/>
        <v>0</v>
      </c>
      <c r="G212" s="226">
        <f t="shared" si="15"/>
        <v>0</v>
      </c>
      <c r="H212" s="31">
        <f t="shared" si="15"/>
        <v>0</v>
      </c>
      <c r="I212" s="8">
        <f t="shared" si="15"/>
        <v>0</v>
      </c>
      <c r="J212" s="8">
        <f t="shared" si="13"/>
        <v>0</v>
      </c>
      <c r="K212" s="72">
        <f t="shared" si="14"/>
        <v>-126185.61368209253</v>
      </c>
    </row>
    <row r="213" spans="1:11" x14ac:dyDescent="0.25">
      <c r="A213" s="38">
        <f>Données!A210</f>
        <v>5747</v>
      </c>
      <c r="B213" s="171" t="str">
        <f>Données!B210</f>
        <v>Bofflens</v>
      </c>
      <c r="C213" s="8">
        <f>Données!Z210</f>
        <v>206</v>
      </c>
      <c r="D213" s="8">
        <f t="shared" si="12"/>
        <v>206</v>
      </c>
      <c r="E213" s="226">
        <f t="shared" si="15"/>
        <v>0</v>
      </c>
      <c r="F213" s="8">
        <f t="shared" si="15"/>
        <v>0</v>
      </c>
      <c r="G213" s="226">
        <f t="shared" si="15"/>
        <v>0</v>
      </c>
      <c r="H213" s="31">
        <f t="shared" si="15"/>
        <v>0</v>
      </c>
      <c r="I213" s="8">
        <f t="shared" si="15"/>
        <v>0</v>
      </c>
      <c r="J213" s="8">
        <f t="shared" si="13"/>
        <v>0</v>
      </c>
      <c r="K213" s="72">
        <f t="shared" si="14"/>
        <v>-26578.973843058346</v>
      </c>
    </row>
    <row r="214" spans="1:11" x14ac:dyDescent="0.25">
      <c r="A214" s="38">
        <f>Données!A211</f>
        <v>5748</v>
      </c>
      <c r="B214" s="171" t="str">
        <f>Données!B211</f>
        <v>Bretonnières</v>
      </c>
      <c r="C214" s="8">
        <f>Données!Z211</f>
        <v>266</v>
      </c>
      <c r="D214" s="8">
        <f t="shared" si="12"/>
        <v>266</v>
      </c>
      <c r="E214" s="226">
        <f t="shared" si="15"/>
        <v>0</v>
      </c>
      <c r="F214" s="8">
        <f t="shared" si="15"/>
        <v>0</v>
      </c>
      <c r="G214" s="226">
        <f t="shared" si="15"/>
        <v>0</v>
      </c>
      <c r="H214" s="31">
        <f t="shared" si="15"/>
        <v>0</v>
      </c>
      <c r="I214" s="8">
        <f t="shared" si="15"/>
        <v>0</v>
      </c>
      <c r="J214" s="8">
        <f t="shared" si="13"/>
        <v>0</v>
      </c>
      <c r="K214" s="72">
        <f t="shared" si="14"/>
        <v>-34320.422535211263</v>
      </c>
    </row>
    <row r="215" spans="1:11" x14ac:dyDescent="0.25">
      <c r="A215" s="38">
        <f>Données!A212</f>
        <v>5749</v>
      </c>
      <c r="B215" s="171" t="str">
        <f>Données!B212</f>
        <v>Chavornay</v>
      </c>
      <c r="C215" s="8">
        <f>Données!Z212</f>
        <v>5366</v>
      </c>
      <c r="D215" s="8">
        <f t="shared" si="12"/>
        <v>1000</v>
      </c>
      <c r="E215" s="226">
        <f t="shared" si="15"/>
        <v>2000</v>
      </c>
      <c r="F215" s="8">
        <f t="shared" si="15"/>
        <v>2000</v>
      </c>
      <c r="G215" s="226">
        <f t="shared" si="15"/>
        <v>366</v>
      </c>
      <c r="H215" s="31">
        <f t="shared" si="15"/>
        <v>0</v>
      </c>
      <c r="I215" s="8">
        <f t="shared" si="15"/>
        <v>0</v>
      </c>
      <c r="J215" s="8">
        <f t="shared" si="13"/>
        <v>0</v>
      </c>
      <c r="K215" s="72">
        <f t="shared" si="14"/>
        <v>-2110422.1327967802</v>
      </c>
    </row>
    <row r="216" spans="1:11" x14ac:dyDescent="0.25">
      <c r="A216" s="38">
        <f>Données!A213</f>
        <v>5750</v>
      </c>
      <c r="B216" s="171" t="str">
        <f>Données!B213</f>
        <v>Les Clées</v>
      </c>
      <c r="C216" s="8">
        <f>Données!Z213</f>
        <v>182</v>
      </c>
      <c r="D216" s="8">
        <f t="shared" si="12"/>
        <v>182</v>
      </c>
      <c r="E216" s="226">
        <f t="shared" si="15"/>
        <v>0</v>
      </c>
      <c r="F216" s="8">
        <f t="shared" si="15"/>
        <v>0</v>
      </c>
      <c r="G216" s="226">
        <f t="shared" si="15"/>
        <v>0</v>
      </c>
      <c r="H216" s="31">
        <f t="shared" si="15"/>
        <v>0</v>
      </c>
      <c r="I216" s="8">
        <f t="shared" si="15"/>
        <v>0</v>
      </c>
      <c r="J216" s="8">
        <f t="shared" si="13"/>
        <v>0</v>
      </c>
      <c r="K216" s="72">
        <f t="shared" si="14"/>
        <v>-23482.394366197179</v>
      </c>
    </row>
    <row r="217" spans="1:11" x14ac:dyDescent="0.25">
      <c r="A217" s="38">
        <f>Données!A214</f>
        <v>5752</v>
      </c>
      <c r="B217" s="171" t="str">
        <f>Données!B214</f>
        <v>Croy</v>
      </c>
      <c r="C217" s="8">
        <f>Données!Z214</f>
        <v>390</v>
      </c>
      <c r="D217" s="8">
        <f t="shared" si="12"/>
        <v>390</v>
      </c>
      <c r="E217" s="226">
        <f t="shared" si="15"/>
        <v>0</v>
      </c>
      <c r="F217" s="8">
        <f t="shared" si="15"/>
        <v>0</v>
      </c>
      <c r="G217" s="226">
        <f t="shared" si="15"/>
        <v>0</v>
      </c>
      <c r="H217" s="31">
        <f t="shared" si="15"/>
        <v>0</v>
      </c>
      <c r="I217" s="8">
        <f t="shared" si="15"/>
        <v>0</v>
      </c>
      <c r="J217" s="8">
        <f t="shared" si="13"/>
        <v>0</v>
      </c>
      <c r="K217" s="72">
        <f t="shared" si="14"/>
        <v>-50319.416498993953</v>
      </c>
    </row>
    <row r="218" spans="1:11" x14ac:dyDescent="0.25">
      <c r="A218" s="38">
        <f>Données!A215</f>
        <v>5754</v>
      </c>
      <c r="B218" s="171" t="str">
        <f>Données!B215</f>
        <v>Juriens</v>
      </c>
      <c r="C218" s="8">
        <f>Données!Z215</f>
        <v>348</v>
      </c>
      <c r="D218" s="8">
        <f t="shared" si="12"/>
        <v>348</v>
      </c>
      <c r="E218" s="226">
        <f t="shared" si="15"/>
        <v>0</v>
      </c>
      <c r="F218" s="8">
        <f t="shared" si="15"/>
        <v>0</v>
      </c>
      <c r="G218" s="226">
        <f t="shared" si="15"/>
        <v>0</v>
      </c>
      <c r="H218" s="31">
        <f t="shared" si="15"/>
        <v>0</v>
      </c>
      <c r="I218" s="8">
        <f t="shared" si="15"/>
        <v>0</v>
      </c>
      <c r="J218" s="8">
        <f t="shared" si="13"/>
        <v>0</v>
      </c>
      <c r="K218" s="72">
        <f t="shared" si="14"/>
        <v>-44900.402414486911</v>
      </c>
    </row>
    <row r="219" spans="1:11" x14ac:dyDescent="0.25">
      <c r="A219" s="38">
        <f>Données!A216</f>
        <v>5755</v>
      </c>
      <c r="B219" s="171" t="str">
        <f>Données!B216</f>
        <v>Lignerolle</v>
      </c>
      <c r="C219" s="8">
        <f>Données!Z216</f>
        <v>409</v>
      </c>
      <c r="D219" s="8">
        <f t="shared" si="12"/>
        <v>409</v>
      </c>
      <c r="E219" s="226">
        <f t="shared" si="15"/>
        <v>0</v>
      </c>
      <c r="F219" s="8">
        <f t="shared" si="15"/>
        <v>0</v>
      </c>
      <c r="G219" s="226">
        <f t="shared" si="15"/>
        <v>0</v>
      </c>
      <c r="H219" s="31">
        <f t="shared" si="15"/>
        <v>0</v>
      </c>
      <c r="I219" s="8">
        <f t="shared" si="15"/>
        <v>0</v>
      </c>
      <c r="J219" s="8">
        <f t="shared" si="13"/>
        <v>0</v>
      </c>
      <c r="K219" s="72">
        <f t="shared" si="14"/>
        <v>-52770.875251509045</v>
      </c>
    </row>
    <row r="220" spans="1:11" x14ac:dyDescent="0.25">
      <c r="A220" s="38">
        <f>Données!A217</f>
        <v>5756</v>
      </c>
      <c r="B220" s="171" t="str">
        <f>Données!B217</f>
        <v>Montcherand</v>
      </c>
      <c r="C220" s="8">
        <f>Données!Z217</f>
        <v>502</v>
      </c>
      <c r="D220" s="8">
        <f t="shared" si="12"/>
        <v>502</v>
      </c>
      <c r="E220" s="226">
        <f t="shared" si="15"/>
        <v>0</v>
      </c>
      <c r="F220" s="8">
        <f t="shared" si="15"/>
        <v>0</v>
      </c>
      <c r="G220" s="226">
        <f t="shared" si="15"/>
        <v>0</v>
      </c>
      <c r="H220" s="31">
        <f t="shared" si="15"/>
        <v>0</v>
      </c>
      <c r="I220" s="8">
        <f t="shared" si="15"/>
        <v>0</v>
      </c>
      <c r="J220" s="8">
        <f t="shared" si="13"/>
        <v>0</v>
      </c>
      <c r="K220" s="72">
        <f t="shared" si="14"/>
        <v>-64770.120724346059</v>
      </c>
    </row>
    <row r="221" spans="1:11" x14ac:dyDescent="0.25">
      <c r="A221" s="38">
        <f>Données!A218</f>
        <v>5757</v>
      </c>
      <c r="B221" s="171" t="str">
        <f>Données!B218</f>
        <v>Orbe</v>
      </c>
      <c r="C221" s="8">
        <f>Données!Z218</f>
        <v>7570</v>
      </c>
      <c r="D221" s="8">
        <f t="shared" si="12"/>
        <v>1000</v>
      </c>
      <c r="E221" s="226">
        <f t="shared" si="15"/>
        <v>2000</v>
      </c>
      <c r="F221" s="8">
        <f t="shared" si="15"/>
        <v>2000</v>
      </c>
      <c r="G221" s="226">
        <f t="shared" si="15"/>
        <v>2570</v>
      </c>
      <c r="H221" s="31">
        <f t="shared" si="15"/>
        <v>0</v>
      </c>
      <c r="I221" s="8">
        <f t="shared" si="15"/>
        <v>0</v>
      </c>
      <c r="J221" s="8">
        <f t="shared" si="13"/>
        <v>0</v>
      </c>
      <c r="K221" s="72">
        <f t="shared" si="14"/>
        <v>-3475394.3661971823</v>
      </c>
    </row>
    <row r="222" spans="1:11" x14ac:dyDescent="0.25">
      <c r="A222" s="38">
        <f>Données!A219</f>
        <v>5758</v>
      </c>
      <c r="B222" s="171" t="str">
        <f>Données!B219</f>
        <v>La Praz</v>
      </c>
      <c r="C222" s="8">
        <f>Données!Z219</f>
        <v>182</v>
      </c>
      <c r="D222" s="8">
        <f t="shared" si="12"/>
        <v>182</v>
      </c>
      <c r="E222" s="226">
        <f t="shared" si="15"/>
        <v>0</v>
      </c>
      <c r="F222" s="8">
        <f t="shared" si="15"/>
        <v>0</v>
      </c>
      <c r="G222" s="226">
        <f t="shared" si="15"/>
        <v>0</v>
      </c>
      <c r="H222" s="31">
        <f t="shared" si="15"/>
        <v>0</v>
      </c>
      <c r="I222" s="8">
        <f t="shared" si="15"/>
        <v>0</v>
      </c>
      <c r="J222" s="8">
        <f t="shared" si="13"/>
        <v>0</v>
      </c>
      <c r="K222" s="72">
        <f t="shared" si="14"/>
        <v>-23482.394366197179</v>
      </c>
    </row>
    <row r="223" spans="1:11" x14ac:dyDescent="0.25">
      <c r="A223" s="38">
        <f>Données!A220</f>
        <v>5759</v>
      </c>
      <c r="B223" s="171" t="str">
        <f>Données!B220</f>
        <v>Premier</v>
      </c>
      <c r="C223" s="8">
        <f>Données!Z220</f>
        <v>232</v>
      </c>
      <c r="D223" s="8">
        <f t="shared" si="12"/>
        <v>232</v>
      </c>
      <c r="E223" s="226">
        <f t="shared" si="15"/>
        <v>0</v>
      </c>
      <c r="F223" s="8">
        <f t="shared" si="15"/>
        <v>0</v>
      </c>
      <c r="G223" s="226">
        <f t="shared" si="15"/>
        <v>0</v>
      </c>
      <c r="H223" s="31">
        <f t="shared" si="15"/>
        <v>0</v>
      </c>
      <c r="I223" s="8">
        <f t="shared" si="15"/>
        <v>0</v>
      </c>
      <c r="J223" s="8">
        <f t="shared" si="13"/>
        <v>0</v>
      </c>
      <c r="K223" s="72">
        <f t="shared" si="14"/>
        <v>-29933.601609657941</v>
      </c>
    </row>
    <row r="224" spans="1:11" x14ac:dyDescent="0.25">
      <c r="A224" s="38">
        <f>Données!A221</f>
        <v>5760</v>
      </c>
      <c r="B224" s="171" t="str">
        <f>Données!B221</f>
        <v>Rances</v>
      </c>
      <c r="C224" s="8">
        <f>Données!Z221</f>
        <v>512</v>
      </c>
      <c r="D224" s="8">
        <f t="shared" si="12"/>
        <v>512</v>
      </c>
      <c r="E224" s="226">
        <f t="shared" si="15"/>
        <v>0</v>
      </c>
      <c r="F224" s="8">
        <f t="shared" si="15"/>
        <v>0</v>
      </c>
      <c r="G224" s="226">
        <f t="shared" si="15"/>
        <v>0</v>
      </c>
      <c r="H224" s="31">
        <f t="shared" si="15"/>
        <v>0</v>
      </c>
      <c r="I224" s="8">
        <f t="shared" si="15"/>
        <v>0</v>
      </c>
      <c r="J224" s="8">
        <f t="shared" si="13"/>
        <v>0</v>
      </c>
      <c r="K224" s="72">
        <f t="shared" si="14"/>
        <v>-66060.362173038215</v>
      </c>
    </row>
    <row r="225" spans="1:11" x14ac:dyDescent="0.25">
      <c r="A225" s="38">
        <f>Données!A222</f>
        <v>5761</v>
      </c>
      <c r="B225" s="171" t="str">
        <f>Données!B222</f>
        <v>Romainmôtier-Envy</v>
      </c>
      <c r="C225" s="8">
        <f>Données!Z222</f>
        <v>551</v>
      </c>
      <c r="D225" s="8">
        <f t="shared" si="12"/>
        <v>551</v>
      </c>
      <c r="E225" s="226">
        <f t="shared" si="15"/>
        <v>0</v>
      </c>
      <c r="F225" s="8">
        <f t="shared" si="15"/>
        <v>0</v>
      </c>
      <c r="G225" s="226">
        <f t="shared" si="15"/>
        <v>0</v>
      </c>
      <c r="H225" s="31">
        <f t="shared" si="15"/>
        <v>0</v>
      </c>
      <c r="I225" s="8">
        <f t="shared" si="15"/>
        <v>0</v>
      </c>
      <c r="J225" s="8">
        <f t="shared" si="13"/>
        <v>0</v>
      </c>
      <c r="K225" s="72">
        <f t="shared" si="14"/>
        <v>-71092.303822937611</v>
      </c>
    </row>
    <row r="226" spans="1:11" x14ac:dyDescent="0.25">
      <c r="A226" s="38">
        <f>Données!A223</f>
        <v>5762</v>
      </c>
      <c r="B226" s="171" t="str">
        <f>Données!B223</f>
        <v>Sergey</v>
      </c>
      <c r="C226" s="8">
        <f>Données!Z223</f>
        <v>141</v>
      </c>
      <c r="D226" s="8">
        <f t="shared" si="12"/>
        <v>141</v>
      </c>
      <c r="E226" s="226">
        <f t="shared" si="15"/>
        <v>0</v>
      </c>
      <c r="F226" s="8">
        <f t="shared" si="15"/>
        <v>0</v>
      </c>
      <c r="G226" s="226">
        <f t="shared" si="15"/>
        <v>0</v>
      </c>
      <c r="H226" s="31">
        <f t="shared" si="15"/>
        <v>0</v>
      </c>
      <c r="I226" s="8">
        <f t="shared" si="15"/>
        <v>0</v>
      </c>
      <c r="J226" s="8">
        <f t="shared" si="13"/>
        <v>0</v>
      </c>
      <c r="K226" s="72">
        <f t="shared" si="14"/>
        <v>-18192.404426559351</v>
      </c>
    </row>
    <row r="227" spans="1:11" x14ac:dyDescent="0.25">
      <c r="A227" s="38">
        <f>Données!A224</f>
        <v>5763</v>
      </c>
      <c r="B227" s="171" t="str">
        <f>Données!B224</f>
        <v>Valeyres-sous-Rances</v>
      </c>
      <c r="C227" s="8">
        <f>Données!Z224</f>
        <v>614</v>
      </c>
      <c r="D227" s="8">
        <f t="shared" si="12"/>
        <v>614</v>
      </c>
      <c r="E227" s="226">
        <f t="shared" si="15"/>
        <v>0</v>
      </c>
      <c r="F227" s="8">
        <f t="shared" si="15"/>
        <v>0</v>
      </c>
      <c r="G227" s="226">
        <f t="shared" si="15"/>
        <v>0</v>
      </c>
      <c r="H227" s="31">
        <f t="shared" si="15"/>
        <v>0</v>
      </c>
      <c r="I227" s="8">
        <f t="shared" si="15"/>
        <v>0</v>
      </c>
      <c r="J227" s="8">
        <f t="shared" si="13"/>
        <v>0</v>
      </c>
      <c r="K227" s="72">
        <f t="shared" si="14"/>
        <v>-79220.824949698173</v>
      </c>
    </row>
    <row r="228" spans="1:11" x14ac:dyDescent="0.25">
      <c r="A228" s="38">
        <f>Données!A225</f>
        <v>5764</v>
      </c>
      <c r="B228" s="171" t="str">
        <f>Données!B225</f>
        <v>Vallorbe</v>
      </c>
      <c r="C228" s="8">
        <f>Données!Z225</f>
        <v>3924</v>
      </c>
      <c r="D228" s="8">
        <f t="shared" si="12"/>
        <v>1000</v>
      </c>
      <c r="E228" s="226">
        <f t="shared" si="15"/>
        <v>2000</v>
      </c>
      <c r="F228" s="8">
        <f t="shared" si="15"/>
        <v>924</v>
      </c>
      <c r="G228" s="226">
        <f t="shared" si="15"/>
        <v>0</v>
      </c>
      <c r="H228" s="31">
        <f t="shared" si="15"/>
        <v>0</v>
      </c>
      <c r="I228" s="8">
        <f t="shared" si="15"/>
        <v>0</v>
      </c>
      <c r="J228" s="8">
        <f t="shared" si="13"/>
        <v>0</v>
      </c>
      <c r="K228" s="72">
        <f t="shared" si="14"/>
        <v>-1328432.5955734404</v>
      </c>
    </row>
    <row r="229" spans="1:11" x14ac:dyDescent="0.25">
      <c r="A229" s="38">
        <f>Données!A226</f>
        <v>5765</v>
      </c>
      <c r="B229" s="171" t="str">
        <f>Données!B226</f>
        <v>Vaulion</v>
      </c>
      <c r="C229" s="8">
        <f>Données!Z226</f>
        <v>492</v>
      </c>
      <c r="D229" s="8">
        <f t="shared" si="12"/>
        <v>492</v>
      </c>
      <c r="E229" s="226">
        <f t="shared" si="15"/>
        <v>0</v>
      </c>
      <c r="F229" s="8">
        <f t="shared" si="15"/>
        <v>0</v>
      </c>
      <c r="G229" s="226">
        <f t="shared" si="15"/>
        <v>0</v>
      </c>
      <c r="H229" s="31">
        <f t="shared" si="15"/>
        <v>0</v>
      </c>
      <c r="I229" s="8">
        <f t="shared" si="15"/>
        <v>0</v>
      </c>
      <c r="J229" s="8">
        <f t="shared" si="13"/>
        <v>0</v>
      </c>
      <c r="K229" s="72">
        <f t="shared" si="14"/>
        <v>-63479.879275653911</v>
      </c>
    </row>
    <row r="230" spans="1:11" x14ac:dyDescent="0.25">
      <c r="A230" s="38">
        <f>Données!A227</f>
        <v>5766</v>
      </c>
      <c r="B230" s="171" t="str">
        <f>Données!B227</f>
        <v>Vuiteboeuf</v>
      </c>
      <c r="C230" s="8">
        <f>Données!Z227</f>
        <v>591</v>
      </c>
      <c r="D230" s="8">
        <f t="shared" si="12"/>
        <v>591</v>
      </c>
      <c r="E230" s="226">
        <f t="shared" si="15"/>
        <v>0</v>
      </c>
      <c r="F230" s="8">
        <f t="shared" si="15"/>
        <v>0</v>
      </c>
      <c r="G230" s="226">
        <f t="shared" si="15"/>
        <v>0</v>
      </c>
      <c r="H230" s="31">
        <f t="shared" si="15"/>
        <v>0</v>
      </c>
      <c r="I230" s="8">
        <f t="shared" si="15"/>
        <v>0</v>
      </c>
      <c r="J230" s="8">
        <f t="shared" si="13"/>
        <v>0</v>
      </c>
      <c r="K230" s="72">
        <f t="shared" si="14"/>
        <v>-76253.269617706217</v>
      </c>
    </row>
    <row r="231" spans="1:11" x14ac:dyDescent="0.25">
      <c r="A231" s="38">
        <f>Données!A228</f>
        <v>5785</v>
      </c>
      <c r="B231" s="171" t="str">
        <f>Données!B228</f>
        <v>Corcelles-le-Jorat</v>
      </c>
      <c r="C231" s="8">
        <f>Données!Z228</f>
        <v>489</v>
      </c>
      <c r="D231" s="8">
        <f t="shared" si="12"/>
        <v>489</v>
      </c>
      <c r="E231" s="226">
        <f t="shared" si="15"/>
        <v>0</v>
      </c>
      <c r="F231" s="8">
        <f t="shared" si="15"/>
        <v>0</v>
      </c>
      <c r="G231" s="226">
        <f t="shared" si="15"/>
        <v>0</v>
      </c>
      <c r="H231" s="31">
        <f t="shared" si="15"/>
        <v>0</v>
      </c>
      <c r="I231" s="8">
        <f t="shared" si="15"/>
        <v>0</v>
      </c>
      <c r="J231" s="8">
        <f t="shared" si="13"/>
        <v>0</v>
      </c>
      <c r="K231" s="72">
        <f t="shared" si="14"/>
        <v>-63092.806841046266</v>
      </c>
    </row>
    <row r="232" spans="1:11" x14ac:dyDescent="0.25">
      <c r="A232" s="38">
        <f>Données!A229</f>
        <v>5790</v>
      </c>
      <c r="B232" s="171" t="str">
        <f>Données!B229</f>
        <v>Maracon</v>
      </c>
      <c r="C232" s="8">
        <f>Données!Z229</f>
        <v>547</v>
      </c>
      <c r="D232" s="8">
        <f t="shared" si="12"/>
        <v>547</v>
      </c>
      <c r="E232" s="226">
        <f t="shared" si="15"/>
        <v>0</v>
      </c>
      <c r="F232" s="8">
        <f t="shared" si="15"/>
        <v>0</v>
      </c>
      <c r="G232" s="226">
        <f t="shared" si="15"/>
        <v>0</v>
      </c>
      <c r="H232" s="31">
        <f t="shared" si="15"/>
        <v>0</v>
      </c>
      <c r="I232" s="8">
        <f t="shared" si="15"/>
        <v>0</v>
      </c>
      <c r="J232" s="8">
        <f t="shared" si="13"/>
        <v>0</v>
      </c>
      <c r="K232" s="72">
        <f t="shared" si="14"/>
        <v>-70576.207243460754</v>
      </c>
    </row>
    <row r="233" spans="1:11" x14ac:dyDescent="0.25">
      <c r="A233" s="38">
        <f>Données!A230</f>
        <v>5792</v>
      </c>
      <c r="B233" s="171" t="str">
        <f>Données!B230</f>
        <v>Montpreveyres</v>
      </c>
      <c r="C233" s="8">
        <f>Données!Z230</f>
        <v>662</v>
      </c>
      <c r="D233" s="8">
        <f t="shared" si="12"/>
        <v>662</v>
      </c>
      <c r="E233" s="226">
        <f t="shared" si="15"/>
        <v>0</v>
      </c>
      <c r="F233" s="8">
        <f t="shared" si="15"/>
        <v>0</v>
      </c>
      <c r="G233" s="226">
        <f t="shared" si="15"/>
        <v>0</v>
      </c>
      <c r="H233" s="31">
        <f t="shared" si="15"/>
        <v>0</v>
      </c>
      <c r="I233" s="8">
        <f t="shared" si="15"/>
        <v>0</v>
      </c>
      <c r="J233" s="8">
        <f t="shared" si="13"/>
        <v>0</v>
      </c>
      <c r="K233" s="72">
        <f t="shared" si="14"/>
        <v>-85413.983903420507</v>
      </c>
    </row>
    <row r="234" spans="1:11" x14ac:dyDescent="0.25">
      <c r="A234" s="38">
        <f>Données!A231</f>
        <v>5798</v>
      </c>
      <c r="B234" s="171" t="str">
        <f>Données!B231</f>
        <v>Ropraz</v>
      </c>
      <c r="C234" s="8">
        <f>Données!Z231</f>
        <v>534</v>
      </c>
      <c r="D234" s="8">
        <f t="shared" si="12"/>
        <v>534</v>
      </c>
      <c r="E234" s="226">
        <f t="shared" si="15"/>
        <v>0</v>
      </c>
      <c r="F234" s="8">
        <f t="shared" si="15"/>
        <v>0</v>
      </c>
      <c r="G234" s="226">
        <f t="shared" si="15"/>
        <v>0</v>
      </c>
      <c r="H234" s="31">
        <f t="shared" si="15"/>
        <v>0</v>
      </c>
      <c r="I234" s="8">
        <f t="shared" si="15"/>
        <v>0</v>
      </c>
      <c r="J234" s="8">
        <f t="shared" si="13"/>
        <v>0</v>
      </c>
      <c r="K234" s="72">
        <f t="shared" si="14"/>
        <v>-68898.893360160946</v>
      </c>
    </row>
    <row r="235" spans="1:11" x14ac:dyDescent="0.25">
      <c r="A235" s="38">
        <f>Données!A232</f>
        <v>5799</v>
      </c>
      <c r="B235" s="171" t="str">
        <f>Données!B232</f>
        <v>Servion</v>
      </c>
      <c r="C235" s="8">
        <f>Données!Z232</f>
        <v>2107</v>
      </c>
      <c r="D235" s="8">
        <f t="shared" si="12"/>
        <v>1000</v>
      </c>
      <c r="E235" s="226">
        <f t="shared" si="15"/>
        <v>1107</v>
      </c>
      <c r="F235" s="8">
        <f t="shared" si="15"/>
        <v>0</v>
      </c>
      <c r="G235" s="226">
        <f t="shared" si="15"/>
        <v>0</v>
      </c>
      <c r="H235" s="31">
        <f t="shared" si="15"/>
        <v>0</v>
      </c>
      <c r="I235" s="8">
        <f t="shared" si="15"/>
        <v>0</v>
      </c>
      <c r="J235" s="8">
        <f t="shared" si="13"/>
        <v>0</v>
      </c>
      <c r="K235" s="72">
        <f t="shared" si="14"/>
        <v>-528947.384305835</v>
      </c>
    </row>
    <row r="236" spans="1:11" x14ac:dyDescent="0.25">
      <c r="A236" s="38">
        <f>Données!A233</f>
        <v>5803</v>
      </c>
      <c r="B236" s="171" t="str">
        <f>Données!B233</f>
        <v>Vulliens</v>
      </c>
      <c r="C236" s="8">
        <f>Données!Z233</f>
        <v>631</v>
      </c>
      <c r="D236" s="8">
        <f t="shared" ref="D236:D299" si="16">IF($C236&gt;D$5,IF($C236&lt;D$6,$C236-D$5,D$6-D$5),0)</f>
        <v>631</v>
      </c>
      <c r="E236" s="226">
        <f t="shared" si="15"/>
        <v>0</v>
      </c>
      <c r="F236" s="8">
        <f t="shared" si="15"/>
        <v>0</v>
      </c>
      <c r="G236" s="226">
        <f t="shared" si="15"/>
        <v>0</v>
      </c>
      <c r="H236" s="31">
        <f t="shared" si="15"/>
        <v>0</v>
      </c>
      <c r="I236" s="8">
        <f t="shared" si="15"/>
        <v>0</v>
      </c>
      <c r="J236" s="8">
        <f t="shared" si="13"/>
        <v>0</v>
      </c>
      <c r="K236" s="72">
        <f t="shared" si="14"/>
        <v>-81414.235412474838</v>
      </c>
    </row>
    <row r="237" spans="1:11" x14ac:dyDescent="0.25">
      <c r="A237" s="38">
        <f>Données!A234</f>
        <v>5804</v>
      </c>
      <c r="B237" s="171" t="str">
        <f>Données!B234</f>
        <v>Jorat-Menthue</v>
      </c>
      <c r="C237" s="8">
        <f>Données!Z234</f>
        <v>1603</v>
      </c>
      <c r="D237" s="8">
        <f t="shared" si="16"/>
        <v>1000</v>
      </c>
      <c r="E237" s="226">
        <f t="shared" si="15"/>
        <v>603</v>
      </c>
      <c r="F237" s="8">
        <f t="shared" si="15"/>
        <v>0</v>
      </c>
      <c r="G237" s="226">
        <f t="shared" si="15"/>
        <v>0</v>
      </c>
      <c r="H237" s="31">
        <f t="shared" si="15"/>
        <v>0</v>
      </c>
      <c r="I237" s="8">
        <f t="shared" si="15"/>
        <v>0</v>
      </c>
      <c r="J237" s="8">
        <f t="shared" si="13"/>
        <v>0</v>
      </c>
      <c r="K237" s="72">
        <f t="shared" si="14"/>
        <v>-346868.51106639835</v>
      </c>
    </row>
    <row r="238" spans="1:11" x14ac:dyDescent="0.25">
      <c r="A238" s="38">
        <f>Données!A235</f>
        <v>5805</v>
      </c>
      <c r="B238" s="171" t="str">
        <f>Données!B235</f>
        <v>Oron</v>
      </c>
      <c r="C238" s="8">
        <f>Données!Z235</f>
        <v>6100</v>
      </c>
      <c r="D238" s="8">
        <f t="shared" si="16"/>
        <v>1000</v>
      </c>
      <c r="E238" s="226">
        <f t="shared" si="15"/>
        <v>2000</v>
      </c>
      <c r="F238" s="8">
        <f t="shared" si="15"/>
        <v>2000</v>
      </c>
      <c r="G238" s="226">
        <f t="shared" si="15"/>
        <v>1100</v>
      </c>
      <c r="H238" s="31">
        <f t="shared" si="15"/>
        <v>0</v>
      </c>
      <c r="I238" s="8">
        <f t="shared" si="15"/>
        <v>0</v>
      </c>
      <c r="J238" s="8">
        <f t="shared" si="13"/>
        <v>0</v>
      </c>
      <c r="K238" s="72">
        <f t="shared" si="14"/>
        <v>-2564999.9999999995</v>
      </c>
    </row>
    <row r="239" spans="1:11" x14ac:dyDescent="0.25">
      <c r="A239" s="38">
        <f>Données!A236</f>
        <v>5806</v>
      </c>
      <c r="B239" s="171" t="str">
        <f>Données!B236</f>
        <v>Jorat-Mézières</v>
      </c>
      <c r="C239" s="8">
        <f>Données!Z236</f>
        <v>3095</v>
      </c>
      <c r="D239" s="8">
        <f t="shared" si="16"/>
        <v>1000</v>
      </c>
      <c r="E239" s="226">
        <f t="shared" si="15"/>
        <v>2000</v>
      </c>
      <c r="F239" s="8">
        <f t="shared" si="15"/>
        <v>95</v>
      </c>
      <c r="G239" s="226">
        <f t="shared" si="15"/>
        <v>0</v>
      </c>
      <c r="H239" s="31">
        <f t="shared" si="15"/>
        <v>0</v>
      </c>
      <c r="I239" s="8">
        <f t="shared" si="15"/>
        <v>0</v>
      </c>
      <c r="J239" s="8">
        <f t="shared" si="13"/>
        <v>0</v>
      </c>
      <c r="K239" s="72">
        <f t="shared" si="14"/>
        <v>-900588.53118712257</v>
      </c>
    </row>
    <row r="240" spans="1:11" x14ac:dyDescent="0.25">
      <c r="A240" s="38">
        <f>Données!A237</f>
        <v>5812</v>
      </c>
      <c r="B240" s="171" t="str">
        <f>Données!B237</f>
        <v>Champtauroz</v>
      </c>
      <c r="C240" s="8">
        <f>Données!Z237</f>
        <v>169</v>
      </c>
      <c r="D240" s="8">
        <f t="shared" si="16"/>
        <v>169</v>
      </c>
      <c r="E240" s="226">
        <f t="shared" si="15"/>
        <v>0</v>
      </c>
      <c r="F240" s="8">
        <f t="shared" si="15"/>
        <v>0</v>
      </c>
      <c r="G240" s="226">
        <f t="shared" si="15"/>
        <v>0</v>
      </c>
      <c r="H240" s="31">
        <f t="shared" si="15"/>
        <v>0</v>
      </c>
      <c r="I240" s="8">
        <f t="shared" si="15"/>
        <v>0</v>
      </c>
      <c r="J240" s="8">
        <f t="shared" si="13"/>
        <v>0</v>
      </c>
      <c r="K240" s="72">
        <f t="shared" si="14"/>
        <v>-21805.080482897378</v>
      </c>
    </row>
    <row r="241" spans="1:11" x14ac:dyDescent="0.25">
      <c r="A241" s="38">
        <f>Données!A238</f>
        <v>5813</v>
      </c>
      <c r="B241" s="171" t="str">
        <f>Données!B238</f>
        <v>Chevroux</v>
      </c>
      <c r="C241" s="8">
        <f>Données!Z238</f>
        <v>506</v>
      </c>
      <c r="D241" s="8">
        <f t="shared" si="16"/>
        <v>506</v>
      </c>
      <c r="E241" s="226">
        <f t="shared" si="15"/>
        <v>0</v>
      </c>
      <c r="F241" s="8">
        <f t="shared" si="15"/>
        <v>0</v>
      </c>
      <c r="G241" s="226">
        <f t="shared" si="15"/>
        <v>0</v>
      </c>
      <c r="H241" s="31">
        <f t="shared" si="15"/>
        <v>0</v>
      </c>
      <c r="I241" s="8">
        <f t="shared" si="15"/>
        <v>0</v>
      </c>
      <c r="J241" s="8">
        <f t="shared" si="13"/>
        <v>0</v>
      </c>
      <c r="K241" s="72">
        <f t="shared" si="14"/>
        <v>-65286.217303822923</v>
      </c>
    </row>
    <row r="242" spans="1:11" x14ac:dyDescent="0.25">
      <c r="A242" s="38">
        <f>Données!A239</f>
        <v>5816</v>
      </c>
      <c r="B242" s="171" t="str">
        <f>Données!B239</f>
        <v>Corcelles-près-Payerne</v>
      </c>
      <c r="C242" s="8">
        <f>Données!Z239</f>
        <v>2722</v>
      </c>
      <c r="D242" s="8">
        <f t="shared" si="16"/>
        <v>1000</v>
      </c>
      <c r="E242" s="226">
        <f t="shared" si="15"/>
        <v>1722</v>
      </c>
      <c r="F242" s="8">
        <f t="shared" si="15"/>
        <v>0</v>
      </c>
      <c r="G242" s="226">
        <f t="shared" si="15"/>
        <v>0</v>
      </c>
      <c r="H242" s="31">
        <f t="shared" si="15"/>
        <v>0</v>
      </c>
      <c r="I242" s="8">
        <f t="shared" si="15"/>
        <v>0</v>
      </c>
      <c r="J242" s="8">
        <f t="shared" si="13"/>
        <v>0</v>
      </c>
      <c r="K242" s="72">
        <f t="shared" si="14"/>
        <v>-751126.96177062369</v>
      </c>
    </row>
    <row r="243" spans="1:11" x14ac:dyDescent="0.25">
      <c r="A243" s="38">
        <f>Données!A240</f>
        <v>5817</v>
      </c>
      <c r="B243" s="171" t="str">
        <f>Données!B240</f>
        <v>Grandcour</v>
      </c>
      <c r="C243" s="8">
        <f>Données!Z240</f>
        <v>987</v>
      </c>
      <c r="D243" s="8">
        <f t="shared" si="16"/>
        <v>987</v>
      </c>
      <c r="E243" s="226">
        <f t="shared" si="15"/>
        <v>0</v>
      </c>
      <c r="F243" s="8">
        <f t="shared" si="15"/>
        <v>0</v>
      </c>
      <c r="G243" s="226">
        <f t="shared" si="15"/>
        <v>0</v>
      </c>
      <c r="H243" s="31">
        <f t="shared" si="15"/>
        <v>0</v>
      </c>
      <c r="I243" s="8">
        <f t="shared" si="15"/>
        <v>0</v>
      </c>
      <c r="J243" s="8">
        <f t="shared" si="13"/>
        <v>0</v>
      </c>
      <c r="K243" s="72">
        <f t="shared" si="14"/>
        <v>-127346.83098591547</v>
      </c>
    </row>
    <row r="244" spans="1:11" x14ac:dyDescent="0.25">
      <c r="A244" s="38">
        <f>Données!A241</f>
        <v>5819</v>
      </c>
      <c r="B244" s="171" t="str">
        <f>Données!B241</f>
        <v>Henniez</v>
      </c>
      <c r="C244" s="8">
        <f>Données!Z241</f>
        <v>407</v>
      </c>
      <c r="D244" s="8">
        <f t="shared" si="16"/>
        <v>407</v>
      </c>
      <c r="E244" s="226">
        <f t="shared" si="15"/>
        <v>0</v>
      </c>
      <c r="F244" s="8">
        <f t="shared" si="15"/>
        <v>0</v>
      </c>
      <c r="G244" s="226">
        <f t="shared" si="15"/>
        <v>0</v>
      </c>
      <c r="H244" s="31">
        <f t="shared" si="15"/>
        <v>0</v>
      </c>
      <c r="I244" s="8">
        <f t="shared" si="15"/>
        <v>0</v>
      </c>
      <c r="J244" s="8">
        <f t="shared" si="13"/>
        <v>0</v>
      </c>
      <c r="K244" s="72">
        <f t="shared" si="14"/>
        <v>-52512.82696177061</v>
      </c>
    </row>
    <row r="245" spans="1:11" x14ac:dyDescent="0.25">
      <c r="A245" s="38">
        <f>Données!A242</f>
        <v>5821</v>
      </c>
      <c r="B245" s="171" t="str">
        <f>Données!B242</f>
        <v>Missy</v>
      </c>
      <c r="C245" s="8">
        <f>Données!Z242</f>
        <v>366</v>
      </c>
      <c r="D245" s="8">
        <f t="shared" si="16"/>
        <v>366</v>
      </c>
      <c r="E245" s="226">
        <f t="shared" si="15"/>
        <v>0</v>
      </c>
      <c r="F245" s="8">
        <f t="shared" si="15"/>
        <v>0</v>
      </c>
      <c r="G245" s="226">
        <f t="shared" si="15"/>
        <v>0</v>
      </c>
      <c r="H245" s="31">
        <f t="shared" si="15"/>
        <v>0</v>
      </c>
      <c r="I245" s="8">
        <f t="shared" si="15"/>
        <v>0</v>
      </c>
      <c r="J245" s="8">
        <f t="shared" si="13"/>
        <v>0</v>
      </c>
      <c r="K245" s="72">
        <f t="shared" si="14"/>
        <v>-47222.837022132786</v>
      </c>
    </row>
    <row r="246" spans="1:11" x14ac:dyDescent="0.25">
      <c r="A246" s="38">
        <f>Données!A243</f>
        <v>5822</v>
      </c>
      <c r="B246" s="171" t="str">
        <f>Données!B243</f>
        <v>Payerne</v>
      </c>
      <c r="C246" s="8">
        <f>Données!Z243</f>
        <v>10258</v>
      </c>
      <c r="D246" s="8">
        <f t="shared" si="16"/>
        <v>1000</v>
      </c>
      <c r="E246" s="226">
        <f t="shared" si="15"/>
        <v>2000</v>
      </c>
      <c r="F246" s="8">
        <f t="shared" si="15"/>
        <v>2000</v>
      </c>
      <c r="G246" s="226">
        <f t="shared" si="15"/>
        <v>4000</v>
      </c>
      <c r="H246" s="31">
        <f t="shared" si="15"/>
        <v>1258</v>
      </c>
      <c r="I246" s="8">
        <f t="shared" si="15"/>
        <v>0</v>
      </c>
      <c r="J246" s="8">
        <f t="shared" si="13"/>
        <v>0</v>
      </c>
      <c r="K246" s="72">
        <f t="shared" si="14"/>
        <v>-5464740.2414486911</v>
      </c>
    </row>
    <row r="247" spans="1:11" x14ac:dyDescent="0.25">
      <c r="A247" s="38">
        <f>Données!A244</f>
        <v>5827</v>
      </c>
      <c r="B247" s="171" t="str">
        <f>Données!B244</f>
        <v>Trey</v>
      </c>
      <c r="C247" s="8">
        <f>Données!Z244</f>
        <v>321</v>
      </c>
      <c r="D247" s="8">
        <f t="shared" si="16"/>
        <v>321</v>
      </c>
      <c r="E247" s="226">
        <f t="shared" si="15"/>
        <v>0</v>
      </c>
      <c r="F247" s="8">
        <f t="shared" si="15"/>
        <v>0</v>
      </c>
      <c r="G247" s="226">
        <f t="shared" si="15"/>
        <v>0</v>
      </c>
      <c r="H247" s="31">
        <f t="shared" si="15"/>
        <v>0</v>
      </c>
      <c r="I247" s="8">
        <f t="shared" si="15"/>
        <v>0</v>
      </c>
      <c r="J247" s="8">
        <f t="shared" si="13"/>
        <v>0</v>
      </c>
      <c r="K247" s="72">
        <f t="shared" si="14"/>
        <v>-41416.750503018098</v>
      </c>
    </row>
    <row r="248" spans="1:11" x14ac:dyDescent="0.25">
      <c r="A248" s="38">
        <f>Données!A245</f>
        <v>5828</v>
      </c>
      <c r="B248" s="171" t="str">
        <f>Données!B245</f>
        <v>Treytorrens (Payerne)</v>
      </c>
      <c r="C248" s="8">
        <f>Données!Z245</f>
        <v>110</v>
      </c>
      <c r="D248" s="8">
        <f t="shared" si="16"/>
        <v>110</v>
      </c>
      <c r="E248" s="226">
        <f t="shared" si="15"/>
        <v>0</v>
      </c>
      <c r="F248" s="8">
        <f t="shared" si="15"/>
        <v>0</v>
      </c>
      <c r="G248" s="226">
        <f t="shared" si="15"/>
        <v>0</v>
      </c>
      <c r="H248" s="31">
        <f t="shared" si="15"/>
        <v>0</v>
      </c>
      <c r="I248" s="8">
        <f t="shared" si="15"/>
        <v>0</v>
      </c>
      <c r="J248" s="8">
        <f t="shared" si="13"/>
        <v>0</v>
      </c>
      <c r="K248" s="72">
        <f t="shared" si="14"/>
        <v>-14192.655935613679</v>
      </c>
    </row>
    <row r="249" spans="1:11" x14ac:dyDescent="0.25">
      <c r="A249" s="38">
        <f>Données!A246</f>
        <v>5830</v>
      </c>
      <c r="B249" s="171" t="str">
        <f>Données!B246</f>
        <v>Villarzel</v>
      </c>
      <c r="C249" s="8">
        <f>Données!Z246</f>
        <v>500</v>
      </c>
      <c r="D249" s="8">
        <f t="shared" si="16"/>
        <v>500</v>
      </c>
      <c r="E249" s="226">
        <f t="shared" si="15"/>
        <v>0</v>
      </c>
      <c r="F249" s="8">
        <f t="shared" si="15"/>
        <v>0</v>
      </c>
      <c r="G249" s="226">
        <f t="shared" si="15"/>
        <v>0</v>
      </c>
      <c r="H249" s="31">
        <f t="shared" si="15"/>
        <v>0</v>
      </c>
      <c r="I249" s="8">
        <f t="shared" si="15"/>
        <v>0</v>
      </c>
      <c r="J249" s="8">
        <f t="shared" si="13"/>
        <v>0</v>
      </c>
      <c r="K249" s="72">
        <f t="shared" si="14"/>
        <v>-64512.072434607631</v>
      </c>
    </row>
    <row r="250" spans="1:11" x14ac:dyDescent="0.25">
      <c r="A250" s="38">
        <f>Données!A247</f>
        <v>5831</v>
      </c>
      <c r="B250" s="171" t="str">
        <f>Données!B247</f>
        <v>Valbroye</v>
      </c>
      <c r="C250" s="8">
        <f>Données!Z247</f>
        <v>3349</v>
      </c>
      <c r="D250" s="8">
        <f t="shared" si="16"/>
        <v>1000</v>
      </c>
      <c r="E250" s="226">
        <f t="shared" si="15"/>
        <v>2000</v>
      </c>
      <c r="F250" s="8">
        <f t="shared" si="15"/>
        <v>349</v>
      </c>
      <c r="G250" s="226">
        <f t="shared" si="15"/>
        <v>0</v>
      </c>
      <c r="H250" s="31">
        <f t="shared" si="15"/>
        <v>0</v>
      </c>
      <c r="I250" s="8">
        <f t="shared" si="15"/>
        <v>0</v>
      </c>
      <c r="J250" s="8">
        <f t="shared" si="13"/>
        <v>0</v>
      </c>
      <c r="K250" s="72">
        <f t="shared" si="14"/>
        <v>-1031677.0623742453</v>
      </c>
    </row>
    <row r="251" spans="1:11" x14ac:dyDescent="0.25">
      <c r="A251" s="38">
        <f>Données!A248</f>
        <v>5841</v>
      </c>
      <c r="B251" s="171" t="str">
        <f>Données!B248</f>
        <v>Château-d'Oex</v>
      </c>
      <c r="C251" s="8">
        <f>Données!Z248</f>
        <v>3549</v>
      </c>
      <c r="D251" s="8">
        <f t="shared" si="16"/>
        <v>1000</v>
      </c>
      <c r="E251" s="226">
        <f t="shared" si="15"/>
        <v>2000</v>
      </c>
      <c r="F251" s="8">
        <f t="shared" si="15"/>
        <v>549</v>
      </c>
      <c r="G251" s="226">
        <f t="shared" si="15"/>
        <v>0</v>
      </c>
      <c r="H251" s="31">
        <f t="shared" si="15"/>
        <v>0</v>
      </c>
      <c r="I251" s="8">
        <f t="shared" si="15"/>
        <v>0</v>
      </c>
      <c r="J251" s="8">
        <f t="shared" si="13"/>
        <v>0</v>
      </c>
      <c r="K251" s="72">
        <f t="shared" si="14"/>
        <v>-1134896.3782696174</v>
      </c>
    </row>
    <row r="252" spans="1:11" x14ac:dyDescent="0.25">
      <c r="A252" s="38">
        <f>Données!A249</f>
        <v>5842</v>
      </c>
      <c r="B252" s="171" t="str">
        <f>Données!B249</f>
        <v>Rossinière</v>
      </c>
      <c r="C252" s="8">
        <f>Données!Z249</f>
        <v>534</v>
      </c>
      <c r="D252" s="8">
        <f t="shared" si="16"/>
        <v>534</v>
      </c>
      <c r="E252" s="226">
        <f t="shared" si="15"/>
        <v>0</v>
      </c>
      <c r="F252" s="8">
        <f t="shared" si="15"/>
        <v>0</v>
      </c>
      <c r="G252" s="226">
        <f t="shared" si="15"/>
        <v>0</v>
      </c>
      <c r="H252" s="31">
        <f t="shared" si="15"/>
        <v>0</v>
      </c>
      <c r="I252" s="8">
        <f t="shared" si="15"/>
        <v>0</v>
      </c>
      <c r="J252" s="8">
        <f t="shared" si="13"/>
        <v>0</v>
      </c>
      <c r="K252" s="72">
        <f t="shared" si="14"/>
        <v>-68898.893360160946</v>
      </c>
    </row>
    <row r="253" spans="1:11" x14ac:dyDescent="0.25">
      <c r="A253" s="38">
        <f>Données!A250</f>
        <v>5843</v>
      </c>
      <c r="B253" s="171" t="str">
        <f>Données!B250</f>
        <v>Rougemont</v>
      </c>
      <c r="C253" s="8">
        <f>Données!Z250</f>
        <v>862</v>
      </c>
      <c r="D253" s="8">
        <f t="shared" si="16"/>
        <v>862</v>
      </c>
      <c r="E253" s="226">
        <f t="shared" si="15"/>
        <v>0</v>
      </c>
      <c r="F253" s="8">
        <f t="shared" si="15"/>
        <v>0</v>
      </c>
      <c r="G253" s="226">
        <f t="shared" si="15"/>
        <v>0</v>
      </c>
      <c r="H253" s="31">
        <f t="shared" si="15"/>
        <v>0</v>
      </c>
      <c r="I253" s="8">
        <f t="shared" si="15"/>
        <v>0</v>
      </c>
      <c r="J253" s="8">
        <f t="shared" si="13"/>
        <v>0</v>
      </c>
      <c r="K253" s="72">
        <f t="shared" si="14"/>
        <v>-111218.81287726355</v>
      </c>
    </row>
    <row r="254" spans="1:11" x14ac:dyDescent="0.25">
      <c r="A254" s="38">
        <f>Données!A251</f>
        <v>5851</v>
      </c>
      <c r="B254" s="171" t="str">
        <f>Données!B251</f>
        <v>Allaman</v>
      </c>
      <c r="C254" s="8">
        <f>Données!Z251</f>
        <v>430</v>
      </c>
      <c r="D254" s="8">
        <f t="shared" si="16"/>
        <v>430</v>
      </c>
      <c r="E254" s="226">
        <f t="shared" si="15"/>
        <v>0</v>
      </c>
      <c r="F254" s="8">
        <f t="shared" si="15"/>
        <v>0</v>
      </c>
      <c r="G254" s="226">
        <f t="shared" si="15"/>
        <v>0</v>
      </c>
      <c r="H254" s="31">
        <f t="shared" si="15"/>
        <v>0</v>
      </c>
      <c r="I254" s="8">
        <f t="shared" si="15"/>
        <v>0</v>
      </c>
      <c r="J254" s="8">
        <f t="shared" si="13"/>
        <v>0</v>
      </c>
      <c r="K254" s="72">
        <f t="shared" si="14"/>
        <v>-55480.382293762566</v>
      </c>
    </row>
    <row r="255" spans="1:11" x14ac:dyDescent="0.25">
      <c r="A255" s="38">
        <f>Données!A252</f>
        <v>5852</v>
      </c>
      <c r="B255" s="171" t="str">
        <f>Données!B252</f>
        <v>Bursinel</v>
      </c>
      <c r="C255" s="8">
        <f>Données!Z252</f>
        <v>515</v>
      </c>
      <c r="D255" s="8">
        <f t="shared" si="16"/>
        <v>515</v>
      </c>
      <c r="E255" s="226">
        <f t="shared" si="15"/>
        <v>0</v>
      </c>
      <c r="F255" s="8">
        <f t="shared" si="15"/>
        <v>0</v>
      </c>
      <c r="G255" s="226">
        <f t="shared" si="15"/>
        <v>0</v>
      </c>
      <c r="H255" s="31">
        <f t="shared" si="15"/>
        <v>0</v>
      </c>
      <c r="I255" s="8">
        <f t="shared" si="15"/>
        <v>0</v>
      </c>
      <c r="J255" s="8">
        <f t="shared" si="13"/>
        <v>0</v>
      </c>
      <c r="K255" s="72">
        <f t="shared" si="14"/>
        <v>-66447.434607645861</v>
      </c>
    </row>
    <row r="256" spans="1:11" x14ac:dyDescent="0.25">
      <c r="A256" s="38">
        <f>Données!A253</f>
        <v>5853</v>
      </c>
      <c r="B256" s="171" t="str">
        <f>Données!B253</f>
        <v>Bursins</v>
      </c>
      <c r="C256" s="8">
        <f>Données!Z253</f>
        <v>773</v>
      </c>
      <c r="D256" s="8">
        <f t="shared" si="16"/>
        <v>773</v>
      </c>
      <c r="E256" s="226">
        <f t="shared" si="15"/>
        <v>0</v>
      </c>
      <c r="F256" s="8">
        <f t="shared" si="15"/>
        <v>0</v>
      </c>
      <c r="G256" s="226">
        <f t="shared" si="15"/>
        <v>0</v>
      </c>
      <c r="H256" s="31">
        <f t="shared" si="15"/>
        <v>0</v>
      </c>
      <c r="I256" s="8">
        <f t="shared" si="15"/>
        <v>0</v>
      </c>
      <c r="J256" s="8">
        <f t="shared" si="13"/>
        <v>0</v>
      </c>
      <c r="K256" s="72">
        <f t="shared" si="14"/>
        <v>-99735.663983903403</v>
      </c>
    </row>
    <row r="257" spans="1:11" x14ac:dyDescent="0.25">
      <c r="A257" s="38">
        <f>Données!A254</f>
        <v>5854</v>
      </c>
      <c r="B257" s="171" t="str">
        <f>Données!B254</f>
        <v>Burtigny</v>
      </c>
      <c r="C257" s="8">
        <f>Données!Z254</f>
        <v>416</v>
      </c>
      <c r="D257" s="8">
        <f t="shared" si="16"/>
        <v>416</v>
      </c>
      <c r="E257" s="226">
        <f t="shared" si="15"/>
        <v>0</v>
      </c>
      <c r="F257" s="8">
        <f t="shared" si="15"/>
        <v>0</v>
      </c>
      <c r="G257" s="226">
        <f t="shared" si="15"/>
        <v>0</v>
      </c>
      <c r="H257" s="31">
        <f t="shared" si="15"/>
        <v>0</v>
      </c>
      <c r="I257" s="8">
        <f t="shared" si="15"/>
        <v>0</v>
      </c>
      <c r="J257" s="8">
        <f t="shared" si="13"/>
        <v>0</v>
      </c>
      <c r="K257" s="72">
        <f t="shared" si="14"/>
        <v>-53674.044265593548</v>
      </c>
    </row>
    <row r="258" spans="1:11" x14ac:dyDescent="0.25">
      <c r="A258" s="38">
        <f>Données!A255</f>
        <v>5855</v>
      </c>
      <c r="B258" s="171" t="str">
        <f>Données!B255</f>
        <v>Dully</v>
      </c>
      <c r="C258" s="8">
        <f>Données!Z255</f>
        <v>634</v>
      </c>
      <c r="D258" s="8">
        <f t="shared" si="16"/>
        <v>634</v>
      </c>
      <c r="E258" s="226">
        <f t="shared" si="15"/>
        <v>0</v>
      </c>
      <c r="F258" s="8">
        <f t="shared" si="15"/>
        <v>0</v>
      </c>
      <c r="G258" s="226">
        <f t="shared" si="15"/>
        <v>0</v>
      </c>
      <c r="H258" s="31">
        <f t="shared" si="15"/>
        <v>0</v>
      </c>
      <c r="I258" s="8">
        <f t="shared" si="15"/>
        <v>0</v>
      </c>
      <c r="J258" s="8">
        <f t="shared" si="13"/>
        <v>0</v>
      </c>
      <c r="K258" s="72">
        <f t="shared" si="14"/>
        <v>-81801.307847082484</v>
      </c>
    </row>
    <row r="259" spans="1:11" x14ac:dyDescent="0.25">
      <c r="A259" s="38">
        <f>Données!A256</f>
        <v>5856</v>
      </c>
      <c r="B259" s="171" t="str">
        <f>Données!B256</f>
        <v>Essertines-sur-Rolle</v>
      </c>
      <c r="C259" s="8">
        <f>Données!Z256</f>
        <v>753</v>
      </c>
      <c r="D259" s="8">
        <f t="shared" si="16"/>
        <v>753</v>
      </c>
      <c r="E259" s="226">
        <f t="shared" si="15"/>
        <v>0</v>
      </c>
      <c r="F259" s="8">
        <f t="shared" si="15"/>
        <v>0</v>
      </c>
      <c r="G259" s="226">
        <f t="shared" si="15"/>
        <v>0</v>
      </c>
      <c r="H259" s="31">
        <f t="shared" si="15"/>
        <v>0</v>
      </c>
      <c r="I259" s="8">
        <f t="shared" si="15"/>
        <v>0</v>
      </c>
      <c r="J259" s="8">
        <f t="shared" si="13"/>
        <v>0</v>
      </c>
      <c r="K259" s="72">
        <f t="shared" si="14"/>
        <v>-97155.181086519093</v>
      </c>
    </row>
    <row r="260" spans="1:11" x14ac:dyDescent="0.25">
      <c r="A260" s="38">
        <f>Données!A257</f>
        <v>5857</v>
      </c>
      <c r="B260" s="171" t="str">
        <f>Données!B257</f>
        <v>Gilly</v>
      </c>
      <c r="C260" s="8">
        <f>Données!Z257</f>
        <v>1438</v>
      </c>
      <c r="D260" s="8">
        <f t="shared" si="16"/>
        <v>1000</v>
      </c>
      <c r="E260" s="226">
        <f t="shared" si="15"/>
        <v>438</v>
      </c>
      <c r="F260" s="8">
        <f t="shared" si="15"/>
        <v>0</v>
      </c>
      <c r="G260" s="226">
        <f t="shared" ref="E260:I308" si="17">IF($C260&gt;G$5,IF($C260&lt;G$6,$C260-G$5,G$6-G$5),0)</f>
        <v>0</v>
      </c>
      <c r="H260" s="31">
        <f t="shared" si="17"/>
        <v>0</v>
      </c>
      <c r="I260" s="8">
        <f t="shared" si="17"/>
        <v>0</v>
      </c>
      <c r="J260" s="8">
        <f t="shared" si="13"/>
        <v>0</v>
      </c>
      <c r="K260" s="72">
        <f t="shared" si="14"/>
        <v>-287259.35613682086</v>
      </c>
    </row>
    <row r="261" spans="1:11" x14ac:dyDescent="0.25">
      <c r="A261" s="38">
        <f>Données!A258</f>
        <v>5858</v>
      </c>
      <c r="B261" s="171" t="str">
        <f>Données!B258</f>
        <v>Luins</v>
      </c>
      <c r="C261" s="8">
        <f>Données!Z258</f>
        <v>630</v>
      </c>
      <c r="D261" s="8">
        <f t="shared" si="16"/>
        <v>630</v>
      </c>
      <c r="E261" s="226">
        <f t="shared" si="17"/>
        <v>0</v>
      </c>
      <c r="F261" s="8">
        <f t="shared" si="17"/>
        <v>0</v>
      </c>
      <c r="G261" s="226">
        <f t="shared" si="17"/>
        <v>0</v>
      </c>
      <c r="H261" s="31">
        <f t="shared" si="17"/>
        <v>0</v>
      </c>
      <c r="I261" s="8">
        <f t="shared" si="17"/>
        <v>0</v>
      </c>
      <c r="J261" s="8">
        <f t="shared" si="13"/>
        <v>0</v>
      </c>
      <c r="K261" s="72">
        <f t="shared" si="14"/>
        <v>-81285.211267605613</v>
      </c>
    </row>
    <row r="262" spans="1:11" x14ac:dyDescent="0.25">
      <c r="A262" s="38">
        <f>Données!A259</f>
        <v>5859</v>
      </c>
      <c r="B262" s="171" t="str">
        <f>Données!B259</f>
        <v>Mont-sur-Rolle</v>
      </c>
      <c r="C262" s="8">
        <f>Données!Z259</f>
        <v>2739</v>
      </c>
      <c r="D262" s="8">
        <f t="shared" si="16"/>
        <v>1000</v>
      </c>
      <c r="E262" s="226">
        <f t="shared" si="17"/>
        <v>1739</v>
      </c>
      <c r="F262" s="8">
        <f t="shared" si="17"/>
        <v>0</v>
      </c>
      <c r="G262" s="226">
        <f t="shared" si="17"/>
        <v>0</v>
      </c>
      <c r="H262" s="31">
        <f t="shared" si="17"/>
        <v>0</v>
      </c>
      <c r="I262" s="8">
        <f t="shared" si="17"/>
        <v>0</v>
      </c>
      <c r="J262" s="8">
        <f t="shared" si="13"/>
        <v>0</v>
      </c>
      <c r="K262" s="72">
        <f t="shared" si="14"/>
        <v>-757268.51106639835</v>
      </c>
    </row>
    <row r="263" spans="1:11" x14ac:dyDescent="0.25">
      <c r="A263" s="38">
        <f>Données!A260</f>
        <v>5860</v>
      </c>
      <c r="B263" s="171" t="str">
        <f>Données!B260</f>
        <v>Perroy</v>
      </c>
      <c r="C263" s="8">
        <f>Données!Z260</f>
        <v>1514</v>
      </c>
      <c r="D263" s="8">
        <f t="shared" si="16"/>
        <v>1000</v>
      </c>
      <c r="E263" s="226">
        <f t="shared" si="17"/>
        <v>514</v>
      </c>
      <c r="F263" s="8">
        <f t="shared" si="17"/>
        <v>0</v>
      </c>
      <c r="G263" s="226">
        <f t="shared" si="17"/>
        <v>0</v>
      </c>
      <c r="H263" s="31">
        <f t="shared" si="17"/>
        <v>0</v>
      </c>
      <c r="I263" s="8">
        <f t="shared" si="17"/>
        <v>0</v>
      </c>
      <c r="J263" s="8">
        <f t="shared" si="13"/>
        <v>0</v>
      </c>
      <c r="K263" s="72">
        <f t="shared" si="14"/>
        <v>-314715.69416498987</v>
      </c>
    </row>
    <row r="264" spans="1:11" x14ac:dyDescent="0.25">
      <c r="A264" s="38">
        <f>Données!A261</f>
        <v>5861</v>
      </c>
      <c r="B264" s="171" t="str">
        <f>Données!B261</f>
        <v>Rolle</v>
      </c>
      <c r="C264" s="8">
        <f>Données!Z261</f>
        <v>6291</v>
      </c>
      <c r="D264" s="8">
        <f t="shared" si="16"/>
        <v>1000</v>
      </c>
      <c r="E264" s="226">
        <f t="shared" si="17"/>
        <v>2000</v>
      </c>
      <c r="F264" s="8">
        <f t="shared" si="17"/>
        <v>2000</v>
      </c>
      <c r="G264" s="226">
        <f t="shared" si="17"/>
        <v>1291</v>
      </c>
      <c r="H264" s="31">
        <f t="shared" si="17"/>
        <v>0</v>
      </c>
      <c r="I264" s="8">
        <f t="shared" si="17"/>
        <v>0</v>
      </c>
      <c r="J264" s="8">
        <f t="shared" si="13"/>
        <v>0</v>
      </c>
      <c r="K264" s="72">
        <f t="shared" si="14"/>
        <v>-2683289.3360160962</v>
      </c>
    </row>
    <row r="265" spans="1:11" x14ac:dyDescent="0.25">
      <c r="A265" s="38">
        <f>Données!A262</f>
        <v>5862</v>
      </c>
      <c r="B265" s="171" t="str">
        <f>Données!B262</f>
        <v>Tartegnin</v>
      </c>
      <c r="C265" s="8">
        <f>Données!Z262</f>
        <v>241</v>
      </c>
      <c r="D265" s="8">
        <f t="shared" si="16"/>
        <v>241</v>
      </c>
      <c r="E265" s="226">
        <f t="shared" si="17"/>
        <v>0</v>
      </c>
      <c r="F265" s="8">
        <f t="shared" si="17"/>
        <v>0</v>
      </c>
      <c r="G265" s="226">
        <f t="shared" si="17"/>
        <v>0</v>
      </c>
      <c r="H265" s="31">
        <f t="shared" si="17"/>
        <v>0</v>
      </c>
      <c r="I265" s="8">
        <f t="shared" si="17"/>
        <v>0</v>
      </c>
      <c r="J265" s="8">
        <f t="shared" si="13"/>
        <v>0</v>
      </c>
      <c r="K265" s="72">
        <f t="shared" si="14"/>
        <v>-31094.818913480878</v>
      </c>
    </row>
    <row r="266" spans="1:11" x14ac:dyDescent="0.25">
      <c r="A266" s="38">
        <f>Données!A263</f>
        <v>5863</v>
      </c>
      <c r="B266" s="171" t="str">
        <f>Données!B263</f>
        <v>Vinzel</v>
      </c>
      <c r="C266" s="8">
        <f>Données!Z263</f>
        <v>369</v>
      </c>
      <c r="D266" s="8">
        <f t="shared" si="16"/>
        <v>369</v>
      </c>
      <c r="E266" s="226">
        <f t="shared" si="17"/>
        <v>0</v>
      </c>
      <c r="F266" s="8">
        <f t="shared" si="17"/>
        <v>0</v>
      </c>
      <c r="G266" s="226">
        <f t="shared" si="17"/>
        <v>0</v>
      </c>
      <c r="H266" s="31">
        <f t="shared" si="17"/>
        <v>0</v>
      </c>
      <c r="I266" s="8">
        <f t="shared" si="17"/>
        <v>0</v>
      </c>
      <c r="J266" s="8">
        <f t="shared" ref="J266:J308" si="18">IF(C266&gt;$J$5,C266-$J$5,0)</f>
        <v>0</v>
      </c>
      <c r="K266" s="72">
        <f t="shared" ref="K266:K308" si="19">-((D266*D$8)+(E266*E$8)+(F266*F$8)+(G266*G$8)+(H266*H$8)+(I266*I$8)+(J266*J$8))</f>
        <v>-47609.909456740432</v>
      </c>
    </row>
    <row r="267" spans="1:11" x14ac:dyDescent="0.25">
      <c r="A267" s="38">
        <f>Données!A264</f>
        <v>5871</v>
      </c>
      <c r="B267" s="171" t="str">
        <f>Données!B264</f>
        <v>L'Abbaye</v>
      </c>
      <c r="C267" s="8">
        <f>Données!Z264</f>
        <v>1521</v>
      </c>
      <c r="D267" s="8">
        <f t="shared" si="16"/>
        <v>1000</v>
      </c>
      <c r="E267" s="226">
        <f t="shared" si="17"/>
        <v>521</v>
      </c>
      <c r="F267" s="8">
        <f t="shared" si="17"/>
        <v>0</v>
      </c>
      <c r="G267" s="226">
        <f t="shared" si="17"/>
        <v>0</v>
      </c>
      <c r="H267" s="31">
        <f t="shared" si="17"/>
        <v>0</v>
      </c>
      <c r="I267" s="8">
        <f t="shared" si="17"/>
        <v>0</v>
      </c>
      <c r="J267" s="8">
        <f t="shared" si="18"/>
        <v>0</v>
      </c>
      <c r="K267" s="72">
        <f t="shared" si="19"/>
        <v>-317244.56740442652</v>
      </c>
    </row>
    <row r="268" spans="1:11" x14ac:dyDescent="0.25">
      <c r="A268" s="38">
        <f>Données!A265</f>
        <v>5872</v>
      </c>
      <c r="B268" s="171" t="str">
        <f>Données!B265</f>
        <v>Le Chenit</v>
      </c>
      <c r="C268" s="8">
        <f>Données!Z265</f>
        <v>4569</v>
      </c>
      <c r="D268" s="8">
        <f t="shared" si="16"/>
        <v>1000</v>
      </c>
      <c r="E268" s="226">
        <f t="shared" si="17"/>
        <v>2000</v>
      </c>
      <c r="F268" s="8">
        <f t="shared" si="17"/>
        <v>1569</v>
      </c>
      <c r="G268" s="226">
        <f t="shared" si="17"/>
        <v>0</v>
      </c>
      <c r="H268" s="31">
        <f t="shared" si="17"/>
        <v>0</v>
      </c>
      <c r="I268" s="8">
        <f t="shared" si="17"/>
        <v>0</v>
      </c>
      <c r="J268" s="8">
        <f t="shared" si="18"/>
        <v>0</v>
      </c>
      <c r="K268" s="72">
        <f t="shared" si="19"/>
        <v>-1661314.8893360156</v>
      </c>
    </row>
    <row r="269" spans="1:11" x14ac:dyDescent="0.25">
      <c r="A269" s="38">
        <f>Données!A266</f>
        <v>5873</v>
      </c>
      <c r="B269" s="171" t="str">
        <f>Données!B266</f>
        <v>Le Lieu</v>
      </c>
      <c r="C269" s="8">
        <f>Données!Z266</f>
        <v>881</v>
      </c>
      <c r="D269" s="8">
        <f t="shared" si="16"/>
        <v>881</v>
      </c>
      <c r="E269" s="226">
        <f t="shared" si="17"/>
        <v>0</v>
      </c>
      <c r="F269" s="8">
        <f t="shared" si="17"/>
        <v>0</v>
      </c>
      <c r="G269" s="226">
        <f t="shared" si="17"/>
        <v>0</v>
      </c>
      <c r="H269" s="31">
        <f t="shared" si="17"/>
        <v>0</v>
      </c>
      <c r="I269" s="8">
        <f t="shared" si="17"/>
        <v>0</v>
      </c>
      <c r="J269" s="8">
        <f t="shared" si="18"/>
        <v>0</v>
      </c>
      <c r="K269" s="72">
        <f t="shared" si="19"/>
        <v>-113670.27162977865</v>
      </c>
    </row>
    <row r="270" spans="1:11" x14ac:dyDescent="0.25">
      <c r="A270" s="38">
        <f>Données!A267</f>
        <v>5882</v>
      </c>
      <c r="B270" s="171" t="str">
        <f>Données!B267</f>
        <v>Chardonne</v>
      </c>
      <c r="C270" s="8">
        <f>Données!Z267</f>
        <v>3078</v>
      </c>
      <c r="D270" s="8">
        <f t="shared" si="16"/>
        <v>1000</v>
      </c>
      <c r="E270" s="226">
        <f t="shared" si="17"/>
        <v>2000</v>
      </c>
      <c r="F270" s="8">
        <f t="shared" si="17"/>
        <v>78</v>
      </c>
      <c r="G270" s="226">
        <f t="shared" si="17"/>
        <v>0</v>
      </c>
      <c r="H270" s="31">
        <f t="shared" si="17"/>
        <v>0</v>
      </c>
      <c r="I270" s="8">
        <f t="shared" si="17"/>
        <v>0</v>
      </c>
      <c r="J270" s="8">
        <f t="shared" si="18"/>
        <v>0</v>
      </c>
      <c r="K270" s="72">
        <f t="shared" si="19"/>
        <v>-891814.88933601591</v>
      </c>
    </row>
    <row r="271" spans="1:11" x14ac:dyDescent="0.25">
      <c r="A271" s="38">
        <f>Données!A268</f>
        <v>5883</v>
      </c>
      <c r="B271" s="171" t="str">
        <f>Données!B268</f>
        <v>Corseaux</v>
      </c>
      <c r="C271" s="8">
        <f>Données!Z268</f>
        <v>2330</v>
      </c>
      <c r="D271" s="8">
        <f t="shared" si="16"/>
        <v>1000</v>
      </c>
      <c r="E271" s="226">
        <f t="shared" si="17"/>
        <v>1330</v>
      </c>
      <c r="F271" s="8">
        <f t="shared" si="17"/>
        <v>0</v>
      </c>
      <c r="G271" s="226">
        <f t="shared" si="17"/>
        <v>0</v>
      </c>
      <c r="H271" s="31">
        <f t="shared" si="17"/>
        <v>0</v>
      </c>
      <c r="I271" s="8">
        <f t="shared" si="17"/>
        <v>0</v>
      </c>
      <c r="J271" s="8">
        <f t="shared" si="18"/>
        <v>0</v>
      </c>
      <c r="K271" s="72">
        <f t="shared" si="19"/>
        <v>-609510.06036217301</v>
      </c>
    </row>
    <row r="272" spans="1:11" x14ac:dyDescent="0.25">
      <c r="A272" s="38">
        <f>Données!A269</f>
        <v>5884</v>
      </c>
      <c r="B272" s="171" t="str">
        <f>Données!B269</f>
        <v>Corsier-sur-Vevey</v>
      </c>
      <c r="C272" s="8">
        <f>Données!Z269</f>
        <v>3390</v>
      </c>
      <c r="D272" s="8">
        <f t="shared" si="16"/>
        <v>1000</v>
      </c>
      <c r="E272" s="226">
        <f t="shared" si="17"/>
        <v>2000</v>
      </c>
      <c r="F272" s="8">
        <f t="shared" si="17"/>
        <v>390</v>
      </c>
      <c r="G272" s="226">
        <f t="shared" si="17"/>
        <v>0</v>
      </c>
      <c r="H272" s="31">
        <f t="shared" si="17"/>
        <v>0</v>
      </c>
      <c r="I272" s="8">
        <f t="shared" si="17"/>
        <v>0</v>
      </c>
      <c r="J272" s="8">
        <f t="shared" si="18"/>
        <v>0</v>
      </c>
      <c r="K272" s="72">
        <f t="shared" si="19"/>
        <v>-1052837.0221327965</v>
      </c>
    </row>
    <row r="273" spans="1:11" x14ac:dyDescent="0.25">
      <c r="A273" s="38">
        <f>Données!A270</f>
        <v>5885</v>
      </c>
      <c r="B273" s="171" t="str">
        <f>Données!B270</f>
        <v>Jongny</v>
      </c>
      <c r="C273" s="8">
        <f>Données!Z270</f>
        <v>1805</v>
      </c>
      <c r="D273" s="8">
        <f t="shared" si="16"/>
        <v>1000</v>
      </c>
      <c r="E273" s="226">
        <f t="shared" si="17"/>
        <v>805</v>
      </c>
      <c r="F273" s="8">
        <f t="shared" si="17"/>
        <v>0</v>
      </c>
      <c r="G273" s="226">
        <f t="shared" si="17"/>
        <v>0</v>
      </c>
      <c r="H273" s="31">
        <f t="shared" si="17"/>
        <v>0</v>
      </c>
      <c r="I273" s="8">
        <f t="shared" si="17"/>
        <v>0</v>
      </c>
      <c r="J273" s="8">
        <f t="shared" si="18"/>
        <v>0</v>
      </c>
      <c r="K273" s="72">
        <f t="shared" si="19"/>
        <v>-419844.56740442646</v>
      </c>
    </row>
    <row r="274" spans="1:11" x14ac:dyDescent="0.25">
      <c r="A274" s="38">
        <f>Données!A271</f>
        <v>5886</v>
      </c>
      <c r="B274" s="171" t="str">
        <f>Données!B271</f>
        <v>Montreux</v>
      </c>
      <c r="C274" s="8">
        <f>Données!Z271</f>
        <v>26012</v>
      </c>
      <c r="D274" s="8">
        <f t="shared" si="16"/>
        <v>1000</v>
      </c>
      <c r="E274" s="226">
        <f t="shared" si="17"/>
        <v>2000</v>
      </c>
      <c r="F274" s="8">
        <f t="shared" si="17"/>
        <v>2000</v>
      </c>
      <c r="G274" s="226">
        <f t="shared" si="17"/>
        <v>4000</v>
      </c>
      <c r="H274" s="31">
        <f t="shared" si="17"/>
        <v>3000</v>
      </c>
      <c r="I274" s="8">
        <f t="shared" si="17"/>
        <v>3000</v>
      </c>
      <c r="J274" s="8">
        <f t="shared" si="18"/>
        <v>11012</v>
      </c>
      <c r="K274" s="72">
        <f t="shared" si="19"/>
        <v>-22024524.748490941</v>
      </c>
    </row>
    <row r="275" spans="1:11" x14ac:dyDescent="0.25">
      <c r="A275" s="38">
        <f>Données!A272</f>
        <v>5889</v>
      </c>
      <c r="B275" s="171" t="str">
        <f>Données!B272</f>
        <v>La Tour-de-Peilz</v>
      </c>
      <c r="C275" s="8">
        <f>Données!Z272</f>
        <v>12222</v>
      </c>
      <c r="D275" s="8">
        <f t="shared" si="16"/>
        <v>1000</v>
      </c>
      <c r="E275" s="226">
        <f t="shared" si="17"/>
        <v>2000</v>
      </c>
      <c r="F275" s="8">
        <f t="shared" si="17"/>
        <v>2000</v>
      </c>
      <c r="G275" s="226">
        <f t="shared" si="17"/>
        <v>4000</v>
      </c>
      <c r="H275" s="31">
        <f t="shared" si="17"/>
        <v>3000</v>
      </c>
      <c r="I275" s="8">
        <f t="shared" si="17"/>
        <v>222</v>
      </c>
      <c r="J275" s="8">
        <f t="shared" si="18"/>
        <v>0</v>
      </c>
      <c r="K275" s="72">
        <f t="shared" si="19"/>
        <v>-7222255.5331991939</v>
      </c>
    </row>
    <row r="276" spans="1:11" x14ac:dyDescent="0.25">
      <c r="A276" s="38">
        <f>Données!A273</f>
        <v>5890</v>
      </c>
      <c r="B276" s="171" t="str">
        <f>Données!B273</f>
        <v>Vevey</v>
      </c>
      <c r="C276" s="8">
        <f>Données!Z273</f>
        <v>19721</v>
      </c>
      <c r="D276" s="8">
        <f t="shared" si="16"/>
        <v>1000</v>
      </c>
      <c r="E276" s="226">
        <f t="shared" si="17"/>
        <v>2000</v>
      </c>
      <c r="F276" s="8">
        <f t="shared" si="17"/>
        <v>2000</v>
      </c>
      <c r="G276" s="226">
        <f t="shared" si="17"/>
        <v>4000</v>
      </c>
      <c r="H276" s="31">
        <f t="shared" si="17"/>
        <v>3000</v>
      </c>
      <c r="I276" s="8">
        <f t="shared" si="17"/>
        <v>3000</v>
      </c>
      <c r="J276" s="8">
        <f t="shared" si="18"/>
        <v>4721</v>
      </c>
      <c r="K276" s="72">
        <f t="shared" si="19"/>
        <v>-15206321.227364182</v>
      </c>
    </row>
    <row r="277" spans="1:11" x14ac:dyDescent="0.25">
      <c r="A277" s="38">
        <f>Données!A274</f>
        <v>5891</v>
      </c>
      <c r="B277" s="171" t="str">
        <f>Données!B274</f>
        <v>Veytaux</v>
      </c>
      <c r="C277" s="8">
        <f>Données!Z274</f>
        <v>952</v>
      </c>
      <c r="D277" s="8">
        <f t="shared" si="16"/>
        <v>952</v>
      </c>
      <c r="E277" s="226">
        <f t="shared" si="17"/>
        <v>0</v>
      </c>
      <c r="F277" s="8">
        <f t="shared" si="17"/>
        <v>0</v>
      </c>
      <c r="G277" s="226">
        <f t="shared" si="17"/>
        <v>0</v>
      </c>
      <c r="H277" s="31">
        <f t="shared" si="17"/>
        <v>0</v>
      </c>
      <c r="I277" s="8">
        <f t="shared" si="17"/>
        <v>0</v>
      </c>
      <c r="J277" s="8">
        <f t="shared" si="18"/>
        <v>0</v>
      </c>
      <c r="K277" s="72">
        <f t="shared" si="19"/>
        <v>-122830.98591549293</v>
      </c>
    </row>
    <row r="278" spans="1:11" x14ac:dyDescent="0.25">
      <c r="A278" s="38">
        <f>Données!A275</f>
        <v>5892</v>
      </c>
      <c r="B278" s="171" t="str">
        <f>Données!B275</f>
        <v>Blonay-St-Légier</v>
      </c>
      <c r="C278" s="8">
        <f>Données!Z275</f>
        <v>11925</v>
      </c>
      <c r="D278" s="8">
        <f t="shared" si="16"/>
        <v>1000</v>
      </c>
      <c r="E278" s="226">
        <f t="shared" si="17"/>
        <v>2000</v>
      </c>
      <c r="F278" s="8">
        <f t="shared" si="17"/>
        <v>2000</v>
      </c>
      <c r="G278" s="226">
        <f t="shared" si="17"/>
        <v>4000</v>
      </c>
      <c r="H278" s="31">
        <f t="shared" si="17"/>
        <v>2925</v>
      </c>
      <c r="I278" s="8">
        <f t="shared" si="17"/>
        <v>0</v>
      </c>
      <c r="J278" s="8">
        <f t="shared" si="18"/>
        <v>0</v>
      </c>
      <c r="K278" s="72">
        <f t="shared" si="19"/>
        <v>-6927306.3380281674</v>
      </c>
    </row>
    <row r="279" spans="1:11" x14ac:dyDescent="0.25">
      <c r="A279" s="38">
        <f>Données!A276</f>
        <v>5902</v>
      </c>
      <c r="B279" s="171" t="str">
        <f>Données!B276</f>
        <v>Belmont-sur-Yverdon</v>
      </c>
      <c r="C279" s="8">
        <f>Données!Z276</f>
        <v>415</v>
      </c>
      <c r="D279" s="8">
        <f t="shared" si="16"/>
        <v>415</v>
      </c>
      <c r="E279" s="226">
        <f t="shared" si="17"/>
        <v>0</v>
      </c>
      <c r="F279" s="8">
        <f t="shared" si="17"/>
        <v>0</v>
      </c>
      <c r="G279" s="226">
        <f t="shared" si="17"/>
        <v>0</v>
      </c>
      <c r="H279" s="31">
        <f t="shared" si="17"/>
        <v>0</v>
      </c>
      <c r="I279" s="8">
        <f t="shared" si="17"/>
        <v>0</v>
      </c>
      <c r="J279" s="8">
        <f t="shared" si="18"/>
        <v>0</v>
      </c>
      <c r="K279" s="72">
        <f t="shared" si="19"/>
        <v>-53545.020120724337</v>
      </c>
    </row>
    <row r="280" spans="1:11" x14ac:dyDescent="0.25">
      <c r="A280" s="38">
        <f>Données!A277</f>
        <v>5903</v>
      </c>
      <c r="B280" s="171" t="str">
        <f>Données!B277</f>
        <v>Bioley-Magnoux</v>
      </c>
      <c r="C280" s="8">
        <f>Données!Z277</f>
        <v>234</v>
      </c>
      <c r="D280" s="8">
        <f t="shared" si="16"/>
        <v>234</v>
      </c>
      <c r="E280" s="226">
        <f t="shared" si="17"/>
        <v>0</v>
      </c>
      <c r="F280" s="8">
        <f t="shared" si="17"/>
        <v>0</v>
      </c>
      <c r="G280" s="226">
        <f t="shared" si="17"/>
        <v>0</v>
      </c>
      <c r="H280" s="31">
        <f t="shared" si="17"/>
        <v>0</v>
      </c>
      <c r="I280" s="8">
        <f t="shared" si="17"/>
        <v>0</v>
      </c>
      <c r="J280" s="8">
        <f t="shared" si="18"/>
        <v>0</v>
      </c>
      <c r="K280" s="72">
        <f t="shared" si="19"/>
        <v>-30191.649899396372</v>
      </c>
    </row>
    <row r="281" spans="1:11" x14ac:dyDescent="0.25">
      <c r="A281" s="38">
        <f>Données!A278</f>
        <v>5904</v>
      </c>
      <c r="B281" s="171" t="str">
        <f>Données!B278</f>
        <v>Chamblon</v>
      </c>
      <c r="C281" s="8">
        <f>Données!Z278</f>
        <v>561</v>
      </c>
      <c r="D281" s="8">
        <f t="shared" si="16"/>
        <v>561</v>
      </c>
      <c r="E281" s="226">
        <f t="shared" si="17"/>
        <v>0</v>
      </c>
      <c r="F281" s="8">
        <f t="shared" si="17"/>
        <v>0</v>
      </c>
      <c r="G281" s="226">
        <f t="shared" si="17"/>
        <v>0</v>
      </c>
      <c r="H281" s="31">
        <f t="shared" si="17"/>
        <v>0</v>
      </c>
      <c r="I281" s="8">
        <f t="shared" si="17"/>
        <v>0</v>
      </c>
      <c r="J281" s="8">
        <f t="shared" si="18"/>
        <v>0</v>
      </c>
      <c r="K281" s="72">
        <f t="shared" si="19"/>
        <v>-72382.545271629759</v>
      </c>
    </row>
    <row r="282" spans="1:11" x14ac:dyDescent="0.25">
      <c r="A282" s="38">
        <f>Données!A279</f>
        <v>5905</v>
      </c>
      <c r="B282" s="171" t="str">
        <f>Données!B279</f>
        <v>Champvent</v>
      </c>
      <c r="C282" s="8">
        <f>Données!Z279</f>
        <v>712</v>
      </c>
      <c r="D282" s="8">
        <f t="shared" si="16"/>
        <v>712</v>
      </c>
      <c r="E282" s="226">
        <f t="shared" si="17"/>
        <v>0</v>
      </c>
      <c r="F282" s="8">
        <f t="shared" si="17"/>
        <v>0</v>
      </c>
      <c r="G282" s="226">
        <f t="shared" si="17"/>
        <v>0</v>
      </c>
      <c r="H282" s="31">
        <f t="shared" si="17"/>
        <v>0</v>
      </c>
      <c r="I282" s="8">
        <f t="shared" si="17"/>
        <v>0</v>
      </c>
      <c r="J282" s="8">
        <f t="shared" si="18"/>
        <v>0</v>
      </c>
      <c r="K282" s="72">
        <f t="shared" si="19"/>
        <v>-91865.191146881261</v>
      </c>
    </row>
    <row r="283" spans="1:11" x14ac:dyDescent="0.25">
      <c r="A283" s="38">
        <f>Données!A280</f>
        <v>5907</v>
      </c>
      <c r="B283" s="171" t="str">
        <f>Données!B280</f>
        <v>Chavannes-le-Chêne</v>
      </c>
      <c r="C283" s="8">
        <f>Données!Z280</f>
        <v>325</v>
      </c>
      <c r="D283" s="8">
        <f t="shared" si="16"/>
        <v>325</v>
      </c>
      <c r="E283" s="226">
        <f t="shared" si="17"/>
        <v>0</v>
      </c>
      <c r="F283" s="8">
        <f t="shared" si="17"/>
        <v>0</v>
      </c>
      <c r="G283" s="226">
        <f t="shared" si="17"/>
        <v>0</v>
      </c>
      <c r="H283" s="31">
        <f t="shared" si="17"/>
        <v>0</v>
      </c>
      <c r="I283" s="8">
        <f t="shared" si="17"/>
        <v>0</v>
      </c>
      <c r="J283" s="8">
        <f t="shared" si="18"/>
        <v>0</v>
      </c>
      <c r="K283" s="72">
        <f t="shared" si="19"/>
        <v>-41932.847082494962</v>
      </c>
    </row>
    <row r="284" spans="1:11" x14ac:dyDescent="0.25">
      <c r="A284" s="38">
        <f>Données!A281</f>
        <v>5908</v>
      </c>
      <c r="B284" s="171" t="str">
        <f>Données!B281</f>
        <v>Chêne-Pâquier</v>
      </c>
      <c r="C284" s="8">
        <f>Données!Z281</f>
        <v>153</v>
      </c>
      <c r="D284" s="8">
        <f t="shared" si="16"/>
        <v>153</v>
      </c>
      <c r="E284" s="226">
        <f t="shared" si="17"/>
        <v>0</v>
      </c>
      <c r="F284" s="8">
        <f t="shared" si="17"/>
        <v>0</v>
      </c>
      <c r="G284" s="226">
        <f t="shared" si="17"/>
        <v>0</v>
      </c>
      <c r="H284" s="31">
        <f t="shared" si="17"/>
        <v>0</v>
      </c>
      <c r="I284" s="8">
        <f t="shared" si="17"/>
        <v>0</v>
      </c>
      <c r="J284" s="8">
        <f t="shared" si="18"/>
        <v>0</v>
      </c>
      <c r="K284" s="72">
        <f t="shared" si="19"/>
        <v>-19740.694164989935</v>
      </c>
    </row>
    <row r="285" spans="1:11" x14ac:dyDescent="0.25">
      <c r="A285" s="38">
        <f>Données!A282</f>
        <v>5909</v>
      </c>
      <c r="B285" s="171" t="str">
        <f>Données!B282</f>
        <v>Cheseaux-Noréaz</v>
      </c>
      <c r="C285" s="8">
        <f>Données!Z282</f>
        <v>728</v>
      </c>
      <c r="D285" s="8">
        <f t="shared" si="16"/>
        <v>728</v>
      </c>
      <c r="E285" s="226">
        <f t="shared" si="17"/>
        <v>0</v>
      </c>
      <c r="F285" s="8">
        <f t="shared" si="17"/>
        <v>0</v>
      </c>
      <c r="G285" s="226">
        <f t="shared" si="17"/>
        <v>0</v>
      </c>
      <c r="H285" s="31">
        <f t="shared" si="17"/>
        <v>0</v>
      </c>
      <c r="I285" s="8">
        <f t="shared" si="17"/>
        <v>0</v>
      </c>
      <c r="J285" s="8">
        <f t="shared" si="18"/>
        <v>0</v>
      </c>
      <c r="K285" s="72">
        <f t="shared" si="19"/>
        <v>-93929.577464788716</v>
      </c>
    </row>
    <row r="286" spans="1:11" x14ac:dyDescent="0.25">
      <c r="A286" s="38">
        <f>Données!A283</f>
        <v>5910</v>
      </c>
      <c r="B286" s="171" t="str">
        <f>Données!B283</f>
        <v>Cronay</v>
      </c>
      <c r="C286" s="8">
        <f>Données!Z283</f>
        <v>403</v>
      </c>
      <c r="D286" s="8">
        <f t="shared" si="16"/>
        <v>403</v>
      </c>
      <c r="E286" s="226">
        <f t="shared" si="17"/>
        <v>0</v>
      </c>
      <c r="F286" s="8">
        <f t="shared" si="17"/>
        <v>0</v>
      </c>
      <c r="G286" s="226">
        <f t="shared" si="17"/>
        <v>0</v>
      </c>
      <c r="H286" s="31">
        <f t="shared" si="17"/>
        <v>0</v>
      </c>
      <c r="I286" s="8">
        <f t="shared" si="17"/>
        <v>0</v>
      </c>
      <c r="J286" s="8">
        <f t="shared" si="18"/>
        <v>0</v>
      </c>
      <c r="K286" s="72">
        <f t="shared" si="19"/>
        <v>-51996.730382293754</v>
      </c>
    </row>
    <row r="287" spans="1:11" x14ac:dyDescent="0.25">
      <c r="A287" s="38">
        <f>Données!A284</f>
        <v>5911</v>
      </c>
      <c r="B287" s="171" t="str">
        <f>Données!B284</f>
        <v>Cuarny</v>
      </c>
      <c r="C287" s="8">
        <f>Données!Z284</f>
        <v>245</v>
      </c>
      <c r="D287" s="8">
        <f t="shared" si="16"/>
        <v>245</v>
      </c>
      <c r="E287" s="226">
        <f t="shared" si="17"/>
        <v>0</v>
      </c>
      <c r="F287" s="8">
        <f t="shared" si="17"/>
        <v>0</v>
      </c>
      <c r="G287" s="226">
        <f t="shared" si="17"/>
        <v>0</v>
      </c>
      <c r="H287" s="31">
        <f t="shared" si="17"/>
        <v>0</v>
      </c>
      <c r="I287" s="8">
        <f t="shared" si="17"/>
        <v>0</v>
      </c>
      <c r="J287" s="8">
        <f t="shared" si="18"/>
        <v>0</v>
      </c>
      <c r="K287" s="72">
        <f t="shared" si="19"/>
        <v>-31610.915492957738</v>
      </c>
    </row>
    <row r="288" spans="1:11" x14ac:dyDescent="0.25">
      <c r="A288" s="38">
        <f>Données!A285</f>
        <v>5912</v>
      </c>
      <c r="B288" s="171" t="str">
        <f>Données!B285</f>
        <v>Démoret</v>
      </c>
      <c r="C288" s="8">
        <f>Données!Z285</f>
        <v>164</v>
      </c>
      <c r="D288" s="8">
        <f t="shared" si="16"/>
        <v>164</v>
      </c>
      <c r="E288" s="226">
        <f t="shared" si="17"/>
        <v>0</v>
      </c>
      <c r="F288" s="8">
        <f t="shared" si="17"/>
        <v>0</v>
      </c>
      <c r="G288" s="226">
        <f t="shared" si="17"/>
        <v>0</v>
      </c>
      <c r="H288" s="31">
        <f t="shared" si="17"/>
        <v>0</v>
      </c>
      <c r="I288" s="8">
        <f t="shared" si="17"/>
        <v>0</v>
      </c>
      <c r="J288" s="8">
        <f t="shared" si="18"/>
        <v>0</v>
      </c>
      <c r="K288" s="72">
        <f t="shared" si="19"/>
        <v>-21159.959758551304</v>
      </c>
    </row>
    <row r="289" spans="1:11" x14ac:dyDescent="0.25">
      <c r="A289" s="38">
        <f>Données!A286</f>
        <v>5913</v>
      </c>
      <c r="B289" s="171" t="str">
        <f>Données!B286</f>
        <v>Donneloye</v>
      </c>
      <c r="C289" s="8">
        <f>Données!Z286</f>
        <v>891</v>
      </c>
      <c r="D289" s="8">
        <f t="shared" si="16"/>
        <v>891</v>
      </c>
      <c r="E289" s="226">
        <f t="shared" si="17"/>
        <v>0</v>
      </c>
      <c r="F289" s="8">
        <f t="shared" si="17"/>
        <v>0</v>
      </c>
      <c r="G289" s="226">
        <f t="shared" si="17"/>
        <v>0</v>
      </c>
      <c r="H289" s="31">
        <f t="shared" si="17"/>
        <v>0</v>
      </c>
      <c r="I289" s="8">
        <f t="shared" si="17"/>
        <v>0</v>
      </c>
      <c r="J289" s="8">
        <f t="shared" si="18"/>
        <v>0</v>
      </c>
      <c r="K289" s="72">
        <f t="shared" si="19"/>
        <v>-114960.5130784708</v>
      </c>
    </row>
    <row r="290" spans="1:11" x14ac:dyDescent="0.25">
      <c r="A290" s="38">
        <f>Données!A287</f>
        <v>5914</v>
      </c>
      <c r="B290" s="171" t="str">
        <f>Données!B287</f>
        <v>Ependes</v>
      </c>
      <c r="C290" s="8">
        <f>Données!Z287</f>
        <v>381</v>
      </c>
      <c r="D290" s="8">
        <f t="shared" si="16"/>
        <v>381</v>
      </c>
      <c r="E290" s="226">
        <f t="shared" si="17"/>
        <v>0</v>
      </c>
      <c r="F290" s="8">
        <f t="shared" si="17"/>
        <v>0</v>
      </c>
      <c r="G290" s="226">
        <f t="shared" si="17"/>
        <v>0</v>
      </c>
      <c r="H290" s="31">
        <f t="shared" si="17"/>
        <v>0</v>
      </c>
      <c r="I290" s="8">
        <f t="shared" si="17"/>
        <v>0</v>
      </c>
      <c r="J290" s="8">
        <f t="shared" si="18"/>
        <v>0</v>
      </c>
      <c r="K290" s="72">
        <f t="shared" si="19"/>
        <v>-49158.199195171015</v>
      </c>
    </row>
    <row r="291" spans="1:11" x14ac:dyDescent="0.25">
      <c r="A291" s="38">
        <f>Données!A288</f>
        <v>5919</v>
      </c>
      <c r="B291" s="171" t="str">
        <f>Données!B288</f>
        <v>Mathod</v>
      </c>
      <c r="C291" s="8">
        <f>Données!Z288</f>
        <v>655</v>
      </c>
      <c r="D291" s="8">
        <f t="shared" si="16"/>
        <v>655</v>
      </c>
      <c r="E291" s="226">
        <f t="shared" si="17"/>
        <v>0</v>
      </c>
      <c r="F291" s="8">
        <f t="shared" si="17"/>
        <v>0</v>
      </c>
      <c r="G291" s="226">
        <f t="shared" si="17"/>
        <v>0</v>
      </c>
      <c r="H291" s="31">
        <f t="shared" si="17"/>
        <v>0</v>
      </c>
      <c r="I291" s="8">
        <f t="shared" si="17"/>
        <v>0</v>
      </c>
      <c r="J291" s="8">
        <f t="shared" si="18"/>
        <v>0</v>
      </c>
      <c r="K291" s="72">
        <f t="shared" si="19"/>
        <v>-84510.81488933599</v>
      </c>
    </row>
    <row r="292" spans="1:11" x14ac:dyDescent="0.25">
      <c r="A292" s="38">
        <f>Données!A289</f>
        <v>5921</v>
      </c>
      <c r="B292" s="171" t="str">
        <f>Données!B289</f>
        <v>Molondin</v>
      </c>
      <c r="C292" s="8">
        <f>Données!Z289</f>
        <v>239</v>
      </c>
      <c r="D292" s="8">
        <f t="shared" si="16"/>
        <v>239</v>
      </c>
      <c r="E292" s="226">
        <f t="shared" si="17"/>
        <v>0</v>
      </c>
      <c r="F292" s="8">
        <f t="shared" si="17"/>
        <v>0</v>
      </c>
      <c r="G292" s="226">
        <f t="shared" si="17"/>
        <v>0</v>
      </c>
      <c r="H292" s="31">
        <f t="shared" si="17"/>
        <v>0</v>
      </c>
      <c r="I292" s="8">
        <f t="shared" si="17"/>
        <v>0</v>
      </c>
      <c r="J292" s="8">
        <f t="shared" si="18"/>
        <v>0</v>
      </c>
      <c r="K292" s="72">
        <f t="shared" si="19"/>
        <v>-30836.770623742446</v>
      </c>
    </row>
    <row r="293" spans="1:11" x14ac:dyDescent="0.25">
      <c r="A293" s="38">
        <f>Données!A290</f>
        <v>5922</v>
      </c>
      <c r="B293" s="171" t="str">
        <f>Données!B290</f>
        <v>Montagny-près-Yverdon</v>
      </c>
      <c r="C293" s="8">
        <f>Données!Z290</f>
        <v>775</v>
      </c>
      <c r="D293" s="8">
        <f t="shared" si="16"/>
        <v>775</v>
      </c>
      <c r="E293" s="226">
        <f t="shared" si="17"/>
        <v>0</v>
      </c>
      <c r="F293" s="8">
        <f t="shared" si="17"/>
        <v>0</v>
      </c>
      <c r="G293" s="226">
        <f t="shared" si="17"/>
        <v>0</v>
      </c>
      <c r="H293" s="31">
        <f t="shared" si="17"/>
        <v>0</v>
      </c>
      <c r="I293" s="8">
        <f t="shared" si="17"/>
        <v>0</v>
      </c>
      <c r="J293" s="8">
        <f t="shared" si="18"/>
        <v>0</v>
      </c>
      <c r="K293" s="72">
        <f t="shared" si="19"/>
        <v>-99993.712273641824</v>
      </c>
    </row>
    <row r="294" spans="1:11" x14ac:dyDescent="0.25">
      <c r="A294" s="38">
        <f>Données!A291</f>
        <v>5923</v>
      </c>
      <c r="B294" s="171" t="str">
        <f>Données!B291</f>
        <v>Oppens</v>
      </c>
      <c r="C294" s="8">
        <f>Données!Z291</f>
        <v>201</v>
      </c>
      <c r="D294" s="8">
        <f t="shared" si="16"/>
        <v>201</v>
      </c>
      <c r="E294" s="226">
        <f t="shared" si="17"/>
        <v>0</v>
      </c>
      <c r="F294" s="8">
        <f t="shared" si="17"/>
        <v>0</v>
      </c>
      <c r="G294" s="226">
        <f t="shared" si="17"/>
        <v>0</v>
      </c>
      <c r="H294" s="31">
        <f t="shared" si="17"/>
        <v>0</v>
      </c>
      <c r="I294" s="8">
        <f t="shared" si="17"/>
        <v>0</v>
      </c>
      <c r="J294" s="8">
        <f t="shared" si="18"/>
        <v>0</v>
      </c>
      <c r="K294" s="72">
        <f t="shared" si="19"/>
        <v>-25933.853118712268</v>
      </c>
    </row>
    <row r="295" spans="1:11" x14ac:dyDescent="0.25">
      <c r="A295" s="38">
        <f>Données!A292</f>
        <v>5924</v>
      </c>
      <c r="B295" s="171" t="str">
        <f>Données!B292</f>
        <v>Orges</v>
      </c>
      <c r="C295" s="8">
        <f>Données!Z292</f>
        <v>367</v>
      </c>
      <c r="D295" s="8">
        <f t="shared" si="16"/>
        <v>367</v>
      </c>
      <c r="E295" s="226">
        <f t="shared" si="17"/>
        <v>0</v>
      </c>
      <c r="F295" s="8">
        <f t="shared" si="17"/>
        <v>0</v>
      </c>
      <c r="G295" s="226">
        <f t="shared" si="17"/>
        <v>0</v>
      </c>
      <c r="H295" s="31">
        <f t="shared" si="17"/>
        <v>0</v>
      </c>
      <c r="I295" s="8">
        <f t="shared" si="17"/>
        <v>0</v>
      </c>
      <c r="J295" s="8">
        <f t="shared" si="18"/>
        <v>0</v>
      </c>
      <c r="K295" s="72">
        <f t="shared" si="19"/>
        <v>-47351.861167002004</v>
      </c>
    </row>
    <row r="296" spans="1:11" x14ac:dyDescent="0.25">
      <c r="A296" s="38">
        <f>Données!A293</f>
        <v>5925</v>
      </c>
      <c r="B296" s="171" t="str">
        <f>Données!B293</f>
        <v>Orzens</v>
      </c>
      <c r="C296" s="8">
        <f>Données!Z293</f>
        <v>202</v>
      </c>
      <c r="D296" s="8">
        <f t="shared" si="16"/>
        <v>202</v>
      </c>
      <c r="E296" s="226">
        <f t="shared" si="17"/>
        <v>0</v>
      </c>
      <c r="F296" s="8">
        <f t="shared" si="17"/>
        <v>0</v>
      </c>
      <c r="G296" s="226">
        <f t="shared" si="17"/>
        <v>0</v>
      </c>
      <c r="H296" s="31">
        <f t="shared" si="17"/>
        <v>0</v>
      </c>
      <c r="I296" s="8">
        <f t="shared" si="17"/>
        <v>0</v>
      </c>
      <c r="J296" s="8">
        <f t="shared" si="18"/>
        <v>0</v>
      </c>
      <c r="K296" s="72">
        <f t="shared" si="19"/>
        <v>-26062.877263581482</v>
      </c>
    </row>
    <row r="297" spans="1:11" x14ac:dyDescent="0.25">
      <c r="A297" s="38">
        <f>Données!A294</f>
        <v>5926</v>
      </c>
      <c r="B297" s="171" t="str">
        <f>Données!B294</f>
        <v>Pomy</v>
      </c>
      <c r="C297" s="8">
        <f>Données!Z294</f>
        <v>838</v>
      </c>
      <c r="D297" s="8">
        <f t="shared" si="16"/>
        <v>838</v>
      </c>
      <c r="E297" s="226">
        <f t="shared" si="17"/>
        <v>0</v>
      </c>
      <c r="F297" s="8">
        <f t="shared" si="17"/>
        <v>0</v>
      </c>
      <c r="G297" s="226">
        <f t="shared" si="17"/>
        <v>0</v>
      </c>
      <c r="H297" s="31">
        <f t="shared" si="17"/>
        <v>0</v>
      </c>
      <c r="I297" s="8">
        <f t="shared" si="17"/>
        <v>0</v>
      </c>
      <c r="J297" s="8">
        <f t="shared" si="18"/>
        <v>0</v>
      </c>
      <c r="K297" s="72">
        <f t="shared" si="19"/>
        <v>-108122.23340040239</v>
      </c>
    </row>
    <row r="298" spans="1:11" x14ac:dyDescent="0.25">
      <c r="A298" s="38">
        <f>Données!A295</f>
        <v>5928</v>
      </c>
      <c r="B298" s="171" t="str">
        <f>Données!B295</f>
        <v>Rovray</v>
      </c>
      <c r="C298" s="8">
        <f>Données!Z295</f>
        <v>206</v>
      </c>
      <c r="D298" s="8">
        <f t="shared" si="16"/>
        <v>206</v>
      </c>
      <c r="E298" s="226">
        <f t="shared" si="17"/>
        <v>0</v>
      </c>
      <c r="F298" s="8">
        <f t="shared" si="17"/>
        <v>0</v>
      </c>
      <c r="G298" s="226">
        <f t="shared" si="17"/>
        <v>0</v>
      </c>
      <c r="H298" s="31">
        <f t="shared" si="17"/>
        <v>0</v>
      </c>
      <c r="I298" s="8">
        <f t="shared" si="17"/>
        <v>0</v>
      </c>
      <c r="J298" s="8">
        <f t="shared" si="18"/>
        <v>0</v>
      </c>
      <c r="K298" s="72">
        <f t="shared" si="19"/>
        <v>-26578.973843058346</v>
      </c>
    </row>
    <row r="299" spans="1:11" x14ac:dyDescent="0.25">
      <c r="A299" s="38">
        <f>Données!A296</f>
        <v>5929</v>
      </c>
      <c r="B299" s="171" t="str">
        <f>Données!B296</f>
        <v>Suchy</v>
      </c>
      <c r="C299" s="8">
        <f>Données!Z296</f>
        <v>656</v>
      </c>
      <c r="D299" s="8">
        <f t="shared" si="16"/>
        <v>656</v>
      </c>
      <c r="E299" s="226">
        <f t="shared" si="17"/>
        <v>0</v>
      </c>
      <c r="F299" s="8">
        <f t="shared" si="17"/>
        <v>0</v>
      </c>
      <c r="G299" s="226">
        <f t="shared" si="17"/>
        <v>0</v>
      </c>
      <c r="H299" s="31">
        <f t="shared" si="17"/>
        <v>0</v>
      </c>
      <c r="I299" s="8">
        <f t="shared" si="17"/>
        <v>0</v>
      </c>
      <c r="J299" s="8">
        <f t="shared" si="18"/>
        <v>0</v>
      </c>
      <c r="K299" s="72">
        <f t="shared" si="19"/>
        <v>-84639.839034205215</v>
      </c>
    </row>
    <row r="300" spans="1:11" x14ac:dyDescent="0.25">
      <c r="A300" s="38">
        <f>Données!A297</f>
        <v>5930</v>
      </c>
      <c r="B300" s="171" t="str">
        <f>Données!B297</f>
        <v>Suscévaz</v>
      </c>
      <c r="C300" s="8">
        <f>Données!Z297</f>
        <v>215</v>
      </c>
      <c r="D300" s="8">
        <f t="shared" ref="D300:D308" si="20">IF($C300&gt;D$5,IF($C300&lt;D$6,$C300-D$5,D$6-D$5),0)</f>
        <v>215</v>
      </c>
      <c r="E300" s="226">
        <f t="shared" si="17"/>
        <v>0</v>
      </c>
      <c r="F300" s="8">
        <f t="shared" si="17"/>
        <v>0</v>
      </c>
      <c r="G300" s="226">
        <f t="shared" si="17"/>
        <v>0</v>
      </c>
      <c r="H300" s="31">
        <f t="shared" si="17"/>
        <v>0</v>
      </c>
      <c r="I300" s="8">
        <f t="shared" si="17"/>
        <v>0</v>
      </c>
      <c r="J300" s="8">
        <f t="shared" si="18"/>
        <v>0</v>
      </c>
      <c r="K300" s="72">
        <f t="shared" si="19"/>
        <v>-27740.191146881283</v>
      </c>
    </row>
    <row r="301" spans="1:11" x14ac:dyDescent="0.25">
      <c r="A301" s="38">
        <f>Données!A298</f>
        <v>5931</v>
      </c>
      <c r="B301" s="171" t="str">
        <f>Données!B298</f>
        <v>Treycovagnes</v>
      </c>
      <c r="C301" s="8">
        <f>Données!Z298</f>
        <v>490</v>
      </c>
      <c r="D301" s="8">
        <f t="shared" si="20"/>
        <v>490</v>
      </c>
      <c r="E301" s="226">
        <f t="shared" si="17"/>
        <v>0</v>
      </c>
      <c r="F301" s="8">
        <f t="shared" si="17"/>
        <v>0</v>
      </c>
      <c r="G301" s="226">
        <f t="shared" si="17"/>
        <v>0</v>
      </c>
      <c r="H301" s="31">
        <f t="shared" si="17"/>
        <v>0</v>
      </c>
      <c r="I301" s="8">
        <f t="shared" si="17"/>
        <v>0</v>
      </c>
      <c r="J301" s="8">
        <f t="shared" si="18"/>
        <v>0</v>
      </c>
      <c r="K301" s="72">
        <f t="shared" si="19"/>
        <v>-63221.830985915476</v>
      </c>
    </row>
    <row r="302" spans="1:11" x14ac:dyDescent="0.25">
      <c r="A302" s="38">
        <f>Données!A299</f>
        <v>5932</v>
      </c>
      <c r="B302" s="171" t="str">
        <f>Données!B299</f>
        <v>Ursins</v>
      </c>
      <c r="C302" s="8">
        <f>Données!Z299</f>
        <v>228</v>
      </c>
      <c r="D302" s="8">
        <f t="shared" si="20"/>
        <v>228</v>
      </c>
      <c r="E302" s="226">
        <f t="shared" si="17"/>
        <v>0</v>
      </c>
      <c r="F302" s="8">
        <f t="shared" si="17"/>
        <v>0</v>
      </c>
      <c r="G302" s="226">
        <f t="shared" si="17"/>
        <v>0</v>
      </c>
      <c r="H302" s="31">
        <f t="shared" si="17"/>
        <v>0</v>
      </c>
      <c r="I302" s="8">
        <f t="shared" si="17"/>
        <v>0</v>
      </c>
      <c r="J302" s="8">
        <f t="shared" si="18"/>
        <v>0</v>
      </c>
      <c r="K302" s="72">
        <f t="shared" si="19"/>
        <v>-29417.505030181081</v>
      </c>
    </row>
    <row r="303" spans="1:11" x14ac:dyDescent="0.25">
      <c r="A303" s="38">
        <f>Données!A300</f>
        <v>5933</v>
      </c>
      <c r="B303" s="171" t="str">
        <f>Données!B300</f>
        <v>Valeyres-sous-Montagny</v>
      </c>
      <c r="C303" s="8">
        <f>Données!Z300</f>
        <v>697</v>
      </c>
      <c r="D303" s="8">
        <f t="shared" si="20"/>
        <v>697</v>
      </c>
      <c r="E303" s="226">
        <f t="shared" si="17"/>
        <v>0</v>
      </c>
      <c r="F303" s="8">
        <f t="shared" si="17"/>
        <v>0</v>
      </c>
      <c r="G303" s="226">
        <f t="shared" si="17"/>
        <v>0</v>
      </c>
      <c r="H303" s="31">
        <f t="shared" si="17"/>
        <v>0</v>
      </c>
      <c r="I303" s="8">
        <f t="shared" si="17"/>
        <v>0</v>
      </c>
      <c r="J303" s="8">
        <f t="shared" si="18"/>
        <v>0</v>
      </c>
      <c r="K303" s="72">
        <f t="shared" si="19"/>
        <v>-89929.828973843032</v>
      </c>
    </row>
    <row r="304" spans="1:11" x14ac:dyDescent="0.25">
      <c r="A304" s="38">
        <f>Données!A301</f>
        <v>5934</v>
      </c>
      <c r="B304" s="171" t="str">
        <f>Données!B301</f>
        <v>Valeyres-sous-Ursins</v>
      </c>
      <c r="C304" s="8">
        <f>Données!Z301</f>
        <v>247</v>
      </c>
      <c r="D304" s="8">
        <f t="shared" si="20"/>
        <v>247</v>
      </c>
      <c r="E304" s="226">
        <f t="shared" si="17"/>
        <v>0</v>
      </c>
      <c r="F304" s="8">
        <f t="shared" si="17"/>
        <v>0</v>
      </c>
      <c r="G304" s="226">
        <f t="shared" si="17"/>
        <v>0</v>
      </c>
      <c r="H304" s="31">
        <f t="shared" si="17"/>
        <v>0</v>
      </c>
      <c r="I304" s="8">
        <f t="shared" si="17"/>
        <v>0</v>
      </c>
      <c r="J304" s="8">
        <f t="shared" si="18"/>
        <v>0</v>
      </c>
      <c r="K304" s="72">
        <f t="shared" si="19"/>
        <v>-31868.96378269617</v>
      </c>
    </row>
    <row r="305" spans="1:11" x14ac:dyDescent="0.25">
      <c r="A305" s="38">
        <f>Données!A302</f>
        <v>5935</v>
      </c>
      <c r="B305" s="171" t="str">
        <f>Données!B302</f>
        <v>Villars-Epeney</v>
      </c>
      <c r="C305" s="8">
        <f>Données!Z302</f>
        <v>95</v>
      </c>
      <c r="D305" s="8">
        <f t="shared" si="20"/>
        <v>95</v>
      </c>
      <c r="E305" s="226">
        <f t="shared" si="17"/>
        <v>0</v>
      </c>
      <c r="F305" s="8">
        <f t="shared" si="17"/>
        <v>0</v>
      </c>
      <c r="G305" s="226">
        <f t="shared" si="17"/>
        <v>0</v>
      </c>
      <c r="H305" s="31">
        <f t="shared" si="17"/>
        <v>0</v>
      </c>
      <c r="I305" s="8">
        <f t="shared" si="17"/>
        <v>0</v>
      </c>
      <c r="J305" s="8">
        <f t="shared" si="18"/>
        <v>0</v>
      </c>
      <c r="K305" s="72">
        <f t="shared" si="19"/>
        <v>-12257.293762575449</v>
      </c>
    </row>
    <row r="306" spans="1:11" x14ac:dyDescent="0.25">
      <c r="A306" s="38">
        <f>Données!A303</f>
        <v>5937</v>
      </c>
      <c r="B306" s="171" t="str">
        <f>Données!B303</f>
        <v>Vugelles-La Mothe</v>
      </c>
      <c r="C306" s="8">
        <f>Données!Z303</f>
        <v>140</v>
      </c>
      <c r="D306" s="8">
        <f t="shared" si="20"/>
        <v>140</v>
      </c>
      <c r="E306" s="226">
        <f t="shared" si="17"/>
        <v>0</v>
      </c>
      <c r="F306" s="8">
        <f t="shared" si="17"/>
        <v>0</v>
      </c>
      <c r="G306" s="226">
        <f t="shared" si="17"/>
        <v>0</v>
      </c>
      <c r="H306" s="31">
        <f t="shared" si="17"/>
        <v>0</v>
      </c>
      <c r="I306" s="8">
        <f t="shared" si="17"/>
        <v>0</v>
      </c>
      <c r="J306" s="8">
        <f t="shared" si="18"/>
        <v>0</v>
      </c>
      <c r="K306" s="72">
        <f t="shared" si="19"/>
        <v>-18063.380281690137</v>
      </c>
    </row>
    <row r="307" spans="1:11" x14ac:dyDescent="0.25">
      <c r="A307" s="38">
        <f>Données!A304</f>
        <v>5938</v>
      </c>
      <c r="B307" s="171" t="str">
        <f>Données!B304</f>
        <v>Yverdon-les-Bains</v>
      </c>
      <c r="C307" s="8">
        <f>Données!Z304</f>
        <v>29710</v>
      </c>
      <c r="D307" s="8">
        <f t="shared" si="20"/>
        <v>1000</v>
      </c>
      <c r="E307" s="226">
        <f t="shared" si="17"/>
        <v>2000</v>
      </c>
      <c r="F307" s="8">
        <f t="shared" si="17"/>
        <v>2000</v>
      </c>
      <c r="G307" s="226">
        <f t="shared" si="17"/>
        <v>4000</v>
      </c>
      <c r="H307" s="31">
        <f t="shared" si="17"/>
        <v>3000</v>
      </c>
      <c r="I307" s="8">
        <f t="shared" si="17"/>
        <v>3000</v>
      </c>
      <c r="J307" s="8">
        <f t="shared" si="18"/>
        <v>14710</v>
      </c>
      <c r="K307" s="72">
        <f t="shared" si="19"/>
        <v>-26032427.565392349</v>
      </c>
    </row>
    <row r="308" spans="1:11" x14ac:dyDescent="0.25">
      <c r="A308" s="38">
        <f>Données!A305</f>
        <v>5939</v>
      </c>
      <c r="B308" s="171" t="str">
        <f>Données!B305</f>
        <v>Yvonand</v>
      </c>
      <c r="C308" s="227">
        <f>Données!Z305</f>
        <v>3512</v>
      </c>
      <c r="D308" s="8">
        <f t="shared" si="20"/>
        <v>1000</v>
      </c>
      <c r="E308" s="226">
        <f t="shared" si="17"/>
        <v>2000</v>
      </c>
      <c r="F308" s="8">
        <f t="shared" si="17"/>
        <v>512</v>
      </c>
      <c r="G308" s="226">
        <f t="shared" si="17"/>
        <v>0</v>
      </c>
      <c r="H308" s="31">
        <f t="shared" si="17"/>
        <v>0</v>
      </c>
      <c r="I308" s="8">
        <f t="shared" si="17"/>
        <v>0</v>
      </c>
      <c r="J308" s="8">
        <f t="shared" si="18"/>
        <v>0</v>
      </c>
      <c r="K308" s="72">
        <f t="shared" si="19"/>
        <v>-1115800.8048289735</v>
      </c>
    </row>
    <row r="309" spans="1:11" x14ac:dyDescent="0.25">
      <c r="A309" s="25"/>
      <c r="B309" s="74">
        <f>COUNTA(B9:B308)</f>
        <v>300</v>
      </c>
      <c r="C309" s="9">
        <f>SUM(C9:C308)</f>
        <v>823879</v>
      </c>
      <c r="D309" s="9">
        <f t="shared" ref="D309:J309" si="21">SUM(D9:D308)</f>
        <v>215297</v>
      </c>
      <c r="E309" s="9">
        <f t="shared" si="21"/>
        <v>173405</v>
      </c>
      <c r="F309" s="9">
        <f t="shared" si="21"/>
        <v>87701</v>
      </c>
      <c r="G309" s="9">
        <f t="shared" si="21"/>
        <v>99256</v>
      </c>
      <c r="H309" s="9">
        <f t="shared" si="21"/>
        <v>45998</v>
      </c>
      <c r="I309" s="9">
        <f t="shared" si="21"/>
        <v>27083</v>
      </c>
      <c r="J309" s="9">
        <f t="shared" si="21"/>
        <v>175139</v>
      </c>
      <c r="K309" s="30">
        <f>SUM(K9:K308)</f>
        <v>-455285151.76056302</v>
      </c>
    </row>
    <row r="310" spans="1:11" x14ac:dyDescent="0.25">
      <c r="C310" s="52"/>
      <c r="K310" s="5"/>
    </row>
    <row r="311" spans="1:11" x14ac:dyDescent="0.25">
      <c r="K311" s="228"/>
    </row>
    <row r="312" spans="1:11" x14ac:dyDescent="0.25">
      <c r="K312" s="228"/>
    </row>
    <row r="320" spans="1:11" x14ac:dyDescent="0.25">
      <c r="C320" s="45"/>
    </row>
  </sheetData>
  <mergeCells count="6">
    <mergeCell ref="K7:K8"/>
    <mergeCell ref="C4:J4"/>
    <mergeCell ref="A7:A8"/>
    <mergeCell ref="B7:B8"/>
    <mergeCell ref="C7:C8"/>
    <mergeCell ref="D7:J7"/>
  </mergeCells>
  <phoneticPr fontId="21" type="noConversion"/>
  <hyperlinks>
    <hyperlink ref="G1" location="'Péréquation directe'!A1" display="← Précédent" xr:uid="{4A68310A-425D-4B7C-A602-B19E50C59698}"/>
    <hyperlink ref="H1" location="'Table des matières'!A1" display="Table des             matières" xr:uid="{45E00C4B-D76D-485B-A963-90DFF5ED91F9}"/>
    <hyperlink ref="I1" location="Solidarité!A1" display="Suivant →" xr:uid="{3CE52556-7647-4955-BB2C-AB3DA5B0FC22}"/>
  </hyperlinks>
  <pageMargins left="0.78740157499999996" right="0.78740157499999996" top="0.984251969" bottom="0.984251969" header="0.4921259845" footer="0.4921259845"/>
  <pageSetup paperSize="9" orientation="portrait" horizontalDpi="4294967292" verticalDpi="4294967292"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17</vt:i4>
      </vt:variant>
      <vt:variant>
        <vt:lpstr>Plages nommées</vt:lpstr>
      </vt:variant>
      <vt:variant>
        <vt:i4>11</vt:i4>
      </vt:variant>
    </vt:vector>
  </HeadingPairs>
  <TitlesOfParts>
    <vt:vector size="28" baseType="lpstr">
      <vt:lpstr>Table des matières</vt:lpstr>
      <vt:lpstr>Paramètres</vt:lpstr>
      <vt:lpstr>Recherche</vt:lpstr>
      <vt:lpstr>Données</vt:lpstr>
      <vt:lpstr>VPI</vt:lpstr>
      <vt:lpstr>PCS</vt:lpstr>
      <vt:lpstr>Ecrêtage</vt:lpstr>
      <vt:lpstr>Péréquation directe</vt:lpstr>
      <vt:lpstr>Population</vt:lpstr>
      <vt:lpstr>Solidarité</vt:lpstr>
      <vt:lpstr>DT</vt:lpstr>
      <vt:lpstr>Effort</vt:lpstr>
      <vt:lpstr>Aide</vt:lpstr>
      <vt:lpstr>Taux</vt:lpstr>
      <vt:lpstr>Facture policière</vt:lpstr>
      <vt:lpstr>Synthèse</vt:lpstr>
      <vt:lpstr>Décompte vs acomptes</vt:lpstr>
      <vt:lpstr>DT!Impression_des_titres</vt:lpstr>
      <vt:lpstr>Effort!Impression_des_titres</vt:lpstr>
      <vt:lpstr>'Facture policière'!Impression_des_titres</vt:lpstr>
      <vt:lpstr>PCS!Impression_des_titres</vt:lpstr>
      <vt:lpstr>Synthèse!Impression_des_titres</vt:lpstr>
      <vt:lpstr>Taux!Impression_des_titres</vt:lpstr>
      <vt:lpstr>'Facture policière'!Zone_d_impression</vt:lpstr>
      <vt:lpstr>'Péréquation directe'!Zone_d_impression</vt:lpstr>
      <vt:lpstr>Recherche!Zone_d_impression</vt:lpstr>
      <vt:lpstr>Synthèse!Zone_d_impression</vt:lpstr>
      <vt:lpstr>Taux!Zone_d_impression</vt:lpstr>
    </vt:vector>
  </TitlesOfParts>
  <Manager>fabio.cappelletti@vd.ch</Manager>
  <Company>Etat de Vaud / ASFiCo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fabio.cappelletti@vd.ch</dc:creator>
  <cp:lastModifiedBy>Clerc Charles-Henri</cp:lastModifiedBy>
  <cp:lastPrinted>2021-09-22T13:07:35Z</cp:lastPrinted>
  <dcterms:created xsi:type="dcterms:W3CDTF">2005-06-06T00:37:42Z</dcterms:created>
  <dcterms:modified xsi:type="dcterms:W3CDTF">2022-09-28T13:18:31Z</dcterms:modified>
</cp:coreProperties>
</file>